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15" firstSheet="4" activeTab="7"/>
  </bookViews>
  <sheets>
    <sheet name="CANDOI" sheetId="69" r:id="rId1"/>
    <sheet name="BIEU 01 CH" sheetId="161" r:id="rId2"/>
    <sheet name="BIEU 02 CH" sheetId="5" r:id="rId3"/>
    <sheet name="BIEU 06 CH" sheetId="164" r:id="rId4"/>
    <sheet name="BIEU 07 CH" sheetId="165" r:id="rId5"/>
    <sheet name="BIEU 08 CH" sheetId="170" r:id="rId6"/>
    <sheet name="BIEU 09 CH" sheetId="166" r:id="rId7"/>
    <sheet name="BIEU 10 CH" sheetId="76" r:id="rId8"/>
    <sheet name="BIEU 11 CH" sheetId="159" r:id="rId9"/>
    <sheet name="BIEU 13 CH" sheetId="169" r:id="rId10"/>
    <sheet name="Phuluc01" sheetId="179" r:id="rId11"/>
    <sheet name="Phuluc02" sheetId="180" r:id="rId12"/>
    <sheet name="Phuluc03" sheetId="181" r:id="rId13"/>
    <sheet name="ngaigiao (2016)" sheetId="100" state="hidden" r:id="rId14"/>
    <sheet name="bauchinh (2016)" sheetId="101" state="hidden" r:id="rId15"/>
    <sheet name="binhba (2016)" sheetId="102" state="hidden" r:id="rId16"/>
    <sheet name="binhgia (2016)" sheetId="103" state="hidden" r:id="rId17"/>
    <sheet name="binhtrung (2016)" sheetId="104" state="hidden" r:id="rId18"/>
    <sheet name="cubi (2016)" sheetId="105" state="hidden" r:id="rId19"/>
    <sheet name="dabac (2016)" sheetId="106" state="hidden" r:id="rId20"/>
    <sheet name="kimlong (2016)" sheetId="107" state="hidden" r:id="rId21"/>
    <sheet name="langlon (2016)" sheetId="108" state="hidden" r:id="rId22"/>
    <sheet name="nghiathanh (2016)" sheetId="109" state="hidden" r:id="rId23"/>
    <sheet name="quangthanh (2016)" sheetId="110" state="hidden" r:id="rId24"/>
    <sheet name="sonbinh (2016)" sheetId="111" state="hidden" r:id="rId25"/>
    <sheet name="suoinghe (2016)" sheetId="112" state="hidden" r:id="rId26"/>
    <sheet name="suoirao (2016)" sheetId="113" state="hidden" r:id="rId27"/>
    <sheet name="xabang (2016)" sheetId="114" state="hidden" r:id="rId28"/>
    <sheet name="xuanson (2016)" sheetId="115" state="hidden" r:id="rId29"/>
    <sheet name="toanhuyen (2016)" sheetId="116" state="hidden" r:id="rId30"/>
    <sheet name="TNG (2016)" sheetId="117" state="hidden" r:id="rId31"/>
    <sheet name="XBC (2016)" sheetId="118" state="hidden" r:id="rId32"/>
    <sheet name="XBB (2016)" sheetId="119" state="hidden" r:id="rId33"/>
    <sheet name="XBG (2016)" sheetId="120" state="hidden" r:id="rId34"/>
    <sheet name="XBT (2016)" sheetId="121" state="hidden" r:id="rId35"/>
    <sheet name="XCB (2016)" sheetId="122" state="hidden" r:id="rId36"/>
    <sheet name="XDB (2016)" sheetId="123" state="hidden" r:id="rId37"/>
    <sheet name="XKL (2016)" sheetId="124" state="hidden" r:id="rId38"/>
    <sheet name="XLL (2016)" sheetId="125" state="hidden" r:id="rId39"/>
    <sheet name="XNT (2016)" sheetId="126" state="hidden" r:id="rId40"/>
    <sheet name="XQT (2016)" sheetId="127" state="hidden" r:id="rId41"/>
    <sheet name="XSB (2016)" sheetId="128" state="hidden" r:id="rId42"/>
    <sheet name="XSN (2016)" sheetId="129" state="hidden" r:id="rId43"/>
    <sheet name="XSR (2016)" sheetId="130" state="hidden" r:id="rId44"/>
    <sheet name="XXB (2016)" sheetId="131" state="hidden" r:id="rId45"/>
    <sheet name="XXS (2016)" sheetId="132" state="hidden" r:id="rId46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7" hidden="1">'BIEU 10 CH'!#REF!</definedName>
    <definedName name="_xlnm._FilterDatabase" localSheetId="10" hidden="1">Phuluc01!#REF!</definedName>
    <definedName name="_xlnm._FilterDatabase" localSheetId="11" hidden="1">Phuluc02!#REF!</definedName>
    <definedName name="_xlnm._FilterDatabase" localSheetId="12" hidden="1">Phuluc03!#REF!</definedName>
    <definedName name="_xlnm.Print_Area" localSheetId="1">'BIEU 01 CH'!$A$1:$R$60</definedName>
    <definedName name="_xlnm.Print_Area" localSheetId="4">'BIEU 07 CH'!$A$1:$Q$34</definedName>
    <definedName name="_xlnm.Print_Titles" localSheetId="1">'BIEU 01 CH'!$5:$7</definedName>
    <definedName name="_xlnm.Print_Titles" localSheetId="2">'BIEU 02 CH'!$5:$8</definedName>
    <definedName name="_xlnm.Print_Titles" localSheetId="3">'BIEU 06 CH'!$5:$7</definedName>
    <definedName name="_xlnm.Print_Titles" localSheetId="5">'BIEU 08 CH'!#REF!</definedName>
    <definedName name="_xlnm.Print_Titles" localSheetId="6">'BIEU 09 CH'!$5:$7</definedName>
    <definedName name="_xlnm.Print_Titles" localSheetId="7">'BIEU 10 CH'!#REF!,'BIEU 10 CH'!#REF!</definedName>
    <definedName name="_xlnm.Print_Titles" localSheetId="8">'BIEU 11 CH'!$4:$5</definedName>
    <definedName name="_xlnm.Print_Titles" localSheetId="0">CANDOI!$1:$6</definedName>
    <definedName name="_xlnm.Print_Titles" localSheetId="10">Phuluc01!$4:$6</definedName>
    <definedName name="_xlnm.Print_Titles">#N/A</definedName>
  </definedNames>
  <calcPr calcId="144525"/>
  <pivotCaches>
    <pivotCache cacheId="0" r:id="rId47"/>
  </pivotCaches>
</workbook>
</file>

<file path=xl/sharedStrings.xml><?xml version="1.0" encoding="utf-8"?>
<sst xmlns="http://schemas.openxmlformats.org/spreadsheetml/2006/main" count="8109" uniqueCount="753">
  <si>
    <t>CÂN ĐỐI CHỈ TIÊU KẾ HOẠCH SỬ DỤNG ĐẤT NĂM 2022</t>
  </si>
  <si>
    <t>HUYỆN HỚN QUẢN - TỈNH BÌNH PHƯỚC</t>
  </si>
  <si>
    <t>TT</t>
  </si>
  <si>
    <t>Chỉ tiêu</t>
  </si>
  <si>
    <t>Mã</t>
  </si>
  <si>
    <t>Hiện trạng năm 2021 (ha)</t>
  </si>
  <si>
    <t>Kế hoạch năm 2022</t>
  </si>
  <si>
    <t>Tăng (+); giảm (-)</t>
  </si>
  <si>
    <t>Diện tích
(ha)</t>
  </si>
  <si>
    <t>Cơ cấu 
(%)</t>
  </si>
  <si>
    <t>(1)</t>
  </si>
  <si>
    <t>(2)</t>
  </si>
  <si>
    <t>(3)</t>
  </si>
  <si>
    <t>(4)</t>
  </si>
  <si>
    <t>(5)</t>
  </si>
  <si>
    <t>(7)=(5)-(4)</t>
  </si>
  <si>
    <t>TỔNG DIỆN TÍCH TỰ NHIÊN (1+2+3)</t>
  </si>
  <si>
    <t>Đất nông nghiệp</t>
  </si>
  <si>
    <t>NNP</t>
  </si>
  <si>
    <t>Trong đó:</t>
  </si>
  <si>
    <t>1.1</t>
  </si>
  <si>
    <t>Đất trồng lúa</t>
  </si>
  <si>
    <t>LUA</t>
  </si>
  <si>
    <t>Trong đó: Đất chuyên trồng lúa nước</t>
  </si>
  <si>
    <t>LUC</t>
  </si>
  <si>
    <t>1.2</t>
  </si>
  <si>
    <t>Đất trồng cây hàng năm khác</t>
  </si>
  <si>
    <t>HNK</t>
  </si>
  <si>
    <t>1.3</t>
  </si>
  <si>
    <t>Đất trồng cây lâu năm</t>
  </si>
  <si>
    <t>CLN</t>
  </si>
  <si>
    <t>1.4</t>
  </si>
  <si>
    <t>Đất rừng phòng hộ</t>
  </si>
  <si>
    <t>RPH</t>
  </si>
  <si>
    <t>1.5</t>
  </si>
  <si>
    <t>Đất rừng đặc dụng</t>
  </si>
  <si>
    <t>1.6</t>
  </si>
  <si>
    <t>Đất rừng sản xuất</t>
  </si>
  <si>
    <t>RSX</t>
  </si>
  <si>
    <t>Trong đó: Đất có rừng sản xuất là rừng tự nhiên</t>
  </si>
  <si>
    <t>RSN</t>
  </si>
  <si>
    <t>1.7</t>
  </si>
  <si>
    <t>Đất nuôi trồng thủy sản</t>
  </si>
  <si>
    <t>NTS</t>
  </si>
  <si>
    <t>1.8</t>
  </si>
  <si>
    <t>Đất làm muối</t>
  </si>
  <si>
    <t>LMU</t>
  </si>
  <si>
    <t>1.9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</si>
  <si>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</si>
  <si>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</si>
  <si>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</si>
  <si>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</si>
  <si>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</si>
  <si>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</si>
  <si>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</si>
  <si>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</si>
  <si>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</si>
  <si>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</si>
  <si>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</si>
  <si>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</si>
  <si>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</si>
  <si>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</si>
  <si>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Đất cụm công nghiệp</t>
  </si>
  <si>
    <t>SKN</t>
  </si>
  <si>
    <t>2.5</t>
  </si>
  <si>
    <t>Đất thương mại, dịch vụ</t>
  </si>
  <si>
    <t>TMD</t>
  </si>
  <si>
    <t>2.6</t>
  </si>
  <si>
    <t>Đất cơ sở sản xuất phi nông nghiệp</t>
  </si>
  <si>
    <t>SKC</t>
  </si>
  <si>
    <t>2.7</t>
  </si>
  <si>
    <t>Đất sử dụng cho hoạt động khoáng sản</t>
  </si>
  <si>
    <t>SKS</t>
  </si>
  <si>
    <t>2.8</t>
  </si>
  <si>
    <t>Đất sản xuất vật liệu xây dựng, làm đồ gốm</t>
  </si>
  <si>
    <t>SKX</t>
  </si>
  <si>
    <t>2.9</t>
  </si>
  <si>
    <t>Đất phát triển hạ tầng cấp huyện</t>
  </si>
  <si>
    <t>DHT</t>
  </si>
  <si>
    <t>-</t>
  </si>
  <si>
    <t>Đất giao thông</t>
  </si>
  <si>
    <t>DGT</t>
  </si>
  <si>
    <t>Đất thủy lợi</t>
  </si>
  <si>
    <t>DTL</t>
  </si>
  <si>
    <t>Đất xây dựng cơ sở văn hóa</t>
  </si>
  <si>
    <t>DVH</t>
  </si>
  <si>
    <t>Đất xây dựng cơ sở y tế</t>
  </si>
  <si>
    <t>DYT</t>
  </si>
  <si>
    <t>Đất xây dựng cơ sở giáo dục và đào tạo</t>
  </si>
  <si>
    <t>DGD</t>
  </si>
  <si>
    <t>Đất xây dựng cơ sở thể dục thể thao</t>
  </si>
  <si>
    <t>DTT</t>
  </si>
  <si>
    <t>Đất công trình năng lượng</t>
  </si>
  <si>
    <t>DNL</t>
  </si>
  <si>
    <t>Đất công trình bưu chính, viễn thông</t>
  </si>
  <si>
    <t>DBV</t>
  </si>
  <si>
    <t>Đất xây dựng kho dự trữ quốc gia</t>
  </si>
  <si>
    <t>DKG</t>
  </si>
  <si>
    <t>Đất có di tích lịch sử -văn hóa</t>
  </si>
  <si>
    <t>DDT</t>
  </si>
  <si>
    <t>Đất bãi thải, xử lý chất thải</t>
  </si>
  <si>
    <t>DRA</t>
  </si>
  <si>
    <t>Đất cơ sở tôn giáo</t>
  </si>
  <si>
    <t>TON</t>
  </si>
  <si>
    <t>Đất làm nghĩa trang, nhà tang lễ, nhà hỏa táng</t>
  </si>
  <si>
    <t>NTD</t>
  </si>
  <si>
    <t>Đất xây dựng cơ sở khoa học công nghệ</t>
  </si>
  <si>
    <t>DKH</t>
  </si>
  <si>
    <t>Đất xây dựng cơ sở dịch vụ xã hội</t>
  </si>
  <si>
    <t>DXH</t>
  </si>
  <si>
    <t>Đất chợ</t>
  </si>
  <si>
    <t>DCH</t>
  </si>
  <si>
    <t>2.10</t>
  </si>
  <si>
    <t>Đất danh lam thắng cảnh</t>
  </si>
  <si>
    <t>DDL</t>
  </si>
  <si>
    <t>2.11</t>
  </si>
  <si>
    <t>Đất sinh hoạt cộng đồng</t>
  </si>
  <si>
    <t>DSH</t>
  </si>
  <si>
    <t>2.12</t>
  </si>
  <si>
    <t>Đất khu vui chơi, giải trí công cộng</t>
  </si>
  <si>
    <t>DKV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</si>
  <si>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</si>
  <si>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</si>
  <si>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</si>
  <si>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</si>
  <si>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</si>
  <si>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</si>
  <si>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</si>
  <si>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</si>
  <si>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</si>
  <si>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</si>
  <si>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</si>
  <si>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</si>
  <si>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</si>
  <si>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</si>
  <si>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</si>
  <si>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</si>
  <si>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tín ngưỡng</t>
  </si>
  <si>
    <t>TIN</t>
  </si>
  <si>
    <t>2.19</t>
  </si>
  <si>
    <t>Đất sông, ngòi, kênh, rạch, suối</t>
  </si>
  <si>
    <t>SON</t>
  </si>
  <si>
    <t>2.20</t>
  </si>
  <si>
    <t>Đất có mặt nước chuyên dùng</t>
  </si>
  <si>
    <t>MNC</t>
  </si>
  <si>
    <t>2.21</t>
  </si>
  <si>
    <t>Đất phi nông nghiệp khác</t>
  </si>
  <si>
    <t>PNK</t>
  </si>
  <si>
    <t>3</t>
  </si>
  <si>
    <t>Đất chưa sử dụng</t>
  </si>
  <si>
    <t>CSD</t>
  </si>
  <si>
    <t>Biểu 01/CH</t>
  </si>
  <si>
    <t>HIỆN TRẠNG SỬ DỤNG ĐẤT NĂM 2021</t>
  </si>
  <si>
    <t>Đơn vị tính: ha</t>
  </si>
  <si>
    <t>STT</t>
  </si>
  <si>
    <t>Tổng diện tích</t>
  </si>
  <si>
    <t>Phân theo đơn vị hành chính</t>
  </si>
  <si>
    <t>Tân Khai</t>
  </si>
  <si>
    <t>Đồng Nơ</t>
  </si>
  <si>
    <t>Thanh Bình</t>
  </si>
  <si>
    <t>An Khương</t>
  </si>
  <si>
    <t>An Phú</t>
  </si>
  <si>
    <t>Minh Đức</t>
  </si>
  <si>
    <t>Minh Tâm</t>
  </si>
  <si>
    <t>Phước An</t>
  </si>
  <si>
    <t>Tân Hiệp</t>
  </si>
  <si>
    <t>Tân Hưng</t>
  </si>
  <si>
    <t>Tân Lợi</t>
  </si>
  <si>
    <t>Tân Quan</t>
  </si>
  <si>
    <t>Thanh An</t>
  </si>
  <si>
    <t>(4)=(5)+(6)+…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</si>
  <si>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</si>
  <si>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</si>
  <si>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</si>
  <si>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</si>
  <si>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</si>
  <si>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</si>
  <si>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</si>
  <si>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</si>
  <si>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</si>
  <si>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</si>
  <si>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</si>
  <si>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RDD</t>
  </si>
  <si>
    <t>Đất phát triển hạ tầng</t>
  </si>
  <si>
    <t>Đất có di tích lịch sử - văn hóa</t>
  </si>
  <si>
    <t>Đất tín ngưỡng</t>
  </si>
  <si>
    <t>Biểu 02/CH</t>
  </si>
  <si>
    <t>KẾT QUẢ THỰC HIỆN KẾ HOẠCH SỬ DỤNG ĐẤT NĂM TRƯỚC</t>
  </si>
  <si>
    <t>Chỉ tiêu sử dụng đất</t>
  </si>
  <si>
    <t>Diện tích kế hoạch được duyệt (ha) (*)</t>
  </si>
  <si>
    <t>Kết quả thực hiện</t>
  </si>
  <si>
    <t>Diện tích (ha) (**)</t>
  </si>
  <si>
    <t>So sánh</t>
  </si>
  <si>
    <t>Tăng (+),
giảm (-)
(ha)</t>
  </si>
  <si>
    <t>Tỷ lệ (%)</t>
  </si>
  <si>
    <t>(6)=(5)-(4)</t>
  </si>
  <si>
    <t>(7)=(5)/(4)*100%</t>
  </si>
  <si>
    <t>Ghi chú: (*) Phê duyệt tại Quyết định số 1054/QĐ-UBND ngày 26/4/2021 của UBND tỉnh Bình Phước
                 (**) Thống kê đất đai năm 2020 huyện Hớn Quản có điều chỉnh</t>
  </si>
  <si>
    <t>Biểu 06/CH</t>
  </si>
  <si>
    <t>KẾ HOẠCH SỬ DỤNG ĐẤT NĂM 2022</t>
  </si>
  <si>
    <t>Diện tích phân theo đơn vị hành chính</t>
  </si>
  <si>
    <t>(17)</t>
  </si>
  <si>
    <t>Đất cho hoạt động khoáng sản</t>
  </si>
  <si>
    <t>II</t>
  </si>
  <si>
    <t>Khu chức năng</t>
  </si>
  <si>
    <t>1</t>
  </si>
  <si>
    <t>Đất khu công nghệ cao</t>
  </si>
  <si>
    <t>KCN</t>
  </si>
  <si>
    <t>2</t>
  </si>
  <si>
    <t>Đất khu kinh tế</t>
  </si>
  <si>
    <t>KKT</t>
  </si>
  <si>
    <t>Đất đô thị</t>
  </si>
  <si>
    <t>KDT</t>
  </si>
  <si>
    <t>4</t>
  </si>
  <si>
    <t>Khu sản xuất nông nghiệp (khu vực chuyên trồng lúa nước, khu vực chuyên trồng cây công nghiệp lâu năm)</t>
  </si>
  <si>
    <t>KNN</t>
  </si>
  <si>
    <t>5</t>
  </si>
  <si>
    <t>Khu lâm nghiệp (khu vực rừng phòng hộ, rừng đặc dụng, rừng sản xuất)</t>
  </si>
  <si>
    <t>KLN</t>
  </si>
  <si>
    <t>6</t>
  </si>
  <si>
    <t>Khu du lịch</t>
  </si>
  <si>
    <t>KDL</t>
  </si>
  <si>
    <t>7</t>
  </si>
  <si>
    <t>Khu bảo tồn thiên nhiên và đa dạng sinh học</t>
  </si>
  <si>
    <t>KBT</t>
  </si>
  <si>
    <t>8</t>
  </si>
  <si>
    <t>Khu phát triển công nghiệp (khu công nghiệp, cụm công nghiệp)</t>
  </si>
  <si>
    <t>KPC</t>
  </si>
  <si>
    <t>9</t>
  </si>
  <si>
    <t>Khu đô thị (trong đó có khu đô thị mới)</t>
  </si>
  <si>
    <t>DTC</t>
  </si>
  <si>
    <t>10</t>
  </si>
  <si>
    <t>Khu thương mại - dịch vụ</t>
  </si>
  <si>
    <t>KTM</t>
  </si>
  <si>
    <t>11</t>
  </si>
  <si>
    <t>Khu đô thị - thương mại - dịch vụ</t>
  </si>
  <si>
    <t>KDV</t>
  </si>
  <si>
    <t>12</t>
  </si>
  <si>
    <t>Khu dân cư nông thôn</t>
  </si>
  <si>
    <t>DNT</t>
  </si>
  <si>
    <t>13</t>
  </si>
  <si>
    <t>Khu ở, làng nghề, sản xuất phi nông nghiệp nông thôn</t>
  </si>
  <si>
    <t>KON</t>
  </si>
  <si>
    <t>Ghi chú: Khu chức năng không tổng hợp khi tính diện tích tự nhiên</t>
  </si>
  <si>
    <t>Biểu 07/CH</t>
  </si>
  <si>
    <t>DIỆN TÍCH CHUYỂN MỤC ĐÍCH SỬ DỤNG ĐẤT NĂM 2022</t>
  </si>
  <si>
    <t>Đất nông nghiệp chuyển sang đất phi nông nghiệp</t>
  </si>
  <si>
    <t>NNP/PNN</t>
  </si>
  <si>
    <t>LUA/PNN</t>
  </si>
  <si>
    <t>LUC/PNN</t>
  </si>
  <si>
    <t>HNK/PNN</t>
  </si>
  <si>
    <t>CLN/PNN</t>
  </si>
  <si>
    <t>RPH/PNN</t>
  </si>
  <si>
    <t>RDD/PNN</t>
  </si>
  <si>
    <t>RSX/PNN</t>
  </si>
  <si>
    <t>Trong đó: đất có rừng sản xuất là rừng tự nhiên</t>
  </si>
  <si>
    <t>RSN/PNN</t>
  </si>
  <si>
    <t>NTS/PNN</t>
  </si>
  <si>
    <t>LMU/PNN</t>
  </si>
  <si>
    <t>NKH/PNN</t>
  </si>
  <si>
    <t>Chuyển đổi cơ cấu sử dụng đất trong nội bộ đất nông nghiệp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</si>
  <si>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</si>
  <si>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</si>
  <si>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</si>
  <si>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</si>
  <si>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thủy sản</t>
  </si>
  <si>
    <t>LUA/NTS</t>
  </si>
  <si>
    <t>Đất trồng lúa chuyển sang đất làm muối</t>
  </si>
  <si>
    <t>LUA/LMU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</si>
  <si>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</si>
  <si>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</si>
  <si>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</si>
  <si>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</si>
  <si>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</si>
  <si>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</si>
  <si>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</si>
  <si>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</si>
  <si>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</si>
  <si>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</si>
  <si>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r>
      <rPr>
        <i/>
        <sz val="10"/>
        <color indexed="8"/>
        <rFont val="Times New Roman"/>
        <charset val="134"/>
      </rPr>
      <t>RSN/NKR</t>
    </r>
    <r>
      <rPr>
        <i/>
        <vertAlign val="superscript"/>
        <sz val="10"/>
        <color rgb="FF000000"/>
        <rFont val="Times New Roman"/>
        <charset val="134"/>
      </rPr>
      <t>a</t>
    </r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</si>
  <si>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</si>
  <si>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</si>
  <si>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
                - PKO là đất phi nông nghiệp không phải là đất ở</t>
  </si>
  <si>
    <t>Biểu 08/CH</t>
  </si>
  <si>
    <t>KẾ HOẠCH THU HỒI ĐẤT NĂM 2022</t>
  </si>
  <si>
    <t>TỔNG DIỆN TÍCH</t>
  </si>
  <si>
    <t>Biểu 09/CH</t>
  </si>
  <si>
    <t>KẾ HOẠCH ĐƯA ĐẤT CHƯA SỬ DỤNG VÀO SỬ DỤNG</t>
  </si>
  <si>
    <t>Biểu 10/CH</t>
  </si>
  <si>
    <t>DANH MỤC CÔNG TRÌNH, DỰ ÁN THỰC HIỆN TRONG NĂM 2022</t>
  </si>
  <si>
    <t>CỦA HUYỆN HỚN QUẢN - TỈNH BÌNH PHƯỚC</t>
  </si>
  <si>
    <t>Hạng mục</t>
  </si>
  <si>
    <t>Diện tích kế hoạch (ha)</t>
  </si>
  <si>
    <t>Diện tích hiện trạng (ha)</t>
  </si>
  <si>
    <t>Tăng thêm</t>
  </si>
  <si>
    <t>Mục đích sử dụng đất</t>
  </si>
  <si>
    <t>Địa điểm
(đến cấp xã)</t>
  </si>
  <si>
    <t>Vị trí trên bản đồ địa chính (tờ bản đồ số, thửa số) hoặc vị trí trên bản đồ hiện trạng sử dụng đất cấp xã</t>
  </si>
  <si>
    <t>Căn cứ pháp lý</t>
  </si>
  <si>
    <t>Ghi chú</t>
  </si>
  <si>
    <t>Diện tích (ha)</t>
  </si>
  <si>
    <t>Lấy vào loại đất</t>
  </si>
  <si>
    <t>Công trình, dự án được phân bổ từ quy hoạch sử dụng đất cấp tỉnh</t>
  </si>
  <si>
    <t>Công trình, dự án mục đích quốc phòng, an ninh</t>
  </si>
  <si>
    <t>Căn cứ hậu cần kỹ thuật BCHQS huyện Hớn Quản</t>
  </si>
  <si>
    <t>Nghị quyết số 17/2021/NQ-HĐND ngày 07/12/2021 của HĐND tỉnh Bình Phước; Quyết định số 428 ngày 13/02/2018 của Bộ Tư lệnh Quân khu 7; Quyết định số 45/QĐ-UBND ngày 30/12/2011 của UBND tỉnh</t>
  </si>
  <si>
    <t>Vùng lõi CCHC kỹ thuật TX. Bình Long</t>
  </si>
  <si>
    <t>Nghị quyết số 17/2021/NQ-HĐND ngày 07/12/2021 của HĐND tỉnh Bình Phước; Quyết định số 45/QĐ-UBND ngày 30/12/2011 của UBND tỉnh; Quyết định số 431/QĐ-BTL ngày 13/02/2018 của Bộ Tư lệnh Quân khu 7</t>
  </si>
  <si>
    <t>Khu sơ tán phòng thủ dân sự 1</t>
  </si>
  <si>
    <t>Nghị quyết số 17/2021/NQ-HĐND ngày 07/12/2021 của HĐND tỉnh Bình Phước; Quyết định số 179/QĐ-UBND ngày 16/11/2020 của UBND tỉnh; Công văn số 1146/BC-BCH ngày 06/9/2021 của BCHQS huyện Hớn Quản</t>
  </si>
  <si>
    <t>Công trình, dự án để phát triển kinh tế - xã hội vì lợi ích quốc gia, công cộng</t>
  </si>
  <si>
    <t xml:space="preserve">1.2.1 </t>
  </si>
  <si>
    <t>Công trình, dự án quan trọng quốc gia do Quốc hội quyết định chủ trương đầu tư mà phải thu hồi đất</t>
  </si>
  <si>
    <t>1.2.2</t>
  </si>
  <si>
    <t>Công trình, dự án do Thủ tướng Chính phủ chấp thuận, quyết định đầu tư mà phải thu hồi đất</t>
  </si>
  <si>
    <t>Khu công nghiệp Tân Khai II</t>
  </si>
  <si>
    <t>Nghị quyết số 17/2021/NQ-HĐND ngày 07/12/2021 của HĐND tỉnh Bình Phước; Công văn số 2162/TTg-KTN ngày 26/11/2015 của Thủ tướng CP</t>
  </si>
  <si>
    <t>1.2.3</t>
  </si>
  <si>
    <t>Công trình, dự án do Hội đồng nhân dân cấp tỉnh chấp thuận mà phải thu hồi đất</t>
  </si>
  <si>
    <t>Đất phát triển công trình công cộng</t>
  </si>
  <si>
    <t>Nghị quyết số 17/2021/NQ-HĐND ngày 07/12/2021 của HĐND tỉnh Bình Phước; Công văn số 4184 ngày 04/12/2014 của UBND tỉnh</t>
  </si>
  <si>
    <t>- Đất phát triển cụm công nghiệp</t>
  </si>
  <si>
    <t>Thanh Bình, Tân Khai</t>
  </si>
  <si>
    <t>- Đất phát triển các công trình công cộng</t>
  </si>
  <si>
    <t>Thu hồi đất của Công ty TNHH MTV Cao su Bình Long để bổ sung quy hoạch các Cụm Công nghiệp giai đoạn 2021-2030</t>
  </si>
  <si>
    <t>Phước An, Minh Tâm, Tân Hưng, Thanh An</t>
  </si>
  <si>
    <t>Nghị quyết số 17/2021/NQ-HĐND ngày 07/12/2021 của HĐND tỉnh Bình Phước; Nghị quyết số 09/2021/NQ-HĐND ngày 02/7/2021 của HĐND tỉnh; Báo cáo số 33/BC-UBND ngày 09/3/2021 của UBND huyện Hớn Quản; Biên bản làm việc ngày 26/02/2021 giữa UBND huyện Hớn Quản và Công ty TNHH MTV Cao su Bình Long</t>
  </si>
  <si>
    <t>- Cụm công nghiệp Phước An</t>
  </si>
  <si>
    <t>- Cụm công nghiệp Minh Tâm</t>
  </si>
  <si>
    <t>- Cụm công nghiệp Tân Hưng</t>
  </si>
  <si>
    <t>- Cụm công nghiệp Thanh An</t>
  </si>
  <si>
    <t>Công trình, dự án cấp huyện</t>
  </si>
  <si>
    <t>Nhà máy điện mặt trời GRANDSOLAR</t>
  </si>
  <si>
    <t>Nghị quyết số 17/2021/NQ-HĐND ngày 07/12/2021 của HĐND tỉnh Bình Phước; Công văn số 1895 ngày 03/7/2018 của UBND tỉnh</t>
  </si>
  <si>
    <t>Trạm 220KV Bình Long 2 - Trạm 110KV Bình Long</t>
  </si>
  <si>
    <t>Phước An, Tân Lợi, Tân Khai</t>
  </si>
  <si>
    <t>Nghị quyết số 17/2021/NQ-HĐND ngày 07/12/2021 của HĐND tỉnh Bình Phước; Công văn số 2802 ngày 27/9/2018 của UBND tỉnh; Công văn 1481 ngày 26/5/2020 của Công ty Điện lực Bình Phước</t>
  </si>
  <si>
    <t>- Xã Phước An</t>
  </si>
  <si>
    <t>- Xã Tân Lợi</t>
  </si>
  <si>
    <t>- Thị trấn Tân Khai</t>
  </si>
  <si>
    <t>Xây dựng móng trụ đường dây Bình Long 2- Srok Phu Miêng</t>
  </si>
  <si>
    <t>Nghị quyết số 17/2021/NQ-HĐND ngày 07/12/2021 của HĐND tỉnh Bình Phước; Công văn số 939 ngày 05/6/2019 của UBND huyện</t>
  </si>
  <si>
    <t>Trạm biến áp 110KV Tân Hưng và đường dây 110KV nhánh rẽ đấu nối Trạm biến áp 110KV Tân Hưng</t>
  </si>
  <si>
    <t>Phước An, Tân Khai, Tân Quan</t>
  </si>
  <si>
    <t>Nghị quyết số 17/2021/NQ-HĐND ngày 07/12/2021 của HĐND tỉnh Bình Phước; Quyết định số 866/QĐ-BCT ngày 17/3/2017 của Bộ Công thương; Công văn số 3285 ngày 22/10/2020 của Công ty Điện lực Bình Phước</t>
  </si>
  <si>
    <t>- Xã Tân Quan</t>
  </si>
  <si>
    <t>Đường điện tổ trung, hạ thế</t>
  </si>
  <si>
    <t>Nghị quyết số 17/2021/NQ-HĐND ngày 07/12/2021 của HĐND tỉnh Bình Phước; Quyết định số 1780 ngày 27/8/2019 của UBND tỉnh</t>
  </si>
  <si>
    <t>Nhà máy điện mặt trời Minh Tâm 1,2,3</t>
  </si>
  <si>
    <t>Nghị quyết số 17/2021/NQ-HĐND ngày 07/12/2021 của HĐND tỉnh Bình Phước; Nghị quyết số 09/2021/NQ-HĐND ngày 02/7/2021 của HĐND tỉnh; Công văn số 3756/UBND-TH ngày 13/12/2019 của UBND tỉnh; Công văn số 1443/UBND-TH ngày 14/5/2020 của UBND tỉnh; Công văn số 165/SCT-TM ngày 27/01/2021 của Sở Công thương</t>
  </si>
  <si>
    <t>Xây dựng đường phía Tây QL13 kết nối Chơn Thành - Hoa Lư</t>
  </si>
  <si>
    <t>CLN; ONT; DGT</t>
  </si>
  <si>
    <t>An Phú, Đồng Nơ, Minh Đức, Minh Tâm, Tân Hiệp</t>
  </si>
  <si>
    <t>Nghị quyết số 17/2021/NQ-HĐND ngày 07/12/2021 của HĐND tỉnh Bình Phước; Quyết định số 2292 ngày 30/10/2019 của UBND tỉnh</t>
  </si>
  <si>
    <t>- Đoạn qua xã An Phú</t>
  </si>
  <si>
    <t>- Đoạn qua xã Đồng Nơ</t>
  </si>
  <si>
    <t>- Đoạn qua xã Minh Đức</t>
  </si>
  <si>
    <t>- Đoạn qua xã Minh Tâm</t>
  </si>
  <si>
    <t>- Đoạn qua xã Tân Hiệp</t>
  </si>
  <si>
    <t>Đường trục chính từ Tân Khai đi Phước An và Tân Quan</t>
  </si>
  <si>
    <t>CLN, LUK, ONT, ODT</t>
  </si>
  <si>
    <t>Tân Khai, Phước An, Tân Quan</t>
  </si>
  <si>
    <t>Nghị quyết số 17/2021/NQ-HĐND ngày 07/12/2021 của HĐND tỉnh Bình Phước; Nghị quyết số 11/NQ-HĐND ngày 13/7/2020 của HĐND tỉnh; Quyết định số 1801/QĐ-UBND ngày 05/8/2020 của UBND tỉnh; Quyết định số 550/QĐ-UBND ngày 05/3/2021 của UBND tỉnh</t>
  </si>
  <si>
    <t>- Đoạn qua xã Phước An</t>
  </si>
  <si>
    <t>- Đoạn qua xã Tân Quan</t>
  </si>
  <si>
    <t>- Đoạn qua thị trấn Tân Khai</t>
  </si>
  <si>
    <t>Nâng cấp đường vào cầu Huyện ủy và đường Khu phố 1, thị trấn Tân Khai</t>
  </si>
  <si>
    <t>Nghị quyết số 17/2021/NQ-HĐND ngày 07/12/2021 của HĐND tỉnh Bình Phước; Công văn số 244/UBND-KTHT ngày 04/3/2020 của UBND huyện</t>
  </si>
  <si>
    <t>Dự án thành phần 03, dự án LRAMP</t>
  </si>
  <si>
    <t>Nghị quyết số 17/2021/NQ-HĐND ngày 07/12/2021 của HĐND tỉnh Bình Phước; Quyết định số 622 ngày 02/3/2016 của Bộ GTVT; Quyết định số 643/QĐ-TCĐBVN ngày 25/3/2019 của Tổng cục đường bộ</t>
  </si>
  <si>
    <t>Hỗ trợ phát triển biên giới - Tiểu dự án tỉnh Bình Phước</t>
  </si>
  <si>
    <t>CLN, ONT, DGT</t>
  </si>
  <si>
    <t>Tân Hưng, Tân Lợi, Thanh An</t>
  </si>
  <si>
    <t>Nghị quyết số 17/2021/NQ-HĐND ngày 07/12/2021 của HĐND tỉnh Bình Phước; Quyết định số 920 ngày 17/4/2017 của UBND tỉnh</t>
  </si>
  <si>
    <t>- Xã Tân Hưng</t>
  </si>
  <si>
    <t>- Xã Thanh An</t>
  </si>
  <si>
    <t>Đường trục chính từ QL13 vào KCN Tân Khai II</t>
  </si>
  <si>
    <t>CLN, ODT</t>
  </si>
  <si>
    <t>Nghị quyết số 17/2021/NQ-HĐND ngày 07/12/2021 của HĐND tỉnh Bình Phước; Công văn số 2508/UBND-KT ngày 27/7/2020 của UBND tỉnh; Công văn số 3071/UBND-KT ngày 28/8/2020 của UBND tỉnh</t>
  </si>
  <si>
    <t xml:space="preserve">Đường Trục chính Bắc Nam nối dài (GĐ1) </t>
  </si>
  <si>
    <t>Nghị quyết số 17/2021/NQ-HĐND ngày 07/12/2021 của HĐND tỉnh Bình Phước; Quyết định số 413 ngày 02/3/2010 của UBND tỉnh</t>
  </si>
  <si>
    <t>Đường Trục chính Bắc Nam (giai đoạn 3), TTVH - TDTT huyện Hớn Quản và đường Đông Tây 9</t>
  </si>
  <si>
    <t>Đường Đông Tây 7 nối dài</t>
  </si>
  <si>
    <t>Xây dựng cầu dân sinh trên địa bàn tỉnh Bình Phước</t>
  </si>
  <si>
    <t>CLN, DGT, ONT, SON</t>
  </si>
  <si>
    <t>Đồng Nơ, Tân Hiệp,
Tân Lợi, Minh Tâm,
Tân Quan, Phước An, An Phú</t>
  </si>
  <si>
    <t>Nghị quyết số 17/2021/NQ-HĐND ngày 07/12/2021 của HĐND tỉnh Bình Phước; Nghị quyết số 09/2021/NQ-HĐND ngày 02/7/2021 của HĐND tỉnh; Quyết định số 3282/QĐ-UBND ngày 25/12/2020 của UBND tỉnh; Công văn số 162/BQLDA-KHTH ngày 10/3/2021 của Ban quản lý dự án đầu tư xây dựng tỉnh Bình Phước; Công văn số 924/BQLDA-TCKT ngày 24/9/2021 của BQLDA tỉnh</t>
  </si>
  <si>
    <t>- Xã Đồng Nơ</t>
  </si>
  <si>
    <t>- Xã Tân Hiệp</t>
  </si>
  <si>
    <t>- Xã Minh Tâm</t>
  </si>
  <si>
    <t>- Xã An Phú</t>
  </si>
  <si>
    <t>Nâng cấp, mở rộng đường từ Khu công nghiệp Việt Kiều kết nối với Khu công nghiệp Minh Hưng - Sikico, huyện Hớn Quản.</t>
  </si>
  <si>
    <t>CLN, ONT</t>
  </si>
  <si>
    <t>Đồng Nơ, Minh Đức</t>
  </si>
  <si>
    <t>Nghị quyết số 17/2021/NQ-HĐND ngày 07/12/2021 của HĐND tỉnh Bình Phước; Nghị quyết số 09/2021/NQ-HĐND ngày 02/7/2021 của HĐND tỉnh; Quyết định số 551/QĐ-UBND ngày 05/3/2021 của UBND tỉnh; Công văn số 91/BQLDA ngày 19/4/2021 của Ban quản lý dự án đầu tư xây dựng huyện Hớn Quản</t>
  </si>
  <si>
    <t>Xây dựng các tuyến đường từ thị trấn Tân Khai kết nối với các tuyến đường đi xã Phước An, Đồng Nơ và Minh Đức, huyện Hớn Quản.</t>
  </si>
  <si>
    <t>Tân Khai, Phước An, Đồng Nơ, Minh Đức</t>
  </si>
  <si>
    <t>Nghị quyết số 17/2021/NQ-HĐND ngày 07/12/2021 của HĐND tỉnh Bình Phước; Nghị quyết số 09/2021/NQ-HĐND ngày 02/7/2021 của HĐND tỉnh; Quyết định số 490/QĐ-UBND ngày 24/3/2021 của UBND huyện Hớn Quản; Công văn số 91/BQLDA ngày 19/4/2021 của Ban quản lý dự án đầu tư xây dựng huyện Hớn Quản</t>
  </si>
  <si>
    <t>Xây dựng đường từ xã Tân Hưng, huyện Hớn Quản đi xã Long Tân, huyện Phú Riềng.</t>
  </si>
  <si>
    <t>CLN (13,00);
LUK (0,50);
ONT (1,00)</t>
  </si>
  <si>
    <t>Nghị quyết số 17/2021/NQ-HĐND ngày 07/12/2021 của HĐND tỉnh Bình Phước; Nghị quyết số 09/2021/NQ-HĐND ngày 02/7/2021 của HĐND tỉnh; Quyết định số 1131/QĐ-UBND ngày 04/5/2021 của UBND tỉnh, Công văn số 91/BQLDA ngày 19/4/2021 của Ban quản lý dự án đầu tư xây dựng huyện Hớn Quản</t>
  </si>
  <si>
    <t>Mở rộng đường ĐT758 từ Bình Long đến Thuận Phú và kết nối QL14</t>
  </si>
  <si>
    <t>ONT, CLN, DGT, DTL</t>
  </si>
  <si>
    <t>Tân Hưng, Tân Lợi</t>
  </si>
  <si>
    <t>Nghị quyết số 17/2021/NQ-HĐND ngày 07/12/2021 của HĐND tỉnh Bình Phước; Nghị quyết số 18/NQ-HĐND ngày 02/7/2021 của HĐND tỉnh; Nghị quyết số 19/NQ-HĐND ngày 02/7/2021 của HĐND tỉnh; Công văn số 924/BQLDA-TCKT ngày 24/9/2021 của BQLDA tỉnh</t>
  </si>
  <si>
    <t>- Đoạn qua xã Tân Hưng</t>
  </si>
  <si>
    <t>CLN (7,40);
ONT (3,10);
DGT (5,00)</t>
  </si>
  <si>
    <t>- Đoạn qua xã Tân Lợi</t>
  </si>
  <si>
    <t>CLN (6,00);
ONT (1,82);
DGT (2,50);
DTL (0,10)</t>
  </si>
  <si>
    <t>Xây dựng đường liên xã Phước An đi Tân Hưng và Tân Quan, huyện Hớn Quản</t>
  </si>
  <si>
    <t>CLN, ONT, ODT</t>
  </si>
  <si>
    <t>Tân Hưng, Tân Khai</t>
  </si>
  <si>
    <t>Nghị quyết số 17/2021/NQ-HĐND ngày 07/12/2021 của HĐND tỉnh Bình Phước; Nghị quyết số 09/2021/NQ-HĐND ngày 02/7/2021 của HĐND tỉnh; Tờ trình số 48a/TTr-UBND ngày 09/6/2021 của UBND tỉnh</t>
  </si>
  <si>
    <t>- Đoạn qua TT. Tân Khai</t>
  </si>
  <si>
    <t>CLN (7,00);
ODT (0,50)</t>
  </si>
  <si>
    <t>CLN (7,00);
ONT (0,50)</t>
  </si>
  <si>
    <t>Xây dựng đường kết nối Đồng Xoài-Hớn Quản</t>
  </si>
  <si>
    <t>ODT, ONT, CLN, DGT, SON</t>
  </si>
  <si>
    <t>Tân Khai, Tân Quan</t>
  </si>
  <si>
    <t>Nâng cấp đường từ Ngã 3 Xa Cát vào Khu công nghiệp Việt Kiều, huyện Hớn Quản.</t>
  </si>
  <si>
    <t>Nghị quyết số 17/2021/NQ-HĐND ngày 07/12/2021 của HĐND tỉnh Bình Phước; Nghị quyết số 09/2021/NQ-HĐND ngày 02/7/2021 của HĐND tỉnh; Quyết định số 2021/QĐ-UBND ngày 20/08/2020 của UBND tỉnh, Công văn số 91/BQLDA ngày 19/4/2021 của Ban quản lý dự án đầu tư xây dựng huyện Hớn Quản</t>
  </si>
  <si>
    <t>Trường Tiểu học Phước An B</t>
  </si>
  <si>
    <t>Nghị quyết số 17/2021/NQ-HĐND ngày 07/12/2021 của HĐND tỉnh Bình Phước; Nghị quyết số 09/2021/NQ-HĐND ngày 02/7/2021 của HĐND tỉnh; Quyết định số 1780 ngày 27/8/2019 của UBND tỉnh; Biên bản ngày 16/10/2017 giữa Cty TNHH MTV cao su Bình Long và UBND huyện</t>
  </si>
  <si>
    <t>Trường Tiểu học Tân Hưng B</t>
  </si>
  <si>
    <t>Nghị quyết số 17/2021/NQ-HĐND ngày 07/12/2021 của HĐND tỉnh Bình Phước; Quyết định số 1780 ngày 27/8/2019 của UBND tỉnh; Biên bản ngày 16/10/2017 giữa Cty TNHH MTV cao su Bình Long và UBND huyện</t>
  </si>
  <si>
    <t>Mở rộng Trường THCS Tân Lợi</t>
  </si>
  <si>
    <t>Nghị quyết số 17/2021/NQ-HĐND ngày 07/12/2021 của HĐND tỉnh Bình Phước; Công văn số 1811/UBND-KSX ngày 14/11/2017 của UBND huyện</t>
  </si>
  <si>
    <t>Trường mầm non Trà Thanh</t>
  </si>
  <si>
    <t>Mỏ đá vôi Thanh Lương</t>
  </si>
  <si>
    <t>An Phú, Minh Tâm</t>
  </si>
  <si>
    <t>Nghị quyết số 17/2021/NQ-HĐND ngày 07/12/2021 của HĐND tỉnh Bình Phước; Quyết định số 1065/QĐ-TTg ngày 09/7/2010 của Thủ tướng Chính phủ; Quyết định số 781/QĐ-UBND ngày 08/4/2016 của UBND tỉnh</t>
  </si>
  <si>
    <t>QH chợ</t>
  </si>
  <si>
    <t>Nghị quyết số 17/2021/NQ-HĐND ngày 07/12/2021 của HĐND tỉnh Bình Phước; Công văn số 1366/UBND-KSX ngày 20/8/2019 của UBND huyện Hớn Quản</t>
  </si>
  <si>
    <t>Mở rộng nghĩa địa ấp 3</t>
  </si>
  <si>
    <t>Nghị quyết số 17/2021/NQ-HĐND ngày 07/12/2021 của HĐND tỉnh Bình Phước; Biên bản ngày 16/10/2017 giữa UBND huyện và Công ty TNHH MTV Cao su Bình Long</t>
  </si>
  <si>
    <t>Xin giao về địa phương để quản lý</t>
  </si>
  <si>
    <t>PNK, ONT, DSH, DGT</t>
  </si>
  <si>
    <t>Nghị quyết số 17/2021/NQ-HĐND ngày 07/12/2021 của HĐND tỉnh Bình Phước; Biên bản ngày 16/9/2020 giữa UBND huyện và BQLKKT; Tờ trình số 144/TTr-UBND ngày 30/9/2020 của UBND huyện</t>
  </si>
  <si>
    <t>Khu đô thị mới Nam An Lộc</t>
  </si>
  <si>
    <t>Nghị quyết số 17/2021/NQ-HĐND ngày 07/12/2021 của HĐND tỉnh Bình Phước; Công văn số 1157/UBND-KT ngày 23/4/2020 của UBND tỉnh</t>
  </si>
  <si>
    <t>Khu dân cư phía Tây TX. Bình Long</t>
  </si>
  <si>
    <t>ONT và các loại đất khác</t>
  </si>
  <si>
    <t>Nghị quyết số 17/2021/NQ-HĐND ngày 07/12/2021 của HĐND tỉnh Bình Phước; Thông báo số 195 ngày 02/8/2017 của UBND tỉnh; Công văn số 1039 ngày 06/5/2020 của Sở Xây dựng</t>
  </si>
  <si>
    <t>Khu TĐC thuộc TTHC xã Tân Lợi</t>
  </si>
  <si>
    <t>Nghị quyết số 17/2021/NQ-HĐND ngày 07/12/2021 của HĐND tỉnh Bình Phước; Quyết định số 2394/QĐ-UBND ngày 15/10/2015 của UBND huyện</t>
  </si>
  <si>
    <t>Khu dân cư Tân Hưng 1</t>
  </si>
  <si>
    <t>Nghị quyết số 17/2021/NQ-HĐND ngày 07/12/2021 của HĐND tỉnh Bình Phước</t>
  </si>
  <si>
    <t>Khu dân cư Sóc Quả</t>
  </si>
  <si>
    <t xml:space="preserve">Thu hồi đất giao UBND huyện quản lý để Thực hiện quy hoạch, tổ chức đấu giá quyền sử dụng đất để xây dựng Khu dân cư </t>
  </si>
  <si>
    <t>Nghị quyết số 17/2021/NQ-HĐND ngày 07/12/2021 của HĐND tỉnh Bình Phước; Nghị quyết số 09/2021/NQ-HĐND ngày 02/7/2021 của HĐND tỉnh; Công văn số 2339/UBND-KT ngày 16/7/2020 của UBND tỉnh</t>
  </si>
  <si>
    <t>Chỉnh trang đô thị</t>
  </si>
  <si>
    <t>Nghị quyết số 17/2021/NQ-HĐND ngày 07/12/2021 của HĐND tỉnh Bình Phước; Nghị quyết số 09/2021/NQ-HĐND ngày 02/7/2021 của HĐND tỉnh; Công văn số 1694/UBND-TH ngày 26/5/2021 của UBND tỉnh</t>
  </si>
  <si>
    <t>Khu dân cư phía Tây TTHC huyện Hớn Quản</t>
  </si>
  <si>
    <t>Nghị quyết số 17/2021/NQ-HĐND ngày 07/12/2021 của HĐND tỉnh Bình Phước; Công văn số 2339/UBND-KT ngày 16/7/2020 của UBND tỉnh, Thông báo số 272/TB-UBND ngày 17/9/2019 của UBND tỉnh, Công văn số 213/PKTHT-TH ngày 07/8/2021 của Phòng Kinh tế-Hạ tầng</t>
  </si>
  <si>
    <t>Xây dựng chợ, khu trung tâm văn hóa xã Minh Tâm</t>
  </si>
  <si>
    <t>DVH, DCH</t>
  </si>
  <si>
    <t>Nghị quyết số 17/2021/NQ-HĐND ngày 07/12/2021 của HĐND tỉnh Bình Phước; Nghị quyết số 09/2021/NQ-HĐND ngày 02/7/2021 của HĐND tỉnh; Biên bản ngày 16/10/2017 giữa Công ty TNHH MTV Cao su Bình Long và UBND huyện Hớn Quản</t>
  </si>
  <si>
    <t>Nhà văn hóa, khu vui chơi giải trí xã An Phú</t>
  </si>
  <si>
    <t>Nghị quyết số 17/2021/NQ-HĐND ngày 07/12/2021 của HĐND tỉnh Bình Phước; Biên bản ngày 16/10/2017 giữa Cty TNHH MTV Cao su Bình Long và UBND huyện Hớn Quản</t>
  </si>
  <si>
    <t>Xây dựng mương cống thoát nước ngoài KCN Tân Khai II (nối tiếp)</t>
  </si>
  <si>
    <t>LUK (2,29);
CLN (0,29);
DTL (0,91);
NTS (0,09)</t>
  </si>
  <si>
    <t>Nghị quyết số 17/2021/NQ-HĐND ngày 07/12/2021 của HĐND tỉnh Bình Phước; Quyết định số 2024/QĐ-UBND ngày 20/8/2020 của UBND tỉnh; Công văn số 752/BQLDA-KHTH ngày 30/9/2020 của BQLDA đầu tư xây dựng tỉnh</t>
  </si>
  <si>
    <t>Xây dựng mương cống thoát nước ngoài Khu công nghiệp Việt Kiều</t>
  </si>
  <si>
    <t>Nghị quyết số 17/2021/NQ-HĐND ngày 07/12/2021 của HĐND tỉnh Bình Phước; Quyết định số 2029/QĐ-UBND ngày 20/8/2020 của UBND tỉnh; Công văn số 703/SCT-VP ngày 12/5/2020 của Sở Công thương; Công văn số 752/BQLDA-KHTH ngày 30/9/2020 của BQLDA đầu tư xây dựng tỉnh</t>
  </si>
  <si>
    <t>Xây dựng hệ thống kênh thủy lợi nội đồng xã An Khương</t>
  </si>
  <si>
    <t>LUK</t>
  </si>
  <si>
    <t>Nghị quyết số 17/2021/NQ-HĐND ngày 07/12/2021 của HĐND tỉnh Bình Phước; Nghị quyết số 11/NQ-HĐND ngày 13/7/2020 của HĐND tỉnh; Quyết định số 1801/QĐ-UBND ngày 05/8/2020 của UBND tỉnh</t>
  </si>
  <si>
    <t>Dự án cụm hồ tình Bình Phước (tên cũ là dự án Cụm công trình thủy lợi các huyện biên giới tỉnh Bình Phước)</t>
  </si>
  <si>
    <t>CLN, SON, ONT, DGT, LUK, HNK</t>
  </si>
  <si>
    <t xml:space="preserve">Nghị quyết số 17/2021/NQ-HĐND ngày 07/12/2021 của HĐND tỉnh Bình Phước; Nghị quyết số 09/2021/NQ-HĐND ngày 02/7/2021 của HĐND tỉnh; Quyết định số 3156/QĐ-BNN-XD ngày 19/7/2021 của Bộ NNPTNT, Công văn số 924/BQLDA-TCKT ngày 24/9/2021 của BQLDA tỉnh </t>
  </si>
  <si>
    <t>Xây dựng mương thoát nước mưa và thoát nước thải ngoài hàng rào KCN Minh Hưng-Sikico mở rộng</t>
  </si>
  <si>
    <t>CLN (3,37);
DGT (1,00);
SON (0,50)</t>
  </si>
  <si>
    <t>Nghị quyết số 17/2021/NQ-HĐND ngày 07/12/2021 của HĐND tỉnh Bình Phước; Quyết định số 1127/QĐ-UBND ngày 04/5/2021 của UBND tỉnh; Công văn số 924/BQLDA-TCKT ngày 24/9/2021 của BQLDA tỉnh</t>
  </si>
  <si>
    <t>Dự án hiện đại hóa thủy lợi thích ứng biến đổi khí hậu - thành phần tỉnh Bình Phước (ADB)</t>
  </si>
  <si>
    <t>CLN (3,50);
DGT (1,00);
ONT (0,50);
SON (2,70)</t>
  </si>
  <si>
    <t>Nghị quyết số 17/2021/NQ-HĐND ngày 07/12/2021 của HĐND tỉnh Bình Phước; Công văn 148/TTg-QHQT ngày 02/02/2021 của Thủ tướng Chính Phủ; Nghị quyết số 09/2021/NQ-HĐND ngày 02/7/2021 của HĐND tỉnh; Công văn số 924/BQLDA-TCKT ngày 24/9/2021 của BQLDA tỉnh</t>
  </si>
  <si>
    <t>Khu vực cần chuyển mục đích sử dụng đất để thực hiện việc nhận chuyển nhượng, thuê quyền sử dụng đất, nhận góp vốn bằng quyền sử dụng đất</t>
  </si>
  <si>
    <t>2.2.1 Khu vực chuyển mục đích sử dụng đất</t>
  </si>
  <si>
    <t>Khai thác mỏ sét gạch ngói và vật liệu san lấp (Cty TNHH MTV SX TM Đô Thành)</t>
  </si>
  <si>
    <t>Quyết định số 2783 ngày 25/12/2019 của UBND tỉnh</t>
  </si>
  <si>
    <t>Trang trại chăn nuôi gà thịt Đặng Thanh Triều</t>
  </si>
  <si>
    <t>NKH, PNK</t>
  </si>
  <si>
    <t>Quyết định số 2503/QĐ-UBND ngày 06/10/2020 của UBND tỉnh điều chỉnh Quyết định số 1755/QĐ-UBND ngày 31/7/2020 của UBND tỉnh (thuận chủ trương mở rộng diện tích từ 0,3 ha lên 4,62 ha)</t>
  </si>
  <si>
    <t>Trang trại chăn nuôi 110.200 con gà trắng giống thịt (Cty TNHH Ngọc An Vui)</t>
  </si>
  <si>
    <t>Quyết định số 1785/QĐ-UBND ngày 04/8/2020 của UBND tỉnh</t>
  </si>
  <si>
    <t>Trang trại chăn nuôi heo giống và heo thịt (Nguyễn Thị Nhiều)</t>
  </si>
  <si>
    <t>Quyết định số 757/QĐ-UBND ngày 13/4/2020 của UBND tỉnh; Quyết định số 56/QĐ-UBND ngày 08/01/2021 của UBND tỉnh</t>
  </si>
  <si>
    <t>Trang trại chăn nuôi gà thịt (Cty TNHH DV TM Quang Tâm)</t>
  </si>
  <si>
    <t>Quyết định số 333/QĐ-UBND ngày 20/02/2019 của UBND tỉnh</t>
  </si>
  <si>
    <t>Trang trại chăn nuôi heo thịt (Cty TNHH Trà Thanh Farm)</t>
  </si>
  <si>
    <t>Quyết định số 1817/QĐ-UBND ngày 07/8/2020 của UBND tỉnh</t>
  </si>
  <si>
    <t>Trang trại chăn nuôi heo (Cty TNHH Tân Hưng Farm)</t>
  </si>
  <si>
    <t>Quyết định số 2346/QĐ-UBND ngày 21/9/2020 của UBND tỉnh</t>
  </si>
  <si>
    <t>Trang trại chăn nuôi gà giống bố mẹ (Cty TNHH Chăn nuôi Thanh Bình)</t>
  </si>
  <si>
    <t>Quyết định số 2547/QĐ-UBND ngày 12/10/2020 của UBND tỉnh</t>
  </si>
  <si>
    <t>Trang trại chăn nuôi gà thịt (Cty TNHH MTV Thương mại Thuận Hưng)</t>
  </si>
  <si>
    <t>Quyết định số 2465/QĐ-UBND ngày 30/9/2020 của UBND tỉnh</t>
  </si>
  <si>
    <t>Trang trại chăn nuôi heo thịt Trương Công Định</t>
  </si>
  <si>
    <t>Quyết định số 2783/QĐ-UBND ngày 06/11/2020 của UBND tỉnh</t>
  </si>
  <si>
    <t>Trại chăn nuôi heo (Hộ kinh doanh Nguyễn Thị Nhiều)</t>
  </si>
  <si>
    <t>Quyết định số 2462/QĐ-UBND ngày 30/9/2020 của UBND tỉnh</t>
  </si>
  <si>
    <t>Trang trại chăn nuôi gà thịt (Cty TNHH ĐT PT Duy Bảo)</t>
  </si>
  <si>
    <t>Quyết định số 240/QĐ-UBND ngày 26/01/2021 của UBND tỉnh</t>
  </si>
  <si>
    <t>Trang trại chăn nuôi gà (Công ty TNHH Chăn nuôi QT An Phú)</t>
  </si>
  <si>
    <t>Quyết định số 2170 ngày 27/8/2021 của UBND tỉnh</t>
  </si>
  <si>
    <t>Cửa hàng kinh doanh xăng dầu (Cty TNHH MTV Xăng dầu Nguyễn Hiền)</t>
  </si>
  <si>
    <t>CLN và các loại đất khác</t>
  </si>
  <si>
    <t>Quyết định số 1999/QĐ-UBND ngày 24/9/2019 của UBND tỉnh</t>
  </si>
  <si>
    <t>Nâng cấp cải tạo cửa hàng kinh doanh xăng dầu (DNTN Bích Thủy)</t>
  </si>
  <si>
    <t>Quyết định số 2024/QĐ-UBND ngày 26/9/2019 của UBND tỉnh</t>
  </si>
  <si>
    <t>Trạm kinh doanh xăng dầu (Cty TNHH An Khang Trang)</t>
  </si>
  <si>
    <t>Quyết định số 2304/QĐ-UBND ngày 03/10/2018 của UBND tỉnh</t>
  </si>
  <si>
    <t>Cửa hàng kinh doanh xăng dầu (Cty TNHH Xăng dầu Hương Phát)</t>
  </si>
  <si>
    <t>Quyết định số 1495/QĐ-UBND ngày 18/7/2019 của UBND tỉnh</t>
  </si>
  <si>
    <t>Xây dựng cửa hàng kinh doanh xăng dầu (Công ty CP Nhiên liệu Phú Tân)</t>
  </si>
  <si>
    <t>Quyết định số 2670/QĐ-UBND ngày 15/10/2021 của UBND tỉnh</t>
  </si>
  <si>
    <t>Khu du lịch sinh thái nghỉ dưỡng Bằng Lăng Tím (Công ty CP Du lịch và Dịch vụ Phú Cường Tourist)</t>
  </si>
  <si>
    <t>Quyết định số 75/QĐ-UBND ngày 11/01/2021 của UBND tỉnh</t>
  </si>
  <si>
    <t>Cửa hàng xăng dầu (Cty TNHH MTV SX TM DV Thắng Lợi)</t>
  </si>
  <si>
    <t>Quyết định số 1204/QĐ-UBND ngày 07/6/2019 của UBND tỉnh</t>
  </si>
  <si>
    <t>Trụ sở làm việc nông trường cao su Bình Minh</t>
  </si>
  <si>
    <t>Công văn số 12 ngày 03/01/2020 của Công ty TNHH MTV Cao su Bình Long</t>
  </si>
  <si>
    <t>Nhà máy sản xuất đất giàu dinh dưỡng (Công ty TNHH sinh học Cao Gia Quý)</t>
  </si>
  <si>
    <t>Quyết định số 3178 ngày 16/12/2020 của UBND tỉnh</t>
  </si>
  <si>
    <t>Nhà xưởng sản xuất Mousse (Công ty TNHH Kim Chi Phát)</t>
  </si>
  <si>
    <t>Quyết định số 1280 ngày 18/5/2021 của UBND tỉnh</t>
  </si>
  <si>
    <t>Dự án trại chăn nuôi gà (Công ty TNHH Chấn Hưng Gia)</t>
  </si>
  <si>
    <t>Biên bản khảo sát ngày 28/12/2021</t>
  </si>
  <si>
    <t>Khu dân cư Khu phố 1</t>
  </si>
  <si>
    <t>CLN (6,73);
 ODT (2,00)</t>
  </si>
  <si>
    <t>ODT và các loại đất khác</t>
  </si>
  <si>
    <t>Công văn số 2559/UBND-KT ngày 06/9/2018 của UBND tỉnh</t>
  </si>
  <si>
    <t>Khu dân cư An Khương</t>
  </si>
  <si>
    <t>Quyết định số 1943/QĐ-UBND ngày 18/8/2020 của UBND tỉnh Bình Phước</t>
  </si>
  <si>
    <t>Khu dân cư An Thịnh</t>
  </si>
  <si>
    <t>Quyết định số 1942/QĐ-UBND ngày 18/8/2020 của UBND tỉnh Bình Phước</t>
  </si>
  <si>
    <t>Khu dân cư Tân Hưng</t>
  </si>
  <si>
    <t>Quyết định số 1394/QĐ-UBND ngày 24/6/2020 của UBND tỉnh</t>
  </si>
  <si>
    <t>Chuyển mục đích sang đất ở hộ gia đình, cá nhân</t>
  </si>
  <si>
    <t>Xã An Khương</t>
  </si>
  <si>
    <t>CLN, HNK</t>
  </si>
  <si>
    <t>Xã An Phú</t>
  </si>
  <si>
    <t>Xã Đồng Nơ</t>
  </si>
  <si>
    <t>Xã Minh Đức</t>
  </si>
  <si>
    <t>Xã Minh Tâm</t>
  </si>
  <si>
    <t>Xã Phước An</t>
  </si>
  <si>
    <t>Xã Tân Hiệp</t>
  </si>
  <si>
    <t>Xã Tân Hưng</t>
  </si>
  <si>
    <t>Thị trấn Tân Khai</t>
  </si>
  <si>
    <t>Xã Tân Lợi</t>
  </si>
  <si>
    <t>Xã Tân Quan</t>
  </si>
  <si>
    <t>Xã Thanh An</t>
  </si>
  <si>
    <t>Xã Thanh Bình</t>
  </si>
  <si>
    <t>Chuyển mục đích cơ sở sản xuất phi nông nghiệp</t>
  </si>
  <si>
    <t>Chuyển mục đích sang đất thương mại, dịch vụ</t>
  </si>
  <si>
    <t>Chuyển mục đích sang đất trồng cây lâu năm</t>
  </si>
  <si>
    <t>HNK, NTS</t>
  </si>
  <si>
    <t>NTS, SKC, HNK</t>
  </si>
  <si>
    <t>Chuyển mục đích sang đất phi nông nghiệp khác</t>
  </si>
  <si>
    <t>Chuyển mục đích sang đất nông nghiệp khác</t>
  </si>
  <si>
    <t>2.2.2. Giao đất</t>
  </si>
  <si>
    <t>Cơ sở thờ tự (Chùa Bảo Tích) (đã hiện trạng)</t>
  </si>
  <si>
    <t>Quyết định số 187/QĐ-UBND ngày 22/01/2021 của UBND tỉnh</t>
  </si>
  <si>
    <t>Cơ sở thờ tự (Chùa Thanh Long) (đã hiện trạng)</t>
  </si>
  <si>
    <t>Công văn số 2156/STNMT-CCQLĐĐ ngày 05/8/2021 của Sở Tài nguyên và Môi trường</t>
  </si>
  <si>
    <t>2.2.3. Khu vực đấu giá</t>
  </si>
  <si>
    <t>Đấu giá QSD đất 68 lô đất ở tại TTHC huyện Hớn Quản (còn lại)</t>
  </si>
  <si>
    <t>Kế hoạch số 210/KH-UBND ngày 02/12/2020 của UBND huyện</t>
  </si>
  <si>
    <t>Đấu giá QSD đất 06 lô đất ở giáp đường ĐT757</t>
  </si>
  <si>
    <t>Quyết định số 444/QĐ-UBND ngày 11/3/2019 của UBND tỉnh; Quyết định số 1530/QĐ-UBND ngày 08/7/2020 của
UBND tỉnh</t>
  </si>
  <si>
    <t>Đấu giá Khu dân cư phía Tây TTHC huyện Hớn Quản</t>
  </si>
  <si>
    <t>Công văn số 2339/UBND-KT ngày 16/7/2020 của UBND tỉnh, Thông báo số 272/TB-UBND ngày 17/9/2019 của UBND tỉnh, Kế hoạch số 210/KH-UBND ngày 02/12/2020 của UBND huyện</t>
  </si>
  <si>
    <t>Đấu giá QSD đất khu đất trụ sở UBND xã Tân Khai (cũ)</t>
  </si>
  <si>
    <t>Kế hoạch số 54/KH-UBND ngày 04/3/2021 của UBND huyện Hớn Quản</t>
  </si>
  <si>
    <t>Biểu 11/CH</t>
  </si>
  <si>
    <t>DIỆN TÍCH, CƠ CẤU SỬ DỤNG ĐẤT CÁC KHU CHỨC NĂNG</t>
  </si>
  <si>
    <t>Loại đất</t>
  </si>
  <si>
    <t>Cơ cấu (%)</t>
  </si>
  <si>
    <t>TỔNG DIỆN TÍCH (1+2+3)</t>
  </si>
  <si>
    <t>Biểu 13/CH</t>
  </si>
  <si>
    <t>CHU CHUYỂN ĐẤT ĐAI TRONG KẾ HOẠCH SỬ DỤNG ĐẤT NĂM 2022</t>
  </si>
  <si>
    <t>Diện tích đầu kỳ năm 2021</t>
  </si>
  <si>
    <t>Chu chuyển đất đai trong năm 2022</t>
  </si>
  <si>
    <t>Cộng giảm</t>
  </si>
  <si>
    <t>Biến động Tăng (+) Giảm (-)</t>
  </si>
  <si>
    <t>Diện tích cuối kỳ năm 2022</t>
  </si>
  <si>
    <t>Tổng diện tích đất tự nhiên</t>
  </si>
  <si>
    <t>I. Nhóm đất nông nghiệp</t>
  </si>
  <si>
    <t>1.1. Đất trồng lúa</t>
  </si>
  <si>
    <t>- Đất chuyên trồng lúa nước</t>
  </si>
  <si>
    <t>1.2. Đất trồng cây hàng năm khác</t>
  </si>
  <si>
    <t>1.3. Đất trồng cây lâu năm</t>
  </si>
  <si>
    <t>1.4. Đất rừng phòng hộ</t>
  </si>
  <si>
    <t>1.5. Đất rừng đặc dụng</t>
  </si>
  <si>
    <t>1.6. Đất rừng sản xuất</t>
  </si>
  <si>
    <t xml:space="preserve">  - Rừng sản xuất là rừng tự nhiên</t>
  </si>
  <si>
    <t>1.7. Đất nuôi trồng thủy sản</t>
  </si>
  <si>
    <t>1.8. Đất làm muối</t>
  </si>
  <si>
    <t>1.9. Đất nông nghiệp khác</t>
  </si>
  <si>
    <t>II. Nhóm đất phi nông nghiệp</t>
  </si>
  <si>
    <t>2.1. Đất quốc phòng</t>
  </si>
  <si>
    <t>2.2. Đất an ninh</t>
  </si>
  <si>
    <t>2.3. Đất khu công nghiệp</t>
  </si>
  <si>
    <t>2.4. Đất cụm công nghiệp</t>
  </si>
  <si>
    <t>2.5. Đất thương mại dịch vụ</t>
  </si>
  <si>
    <t>2.6. Đất cơ sở sản xuất phi nông nghiệp</t>
  </si>
  <si>
    <t>2.7. Đất sử dụng cho hoạt động khoáng sản</t>
  </si>
  <si>
    <t>2.8. Đất sản xuất vật liệu xây dựng, làm đồ gốm</t>
  </si>
  <si>
    <t>2.9. Đất phát triển hạ tầng</t>
  </si>
  <si>
    <t xml:space="preserve">  - Đất giao thông</t>
  </si>
  <si>
    <t xml:space="preserve">  - Đất thủy lợi</t>
  </si>
  <si>
    <t xml:space="preserve">  - Đất xây dựng cơ sở văn hóa</t>
  </si>
  <si>
    <t xml:space="preserve">  - Đất xây dựng cơ sở y tế</t>
  </si>
  <si>
    <t xml:space="preserve">  - Đất xây dựng cơ sở giáo dục - đào tạo</t>
  </si>
  <si>
    <t xml:space="preserve">  - Đất xây dựng cơ sở thể dục thể thao</t>
  </si>
  <si>
    <t xml:space="preserve">  - Đất công trình năng lượng</t>
  </si>
  <si>
    <t xml:space="preserve">  - Đất công trình bưu chính, viễn thông</t>
  </si>
  <si>
    <t xml:space="preserve">  - Đất xây dựng kho dự trữ quốc gia</t>
  </si>
  <si>
    <t xml:space="preserve">  - Đất có di tích lịch sử - văn hóa</t>
  </si>
  <si>
    <t xml:space="preserve">  - Đất bãi thải xử lý chất thải</t>
  </si>
  <si>
    <t xml:space="preserve">  - Đất cơ sở tôn giáo</t>
  </si>
  <si>
    <t xml:space="preserve">  - Đất làm nghĩa trang, nhà tang lễ, nhà hỏa táng</t>
  </si>
  <si>
    <t xml:space="preserve">  - Đất xây dựng cơ sở khoa học công nghệ</t>
  </si>
  <si>
    <t xml:space="preserve">  - Đất xây dựng cơ sở dịch vụ xã hội</t>
  </si>
  <si>
    <t xml:space="preserve">  - Đất chợ</t>
  </si>
  <si>
    <t>2.10. Đất danh lam thắng cảnh</t>
  </si>
  <si>
    <t>2.11. Đất sinh hoạt cộng đồng</t>
  </si>
  <si>
    <t>2.12. Đất khu vui chơi giải trí công cộng</t>
  </si>
  <si>
    <t>2.13. Đất ở nông thôn</t>
  </si>
  <si>
    <t>2.14. Đất ở đô thị</t>
  </si>
  <si>
    <t>2.15. Đất trụ sở cơ quan</t>
  </si>
  <si>
    <t>2.16. Đất xây dựng TS tổ chức sự nghiệp</t>
  </si>
  <si>
    <t>2.17. Đất xây dựng cơ sở ngoại giao</t>
  </si>
  <si>
    <t>2.18. Đất cơ sở tín ngưỡng</t>
  </si>
  <si>
    <t>2.19. Đất sông ngoài, kênh, rạch suối</t>
  </si>
  <si>
    <t>2.20. Đất có mặt nước chuyên dùng</t>
  </si>
  <si>
    <t>2.21. Đất phi nông nghiệp khác</t>
  </si>
  <si>
    <t>III. Nhóm đất chưa sử dụng</t>
  </si>
  <si>
    <t>Cộng tăng</t>
  </si>
  <si>
    <t>Phụ lục 01</t>
  </si>
  <si>
    <t>DANH MỤC CÔNG TRÌNH, DỰ ÁN CẦN THU HỒI ĐẤT TRONG NĂM 2022</t>
  </si>
  <si>
    <t>HUYỆN HỚN QUẢN, TỈNH BÌNH PHƯỚC</t>
  </si>
  <si>
    <t>Tên dự án</t>
  </si>
  <si>
    <t>Loại đất thu hồi</t>
  </si>
  <si>
    <t>Địa điểm thực hiện (đến cấp xã)</t>
  </si>
  <si>
    <t>Số tiền để bồi thường (triệu đồng)</t>
  </si>
  <si>
    <t>Nguồn vốn thực hiện</t>
  </si>
  <si>
    <t>Tổng dự án</t>
  </si>
  <si>
    <t>Hiện trạng</t>
  </si>
  <si>
    <t>Thu hồi</t>
  </si>
  <si>
    <t>Ngân sách tỉnh</t>
  </si>
  <si>
    <t>Ngân sách huyện</t>
  </si>
  <si>
    <t>Nguồn vốn khác (vốn DN, vốn TW…)</t>
  </si>
  <si>
    <t>A</t>
  </si>
  <si>
    <t>Các danh mục chuyển tiếp</t>
  </si>
  <si>
    <t>x</t>
  </si>
  <si>
    <t>Thu hồi đất của Công ty TNHH MTV Cao su Bình Long để bổ sung quy hoạch các Cụm Công nghiệp giai đoạn 2021-2030 (Cụm CN Phước An, Cụm CN Minh Tâm, Cụm CN Tân Hưng, Cụm CN Thanh An) (quy mô 75 ha/cụm)</t>
  </si>
  <si>
    <t>CLN, DGT, SON, ONT</t>
  </si>
  <si>
    <t>CLN, LUK, ONT</t>
  </si>
  <si>
    <t>LUK, CLN, DTL, NTS</t>
  </si>
  <si>
    <t>B</t>
  </si>
  <si>
    <t>Các danh mục đăng ký mới</t>
  </si>
  <si>
    <t>CLN, DGT, SON</t>
  </si>
  <si>
    <t>Tổng</t>
  </si>
  <si>
    <t>Phụ lục 02</t>
  </si>
  <si>
    <t>DANH MỤC CÔNG TRÌNH, DỰ ÁN QUÁ 03 NĂM CHƯA THỰC HIỆN CỦA HUYỆN HỚN QUẢN - TỈNH BÌNH PHƯỚC</t>
  </si>
  <si>
    <t>(Ban hành kèm theo Nghị quyết số 17/2021/NQ-HĐND ngày 07/12/2021 của HĐND tỉnh Bình Phước)</t>
  </si>
  <si>
    <t>Diện tích thu hồi (ha)</t>
  </si>
  <si>
    <t>Địa điểm (đến cấp xã)</t>
  </si>
  <si>
    <t>Căn cứ pháp lý (QĐ giao vốn hoặc VB thuận chủ trương đầu tư)</t>
  </si>
  <si>
    <t>Nguồn vốn khác (vốn DN, vốn TW,…)</t>
  </si>
  <si>
    <t>Đường điện Phước An - Tân Quan</t>
  </si>
  <si>
    <t>Phước An, Tân Quan</t>
  </si>
  <si>
    <t>Ban QLDA tỉnh đăng ký</t>
  </si>
  <si>
    <t>Bãi rác Tân Hưng</t>
  </si>
  <si>
    <t>Nghĩa trang Tân Lợi</t>
  </si>
  <si>
    <t>Phụ lục 03</t>
  </si>
  <si>
    <t>DANH MỤC CÔNG TRÌNH, DỰ ÁN ĐẤU GIÁ QUYỀN SỬ DỤNG ĐẤT TRONG NĂM 2022</t>
  </si>
  <si>
    <t>Tên công trình</t>
  </si>
  <si>
    <t>Loại đất lấy vào</t>
  </si>
  <si>
    <t>Mục đích SDĐ</t>
  </si>
  <si>
    <t>Sum of TNG4</t>
  </si>
  <si>
    <t>MA_QH</t>
  </si>
  <si>
    <t>MA_HT</t>
  </si>
  <si>
    <t>LUN</t>
  </si>
  <si>
    <t>NCK</t>
  </si>
  <si>
    <t>SKT</t>
  </si>
  <si>
    <t>(blank)</t>
  </si>
  <si>
    <t>Grand Total</t>
  </si>
  <si>
    <t>Sum of XBC4</t>
  </si>
  <si>
    <t>Sum of XBB4</t>
  </si>
  <si>
    <t>Sum of XBG4</t>
  </si>
  <si>
    <t>Sum of XBT4</t>
  </si>
  <si>
    <t>Sum of XCB4</t>
  </si>
  <si>
    <t>Sum of XDB4</t>
  </si>
  <si>
    <t>Sum of XKL4</t>
  </si>
  <si>
    <t>Sum of XLL4</t>
  </si>
  <si>
    <t>Sum of XNT4</t>
  </si>
  <si>
    <t>Sum of XQT4</t>
  </si>
  <si>
    <t>Sum of XSB4</t>
  </si>
  <si>
    <t>Sum of XSN4</t>
  </si>
  <si>
    <t>Sum of XSR4</t>
  </si>
  <si>
    <t>Sum of XXB4</t>
  </si>
  <si>
    <t>Sum of XXS4</t>
  </si>
  <si>
    <t>Sum of CMD 16</t>
  </si>
  <si>
    <t>Biểu 09/CH-KH</t>
  </si>
  <si>
    <t>Mục đích</t>
  </si>
  <si>
    <t>Mã đất</t>
  </si>
  <si>
    <t>Lấy vào các loại đất</t>
  </si>
  <si>
    <t>Diện tích năm…</t>
  </si>
  <si>
    <t>Cộng
giảm</t>
  </si>
  <si>
    <t>Biến
động</t>
  </si>
  <si>
    <t>DIỆN TÍCH TỰ NHIÊN</t>
  </si>
  <si>
    <t>- Đất trồng lúa khác</t>
  </si>
  <si>
    <t>- Đất trồng lúa nương</t>
  </si>
  <si>
    <t>Đất trồng cây hàng năm còn lại</t>
  </si>
  <si>
    <t>Đất trồng rừng đặc dụng</t>
  </si>
  <si>
    <t>Đất khu chế xuất</t>
  </si>
  <si>
    <t>Đất phát triển hạ tầng cấp quốc gia, cấp tỉnh, cấp huyện, cấp xã</t>
  </si>
  <si>
    <t>2.14.1</t>
  </si>
  <si>
    <t>Giao thông</t>
  </si>
  <si>
    <t>2.14.2</t>
  </si>
  <si>
    <t>Thủy lợi</t>
  </si>
  <si>
    <t>2.14.3</t>
  </si>
  <si>
    <t>Công trình năng lượng</t>
  </si>
  <si>
    <t>2.14.4</t>
  </si>
  <si>
    <t>Bưu chính viễn thông</t>
  </si>
  <si>
    <t>2.14.5</t>
  </si>
  <si>
    <t>Văn hóa</t>
  </si>
  <si>
    <t>2.14.6</t>
  </si>
  <si>
    <t>Y tế</t>
  </si>
  <si>
    <t>2.14.7</t>
  </si>
  <si>
    <t>Giáo dục đào tạo</t>
  </si>
  <si>
    <t>2.14.8</t>
  </si>
  <si>
    <t>Thể dục thể thao</t>
  </si>
  <si>
    <t>2.14.9</t>
  </si>
  <si>
    <t>Nghiên cứu khoa học</t>
  </si>
  <si>
    <t>2.14.10</t>
  </si>
  <si>
    <t>Dịch vụ xã hội</t>
  </si>
  <si>
    <t>2.14.11</t>
  </si>
  <si>
    <t>Chợ</t>
  </si>
  <si>
    <t>2.14.12</t>
  </si>
  <si>
    <t>Đất di tích lịch sử -văn hóa</t>
  </si>
  <si>
    <t>Đất bãi thải xử lý chất thải</t>
  </si>
  <si>
    <t>Đất xây dựng trụ sở tổ chức sự nghiệp</t>
  </si>
  <si>
    <t>Đất làm nghĩa trang, nghĩa địa, nhà tang lễ, nhà hỏa táng</t>
  </si>
  <si>
    <t>2.22</t>
  </si>
  <si>
    <t>2.23</t>
  </si>
  <si>
    <t>2.24</t>
  </si>
  <si>
    <t>2.25</t>
  </si>
  <si>
    <t>Đất mặt nước chuyên dùng</t>
  </si>
  <si>
    <t>2.26</t>
  </si>
  <si>
    <t>dd</t>
  </si>
</sst>
</file>

<file path=xl/styles.xml><?xml version="1.0" encoding="utf-8"?>
<styleSheet xmlns="http://schemas.openxmlformats.org/spreadsheetml/2006/main">
  <numFmts count="16">
    <numFmt numFmtId="176" formatCode="&quot;\&quot;#,##0;[Red]&quot;\&quot;\-#,##0"/>
    <numFmt numFmtId="177" formatCode="\$#,##0\ ;\(\$#,##0\)"/>
    <numFmt numFmtId="178" formatCode="_-* #,##0.00\ &quot;₫&quot;_-;\-* #,##0.00\ &quot;₫&quot;_-;_-* &quot;-&quot;??\ &quot;₫&quot;_-;_-@_-"/>
    <numFmt numFmtId="179" formatCode="_ * #,##0.00_ ;_ * \-#,##0.00_ ;_ * &quot;-&quot;??_ ;_ @_ "/>
    <numFmt numFmtId="180" formatCode="_-* #,##0\ &quot;₫&quot;_-;\-* #,##0\ &quot;₫&quot;_-;_-* &quot;-&quot;\ &quot;₫&quot;_-;_-@_-"/>
    <numFmt numFmtId="181" formatCode="_ * #,##0_ ;_ * \-#,##0_ ;_ * &quot;-&quot;_ ;_ @_ "/>
    <numFmt numFmtId="182" formatCode="&quot;\&quot;#,##0.00;[Red]&quot;\&quot;&quot;\&quot;&quot;\&quot;&quot;\&quot;&quot;\&quot;&quot;\&quot;\-#,##0.00"/>
    <numFmt numFmtId="183" formatCode="&quot;\&quot;#,##0;[Red]&quot;\&quot;&quot;\&quot;\-#,##0"/>
    <numFmt numFmtId="184" formatCode="&quot;\&quot;#,##0.00;[Red]&quot;\&quot;\-#,##0.00"/>
    <numFmt numFmtId="185" formatCode="_(* #,##0.00_);_(* \(#,##0.00\);_(* &quot;-&quot;??_);_(@_)"/>
    <numFmt numFmtId="186" formatCode="#,##0.0000"/>
    <numFmt numFmtId="187" formatCode="0.0000"/>
    <numFmt numFmtId="188" formatCode="_(* #,##0.0000_);_(* \(#,##0.0000\);_(* &quot;-&quot;????_);_(@_)"/>
    <numFmt numFmtId="189" formatCode="_ * #,##0_ ;_ * \-#,##0_ ;_ * &quot;-&quot;??_ ;_ @_ "/>
    <numFmt numFmtId="43" formatCode="_-* #,##0.00\ _₫_-;\-* #,##0.00\ _₫_-;_-* &quot;-&quot;??\ _₫_-;_-@_-"/>
    <numFmt numFmtId="190" formatCode="0_);\(0\)"/>
  </numFmts>
  <fonts count="75">
    <font>
      <sz val="11"/>
      <color theme="1"/>
      <name val="Arial"/>
      <charset val="134"/>
    </font>
    <font>
      <b/>
      <sz val="9"/>
      <name val="Times New Roman"/>
      <charset val="134"/>
    </font>
    <font>
      <sz val="9"/>
      <name val="Arial"/>
      <charset val="163"/>
    </font>
    <font>
      <b/>
      <sz val="9"/>
      <name val="Arial"/>
      <charset val="163"/>
    </font>
    <font>
      <i/>
      <sz val="9"/>
      <name val="Arial"/>
      <charset val="163"/>
    </font>
    <font>
      <sz val="9"/>
      <name val="Times New Roman"/>
      <charset val="134"/>
    </font>
    <font>
      <b/>
      <sz val="9"/>
      <name val="VNI-Helve-Condense"/>
      <charset val="134"/>
    </font>
    <font>
      <sz val="9"/>
      <name val="VNI-Helve-Condense"/>
      <charset val="134"/>
    </font>
    <font>
      <i/>
      <sz val="9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b/>
      <i/>
      <sz val="9"/>
      <name val="Times New Roman"/>
      <charset val="134"/>
    </font>
    <font>
      <sz val="7"/>
      <name val="VNI-Helve-Condense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8"/>
      <color theme="1"/>
      <name val="Times New Roman"/>
      <charset val="134"/>
    </font>
    <font>
      <sz val="11"/>
      <color theme="1"/>
      <name val="Times New Roman"/>
      <charset val="134"/>
    </font>
    <font>
      <i/>
      <sz val="12"/>
      <color theme="1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i/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i/>
      <sz val="10"/>
      <color theme="1"/>
      <name val="Times New Roman"/>
      <charset val="134"/>
    </font>
    <font>
      <i/>
      <sz val="10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8"/>
      <name val="Times New Roman"/>
      <charset val="134"/>
    </font>
    <font>
      <i/>
      <sz val="10"/>
      <name val="Times New Roman"/>
      <charset val="134"/>
    </font>
    <font>
      <sz val="6"/>
      <name val="Times New Roman"/>
      <charset val="134"/>
    </font>
    <font>
      <sz val="10"/>
      <color indexed="8"/>
      <name val="Times New Roman"/>
      <charset val="134"/>
    </font>
    <font>
      <i/>
      <sz val="10"/>
      <color indexed="8"/>
      <name val="Times New Roman"/>
      <charset val="134"/>
    </font>
    <font>
      <b/>
      <sz val="8"/>
      <color theme="1"/>
      <name val="Times New Roman"/>
      <charset val="134"/>
    </font>
    <font>
      <b/>
      <sz val="9"/>
      <color theme="1"/>
      <name val="Times New Roman"/>
      <charset val="134"/>
    </font>
    <font>
      <i/>
      <sz val="9"/>
      <color theme="1"/>
      <name val="Times New Roman"/>
      <charset val="134"/>
    </font>
    <font>
      <sz val="10"/>
      <name val=".VnTime"/>
      <charset val="134"/>
    </font>
    <font>
      <sz val="12"/>
      <name val=".VnTime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name val="바탕체"/>
      <charset val="129"/>
    </font>
    <font>
      <sz val="14"/>
      <name val="??"/>
      <charset val="129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2"/>
      <name val="뼻뮝"/>
      <charset val="129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name val="???"/>
      <charset val="129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b/>
      <sz val="12"/>
      <name val="Arial"/>
      <charset val="134"/>
    </font>
    <font>
      <sz val="13"/>
      <color theme="1"/>
      <name val="Times New Roman"/>
      <charset val="134"/>
    </font>
    <font>
      <sz val="10"/>
      <name val="Arial"/>
      <charset val="163"/>
    </font>
    <font>
      <sz val="11"/>
      <name val="UVnTime"/>
      <charset val="134"/>
    </font>
    <font>
      <sz val="14"/>
      <name val="뼻뮝"/>
      <charset val="129"/>
    </font>
    <font>
      <sz val="12"/>
      <name val="VNI-Times"/>
      <charset val="134"/>
    </font>
    <font>
      <sz val="11"/>
      <color theme="1"/>
      <name val="Calibri"/>
      <charset val="134"/>
    </font>
    <font>
      <sz val="11"/>
      <color theme="1"/>
      <name val="Times New Roman"/>
      <charset val="134"/>
    </font>
    <font>
      <sz val="10"/>
      <name val="굴림체"/>
      <charset val="129"/>
    </font>
    <font>
      <i/>
      <vertAlign val="superscript"/>
      <sz val="10"/>
      <color rgb="FF000000"/>
      <name val="Times New Roman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4">
    <xf numFmtId="0" fontId="0" fillId="0" borderId="0"/>
    <xf numFmtId="0" fontId="40" fillId="14" borderId="0" applyNumberFormat="0" applyBorder="0" applyAlignment="0" applyProtection="0">
      <alignment vertical="center"/>
    </xf>
    <xf numFmtId="179" fontId="46" fillId="0" borderId="0" applyFont="0" applyFill="0" applyBorder="0" applyAlignment="0" applyProtection="0">
      <alignment vertical="center"/>
    </xf>
    <xf numFmtId="0" fontId="38" fillId="0" borderId="0"/>
    <xf numFmtId="181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  <xf numFmtId="40" fontId="42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47" fillId="16" borderId="27" applyNumberFormat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24" borderId="30" applyNumberFormat="0" applyFon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35" borderId="31" applyNumberFormat="0" applyAlignment="0" applyProtection="0">
      <alignment vertical="center"/>
    </xf>
    <xf numFmtId="3" fontId="26" fillId="0" borderId="0" applyFont="0" applyFill="0" applyBorder="0" applyAlignment="0" applyProtection="0"/>
    <xf numFmtId="0" fontId="39" fillId="2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3" fillId="23" borderId="29" applyNumberFormat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8" fillId="23" borderId="31" applyNumberFormat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2" fontId="26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7" fillId="0" borderId="0"/>
    <xf numFmtId="38" fontId="42" fillId="0" borderId="0" applyFont="0" applyFill="0" applyBorder="0" applyAlignment="0" applyProtection="0"/>
    <xf numFmtId="0" fontId="40" fillId="38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9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182" fontId="26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62" fillId="0" borderId="0"/>
    <xf numFmtId="0" fontId="65" fillId="0" borderId="34" applyNumberFormat="0" applyAlignment="0" applyProtection="0">
      <alignment horizontal="left" vertical="center"/>
    </xf>
    <xf numFmtId="0" fontId="65" fillId="0" borderId="5">
      <alignment horizontal="left" vertical="center"/>
    </xf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6" fillId="0" borderId="0"/>
    <xf numFmtId="176" fontId="41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66" fillId="0" borderId="0"/>
    <xf numFmtId="0" fontId="26" fillId="0" borderId="0"/>
    <xf numFmtId="0" fontId="71" fillId="0" borderId="0"/>
    <xf numFmtId="0" fontId="71" fillId="0" borderId="0"/>
    <xf numFmtId="0" fontId="26" fillId="0" borderId="0"/>
    <xf numFmtId="0" fontId="72" fillId="0" borderId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54" fillId="0" borderId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73" fillId="0" borderId="0"/>
  </cellStyleXfs>
  <cellXfs count="633">
    <xf numFmtId="0" fontId="0" fillId="0" borderId="0" xfId="0"/>
    <xf numFmtId="0" fontId="1" fillId="0" borderId="0" xfId="44" applyFont="1" applyFill="1" applyAlignment="1">
      <alignment vertical="center"/>
    </xf>
    <xf numFmtId="0" fontId="2" fillId="0" borderId="0" xfId="72" applyFont="1"/>
    <xf numFmtId="0" fontId="3" fillId="0" borderId="0" xfId="72" applyFont="1"/>
    <xf numFmtId="0" fontId="4" fillId="0" borderId="0" xfId="72" applyFont="1"/>
    <xf numFmtId="0" fontId="4" fillId="0" borderId="0" xfId="72" applyFont="1" applyBorder="1"/>
    <xf numFmtId="0" fontId="2" fillId="0" borderId="0" xfId="72" applyFont="1" applyBorder="1"/>
    <xf numFmtId="0" fontId="5" fillId="0" borderId="0" xfId="44" applyFont="1" applyFill="1" applyAlignment="1">
      <alignment vertical="center"/>
    </xf>
    <xf numFmtId="185" fontId="5" fillId="0" borderId="0" xfId="44" applyNumberFormat="1" applyFont="1" applyFill="1" applyAlignment="1">
      <alignment vertical="center"/>
    </xf>
    <xf numFmtId="185" fontId="1" fillId="0" borderId="0" xfId="44" applyNumberFormat="1" applyFont="1" applyFill="1" applyAlignment="1">
      <alignment vertical="center"/>
    </xf>
    <xf numFmtId="185" fontId="6" fillId="0" borderId="0" xfId="44" applyNumberFormat="1" applyFont="1" applyFill="1" applyAlignment="1">
      <alignment vertical="center"/>
    </xf>
    <xf numFmtId="185" fontId="7" fillId="0" borderId="0" xfId="44" applyNumberFormat="1" applyFont="1" applyFill="1" applyAlignment="1">
      <alignment vertical="center"/>
    </xf>
    <xf numFmtId="185" fontId="8" fillId="0" borderId="0" xfId="44" applyNumberFormat="1" applyFont="1" applyFill="1" applyAlignment="1">
      <alignment vertical="center"/>
    </xf>
    <xf numFmtId="186" fontId="5" fillId="0" borderId="0" xfId="44" applyNumberFormat="1" applyFont="1" applyFill="1" applyAlignment="1">
      <alignment vertical="center"/>
    </xf>
    <xf numFmtId="0" fontId="9" fillId="0" borderId="0" xfId="72" applyFont="1" applyFill="1" applyAlignment="1">
      <alignment vertical="center"/>
    </xf>
    <xf numFmtId="0" fontId="10" fillId="0" borderId="0" xfId="44" applyFont="1" applyFill="1" applyAlignment="1">
      <alignment vertical="center"/>
    </xf>
    <xf numFmtId="0" fontId="9" fillId="0" borderId="0" xfId="44" applyFont="1" applyFill="1" applyAlignment="1">
      <alignment horizontal="left" vertical="center"/>
    </xf>
    <xf numFmtId="185" fontId="9" fillId="0" borderId="0" xfId="44" applyNumberFormat="1" applyFont="1" applyFill="1" applyAlignment="1">
      <alignment horizontal="center" vertical="center"/>
    </xf>
    <xf numFmtId="185" fontId="1" fillId="0" borderId="0" xfId="44" applyNumberFormat="1" applyFont="1" applyFill="1" applyAlignment="1">
      <alignment horizontal="center" vertical="center"/>
    </xf>
    <xf numFmtId="0" fontId="11" fillId="0" borderId="0" xfId="44" applyFont="1" applyFill="1" applyAlignment="1">
      <alignment vertical="center"/>
    </xf>
    <xf numFmtId="185" fontId="1" fillId="0" borderId="1" xfId="44" applyNumberFormat="1" applyFont="1" applyFill="1" applyBorder="1" applyAlignment="1">
      <alignment vertical="center"/>
    </xf>
    <xf numFmtId="4" fontId="1" fillId="0" borderId="2" xfId="72" applyNumberFormat="1" applyFont="1" applyBorder="1" applyAlignment="1">
      <alignment horizontal="center" vertical="center"/>
    </xf>
    <xf numFmtId="185" fontId="5" fillId="0" borderId="3" xfId="72" applyNumberFormat="1" applyFont="1" applyFill="1" applyBorder="1" applyAlignment="1">
      <alignment vertical="center"/>
    </xf>
    <xf numFmtId="185" fontId="1" fillId="0" borderId="4" xfId="72" applyNumberFormat="1" applyFont="1" applyFill="1" applyBorder="1" applyAlignment="1">
      <alignment vertical="center"/>
    </xf>
    <xf numFmtId="185" fontId="5" fillId="0" borderId="5" xfId="72" applyNumberFormat="1" applyFont="1" applyFill="1" applyBorder="1" applyAlignment="1">
      <alignment vertical="center"/>
    </xf>
    <xf numFmtId="4" fontId="1" fillId="0" borderId="6" xfId="72" applyNumberFormat="1" applyFont="1" applyBorder="1" applyAlignment="1">
      <alignment horizontal="center" vertical="center"/>
    </xf>
    <xf numFmtId="185" fontId="5" fillId="2" borderId="3" xfId="72" applyNumberFormat="1" applyFont="1" applyFill="1" applyBorder="1" applyAlignment="1">
      <alignment horizontal="center" vertical="center" wrapText="1"/>
    </xf>
    <xf numFmtId="185" fontId="1" fillId="3" borderId="3" xfId="72" applyNumberFormat="1" applyFont="1" applyFill="1" applyBorder="1" applyAlignment="1">
      <alignment horizontal="center" vertical="center" wrapText="1"/>
    </xf>
    <xf numFmtId="185" fontId="5" fillId="4" borderId="3" xfId="72" applyNumberFormat="1" applyFont="1" applyFill="1" applyBorder="1" applyAlignment="1">
      <alignment horizontal="center" vertical="center" wrapText="1"/>
    </xf>
    <xf numFmtId="185" fontId="5" fillId="5" borderId="3" xfId="72" applyNumberFormat="1" applyFont="1" applyFill="1" applyBorder="1" applyAlignment="1">
      <alignment horizontal="center" vertical="center" wrapText="1"/>
    </xf>
    <xf numFmtId="4" fontId="1" fillId="6" borderId="3" xfId="72" applyNumberFormat="1" applyFont="1" applyFill="1" applyBorder="1" applyAlignment="1">
      <alignment vertical="center"/>
    </xf>
    <xf numFmtId="4" fontId="1" fillId="6" borderId="3" xfId="72" applyNumberFormat="1" applyFont="1" applyFill="1" applyBorder="1" applyAlignment="1">
      <alignment horizontal="center" vertical="center"/>
    </xf>
    <xf numFmtId="185" fontId="1" fillId="2" borderId="3" xfId="72" applyNumberFormat="1" applyFont="1" applyFill="1" applyBorder="1" applyAlignment="1">
      <alignment vertical="center"/>
    </xf>
    <xf numFmtId="185" fontId="1" fillId="3" borderId="3" xfId="72" applyNumberFormat="1" applyFont="1" applyFill="1" applyBorder="1" applyAlignment="1">
      <alignment vertical="center"/>
    </xf>
    <xf numFmtId="185" fontId="1" fillId="6" borderId="3" xfId="72" applyNumberFormat="1" applyFont="1" applyFill="1" applyBorder="1" applyAlignment="1">
      <alignment vertical="center"/>
    </xf>
    <xf numFmtId="3" fontId="1" fillId="3" borderId="3" xfId="72" applyNumberFormat="1" applyFont="1" applyFill="1" applyBorder="1" applyAlignment="1">
      <alignment vertical="center"/>
    </xf>
    <xf numFmtId="4" fontId="1" fillId="3" borderId="3" xfId="72" applyNumberFormat="1" applyFont="1" applyFill="1" applyBorder="1" applyAlignment="1">
      <alignment vertical="center"/>
    </xf>
    <xf numFmtId="4" fontId="1" fillId="3" borderId="3" xfId="72" applyNumberFormat="1" applyFont="1" applyFill="1" applyBorder="1" applyAlignment="1">
      <alignment horizontal="center" vertical="center"/>
    </xf>
    <xf numFmtId="185" fontId="1" fillId="7" borderId="3" xfId="72" applyNumberFormat="1" applyFont="1" applyFill="1" applyBorder="1" applyAlignment="1">
      <alignment vertical="center"/>
    </xf>
    <xf numFmtId="4" fontId="5" fillId="4" borderId="3" xfId="72" applyNumberFormat="1" applyFont="1" applyFill="1" applyBorder="1" applyAlignment="1">
      <alignment vertical="center"/>
    </xf>
    <xf numFmtId="4" fontId="5" fillId="4" borderId="3" xfId="72" applyNumberFormat="1" applyFont="1" applyFill="1" applyBorder="1" applyAlignment="1">
      <alignment horizontal="center" vertical="center"/>
    </xf>
    <xf numFmtId="185" fontId="5" fillId="2" borderId="3" xfId="72" applyNumberFormat="1" applyFont="1" applyFill="1" applyBorder="1" applyAlignment="1">
      <alignment vertical="center"/>
    </xf>
    <xf numFmtId="185" fontId="1" fillId="3" borderId="3" xfId="72" applyNumberFormat="1" applyFont="1" applyFill="1" applyBorder="1" applyAlignment="1">
      <alignment vertical="center" wrapText="1"/>
    </xf>
    <xf numFmtId="185" fontId="5" fillId="7" borderId="3" xfId="72" applyNumberFormat="1" applyFont="1" applyFill="1" applyBorder="1" applyAlignment="1">
      <alignment vertical="center"/>
    </xf>
    <xf numFmtId="185" fontId="8" fillId="4" borderId="3" xfId="72" applyNumberFormat="1" applyFont="1" applyFill="1" applyBorder="1" applyAlignment="1">
      <alignment vertical="center"/>
    </xf>
    <xf numFmtId="4" fontId="8" fillId="5" borderId="3" xfId="72" applyNumberFormat="1" applyFont="1" applyFill="1" applyBorder="1" applyAlignment="1">
      <alignment vertical="center"/>
    </xf>
    <xf numFmtId="4" fontId="8" fillId="5" borderId="3" xfId="72" applyNumberFormat="1" applyFont="1" applyFill="1" applyBorder="1" applyAlignment="1">
      <alignment horizontal="center" vertical="center"/>
    </xf>
    <xf numFmtId="185" fontId="8" fillId="2" borderId="3" xfId="72" applyNumberFormat="1" applyFont="1" applyFill="1" applyBorder="1" applyAlignment="1">
      <alignment vertical="center"/>
    </xf>
    <xf numFmtId="185" fontId="12" fillId="3" borderId="3" xfId="72" applyNumberFormat="1" applyFont="1" applyFill="1" applyBorder="1" applyAlignment="1">
      <alignment vertical="center" wrapText="1"/>
    </xf>
    <xf numFmtId="185" fontId="8" fillId="7" borderId="3" xfId="72" applyNumberFormat="1" applyFont="1" applyFill="1" applyBorder="1" applyAlignment="1">
      <alignment vertical="center"/>
    </xf>
    <xf numFmtId="185" fontId="8" fillId="0" borderId="3" xfId="72" applyNumberFormat="1" applyFont="1" applyFill="1" applyBorder="1" applyAlignment="1">
      <alignment vertical="center"/>
    </xf>
    <xf numFmtId="179" fontId="13" fillId="0" borderId="7" xfId="44" applyNumberFormat="1" applyFont="1" applyFill="1" applyBorder="1" applyAlignment="1">
      <alignment horizontal="right" vertical="center"/>
    </xf>
    <xf numFmtId="185" fontId="5" fillId="4" borderId="3" xfId="72" applyNumberFormat="1" applyFont="1" applyFill="1" applyBorder="1" applyAlignment="1">
      <alignment vertical="center"/>
    </xf>
    <xf numFmtId="4" fontId="5" fillId="4" borderId="3" xfId="72" applyNumberFormat="1" applyFont="1" applyFill="1" applyBorder="1" applyAlignment="1">
      <alignment horizontal="left" vertical="center"/>
    </xf>
    <xf numFmtId="4" fontId="5" fillId="4" borderId="6" xfId="72" applyNumberFormat="1" applyFont="1" applyFill="1" applyBorder="1" applyAlignment="1">
      <alignment vertical="center"/>
    </xf>
    <xf numFmtId="4" fontId="5" fillId="4" borderId="6" xfId="72" applyNumberFormat="1" applyFont="1" applyFill="1" applyBorder="1" applyAlignment="1">
      <alignment horizontal="left" vertical="center"/>
    </xf>
    <xf numFmtId="4" fontId="5" fillId="4" borderId="6" xfId="72" applyNumberFormat="1" applyFont="1" applyFill="1" applyBorder="1" applyAlignment="1">
      <alignment horizontal="center" vertical="center"/>
    </xf>
    <xf numFmtId="185" fontId="5" fillId="2" borderId="6" xfId="72" applyNumberFormat="1" applyFont="1" applyFill="1" applyBorder="1" applyAlignment="1">
      <alignment vertical="center"/>
    </xf>
    <xf numFmtId="185" fontId="1" fillId="3" borderId="6" xfId="72" applyNumberFormat="1" applyFont="1" applyFill="1" applyBorder="1" applyAlignment="1">
      <alignment vertical="center" wrapText="1"/>
    </xf>
    <xf numFmtId="185" fontId="5" fillId="4" borderId="6" xfId="72" applyNumberFormat="1" applyFont="1" applyFill="1" applyBorder="1" applyAlignment="1">
      <alignment vertical="center"/>
    </xf>
    <xf numFmtId="185" fontId="5" fillId="0" borderId="6" xfId="72" applyNumberFormat="1" applyFont="1" applyFill="1" applyBorder="1" applyAlignment="1">
      <alignment vertical="center"/>
    </xf>
    <xf numFmtId="4" fontId="5" fillId="4" borderId="2" xfId="72" applyNumberFormat="1" applyFont="1" applyFill="1" applyBorder="1" applyAlignment="1">
      <alignment vertical="center"/>
    </xf>
    <xf numFmtId="4" fontId="5" fillId="4" borderId="2" xfId="72" applyNumberFormat="1" applyFont="1" applyFill="1" applyBorder="1" applyAlignment="1">
      <alignment horizontal="left" vertical="center"/>
    </xf>
    <xf numFmtId="4" fontId="5" fillId="4" borderId="2" xfId="72" applyNumberFormat="1" applyFont="1" applyFill="1" applyBorder="1" applyAlignment="1">
      <alignment horizontal="center" vertical="center"/>
    </xf>
    <xf numFmtId="185" fontId="5" fillId="2" borderId="2" xfId="72" applyNumberFormat="1" applyFont="1" applyFill="1" applyBorder="1" applyAlignment="1">
      <alignment vertical="center"/>
    </xf>
    <xf numFmtId="185" fontId="1" fillId="3" borderId="2" xfId="72" applyNumberFormat="1" applyFont="1" applyFill="1" applyBorder="1" applyAlignment="1">
      <alignment vertical="center" wrapText="1"/>
    </xf>
    <xf numFmtId="185" fontId="5" fillId="4" borderId="2" xfId="72" applyNumberFormat="1" applyFont="1" applyFill="1" applyBorder="1" applyAlignment="1">
      <alignment vertical="center"/>
    </xf>
    <xf numFmtId="185" fontId="5" fillId="0" borderId="2" xfId="72" applyNumberFormat="1" applyFont="1" applyFill="1" applyBorder="1" applyAlignment="1">
      <alignment vertical="center"/>
    </xf>
    <xf numFmtId="49" fontId="5" fillId="4" borderId="3" xfId="72" applyNumberFormat="1" applyFont="1" applyFill="1" applyBorder="1" applyAlignment="1">
      <alignment horizontal="center" vertical="center"/>
    </xf>
    <xf numFmtId="0" fontId="5" fillId="4" borderId="3" xfId="72" applyFont="1" applyFill="1" applyBorder="1" applyAlignment="1">
      <alignment vertical="center"/>
    </xf>
    <xf numFmtId="4" fontId="1" fillId="3" borderId="3" xfId="72" applyNumberFormat="1" applyFont="1" applyFill="1" applyBorder="1" applyAlignment="1">
      <alignment horizontal="right" vertical="center"/>
    </xf>
    <xf numFmtId="185" fontId="1" fillId="0" borderId="3" xfId="72" applyNumberFormat="1" applyFont="1" applyFill="1" applyBorder="1" applyAlignment="1">
      <alignment vertical="center"/>
    </xf>
    <xf numFmtId="4" fontId="5" fillId="8" borderId="3" xfId="72" applyNumberFormat="1" applyFont="1" applyFill="1" applyBorder="1" applyAlignment="1">
      <alignment vertical="center"/>
    </xf>
    <xf numFmtId="4" fontId="5" fillId="8" borderId="3" xfId="72" applyNumberFormat="1" applyFont="1" applyFill="1" applyBorder="1" applyAlignment="1">
      <alignment horizontal="center" vertical="center"/>
    </xf>
    <xf numFmtId="185" fontId="5" fillId="8" borderId="3" xfId="72" applyNumberFormat="1" applyFont="1" applyFill="1" applyBorder="1" applyAlignment="1">
      <alignment vertical="center"/>
    </xf>
    <xf numFmtId="185" fontId="1" fillId="8" borderId="3" xfId="72" applyNumberFormat="1" applyFont="1" applyFill="1" applyBorder="1" applyAlignment="1">
      <alignment vertical="center" wrapText="1"/>
    </xf>
    <xf numFmtId="185" fontId="5" fillId="4" borderId="3" xfId="72" applyNumberFormat="1" applyFont="1" applyFill="1" applyBorder="1" applyAlignment="1">
      <alignment horizontal="center" vertical="center"/>
    </xf>
    <xf numFmtId="185" fontId="1" fillId="0" borderId="5" xfId="72" applyNumberFormat="1" applyFont="1" applyFill="1" applyBorder="1" applyAlignment="1">
      <alignment vertical="center"/>
    </xf>
    <xf numFmtId="185" fontId="12" fillId="3" borderId="8" xfId="72" applyNumberFormat="1" applyFont="1" applyFill="1" applyBorder="1" applyAlignment="1">
      <alignment vertical="center" wrapText="1"/>
    </xf>
    <xf numFmtId="185" fontId="12" fillId="3" borderId="2" xfId="72" applyNumberFormat="1" applyFont="1" applyFill="1" applyBorder="1" applyAlignment="1">
      <alignment vertical="center" wrapText="1"/>
    </xf>
    <xf numFmtId="185" fontId="12" fillId="0" borderId="3" xfId="72" applyNumberFormat="1" applyFont="1" applyFill="1" applyBorder="1" applyAlignment="1">
      <alignment vertical="center"/>
    </xf>
    <xf numFmtId="185" fontId="5" fillId="7" borderId="6" xfId="72" applyNumberFormat="1" applyFont="1" applyFill="1" applyBorder="1" applyAlignment="1">
      <alignment vertical="center"/>
    </xf>
    <xf numFmtId="185" fontId="5" fillId="7" borderId="2" xfId="72" applyNumberFormat="1" applyFont="1" applyFill="1" applyBorder="1" applyAlignment="1">
      <alignment vertical="center"/>
    </xf>
    <xf numFmtId="185" fontId="12" fillId="0" borderId="0" xfId="44" applyNumberFormat="1" applyFont="1" applyFill="1" applyAlignment="1">
      <alignment horizontal="center" vertical="center"/>
    </xf>
    <xf numFmtId="185" fontId="12" fillId="0" borderId="1" xfId="44" applyNumberFormat="1" applyFont="1" applyFill="1" applyBorder="1" applyAlignment="1">
      <alignment vertical="center"/>
    </xf>
    <xf numFmtId="185" fontId="8" fillId="0" borderId="5" xfId="72" applyNumberFormat="1" applyFont="1" applyFill="1" applyBorder="1" applyAlignment="1">
      <alignment vertical="center"/>
    </xf>
    <xf numFmtId="185" fontId="12" fillId="6" borderId="3" xfId="72" applyNumberFormat="1" applyFont="1" applyFill="1" applyBorder="1" applyAlignment="1">
      <alignment vertical="center"/>
    </xf>
    <xf numFmtId="185" fontId="1" fillId="4" borderId="3" xfId="72" applyNumberFormat="1" applyFont="1" applyFill="1" applyBorder="1" applyAlignment="1">
      <alignment vertical="center" wrapText="1"/>
    </xf>
    <xf numFmtId="185" fontId="12" fillId="0" borderId="3" xfId="72" applyNumberFormat="1" applyFont="1" applyFill="1" applyBorder="1" applyAlignment="1">
      <alignment vertical="center" wrapText="1"/>
    </xf>
    <xf numFmtId="185" fontId="1" fillId="0" borderId="3" xfId="72" applyNumberFormat="1" applyFont="1" applyFill="1" applyBorder="1" applyAlignment="1">
      <alignment vertical="center" wrapText="1"/>
    </xf>
    <xf numFmtId="185" fontId="1" fillId="0" borderId="6" xfId="72" applyNumberFormat="1" applyFont="1" applyFill="1" applyBorder="1" applyAlignment="1">
      <alignment vertical="center" wrapText="1"/>
    </xf>
    <xf numFmtId="185" fontId="8" fillId="0" borderId="6" xfId="72" applyNumberFormat="1" applyFont="1" applyFill="1" applyBorder="1" applyAlignment="1">
      <alignment vertical="center"/>
    </xf>
    <xf numFmtId="185" fontId="1" fillId="0" borderId="2" xfId="72" applyNumberFormat="1" applyFont="1" applyFill="1" applyBorder="1" applyAlignment="1">
      <alignment vertical="center" wrapText="1"/>
    </xf>
    <xf numFmtId="185" fontId="8" fillId="0" borderId="2" xfId="72" applyNumberFormat="1" applyFont="1" applyFill="1" applyBorder="1" applyAlignment="1">
      <alignment vertical="center"/>
    </xf>
    <xf numFmtId="0" fontId="1" fillId="0" borderId="0" xfId="44" applyFont="1" applyFill="1" applyAlignment="1">
      <alignment horizontal="center" vertical="center"/>
    </xf>
    <xf numFmtId="185" fontId="8" fillId="0" borderId="1" xfId="44" applyNumberFormat="1" applyFont="1" applyFill="1" applyBorder="1" applyAlignment="1">
      <alignment vertical="center"/>
    </xf>
    <xf numFmtId="0" fontId="1" fillId="0" borderId="1" xfId="44" applyFont="1" applyFill="1" applyBorder="1" applyAlignment="1">
      <alignment vertical="center"/>
    </xf>
    <xf numFmtId="185" fontId="1" fillId="0" borderId="9" xfId="72" applyNumberFormat="1" applyFont="1" applyFill="1" applyBorder="1" applyAlignment="1">
      <alignment vertical="center"/>
    </xf>
    <xf numFmtId="0" fontId="5" fillId="0" borderId="0" xfId="72" applyFont="1"/>
    <xf numFmtId="185" fontId="5" fillId="8" borderId="3" xfId="72" applyNumberFormat="1" applyFont="1" applyFill="1" applyBorder="1" applyAlignment="1">
      <alignment horizontal="center" vertical="center" wrapText="1"/>
    </xf>
    <xf numFmtId="185" fontId="5" fillId="9" borderId="3" xfId="72" applyNumberFormat="1" applyFont="1" applyFill="1" applyBorder="1" applyAlignment="1">
      <alignment horizontal="center" vertical="center" wrapText="1"/>
    </xf>
    <xf numFmtId="185" fontId="5" fillId="9" borderId="3" xfId="72" applyNumberFormat="1" applyFont="1" applyFill="1" applyBorder="1" applyAlignment="1">
      <alignment vertical="center"/>
    </xf>
    <xf numFmtId="0" fontId="1" fillId="0" borderId="0" xfId="72" applyFont="1"/>
    <xf numFmtId="185" fontId="8" fillId="8" borderId="3" xfId="72" applyNumberFormat="1" applyFont="1" applyFill="1" applyBorder="1" applyAlignment="1">
      <alignment vertical="center"/>
    </xf>
    <xf numFmtId="185" fontId="8" fillId="9" borderId="3" xfId="72" applyNumberFormat="1" applyFont="1" applyFill="1" applyBorder="1" applyAlignment="1">
      <alignment vertical="center"/>
    </xf>
    <xf numFmtId="0" fontId="8" fillId="0" borderId="0" xfId="72" applyFont="1"/>
    <xf numFmtId="185" fontId="1" fillId="0" borderId="0" xfId="72" applyNumberFormat="1" applyFont="1"/>
    <xf numFmtId="185" fontId="5" fillId="0" borderId="0" xfId="72" applyNumberFormat="1" applyFont="1"/>
    <xf numFmtId="185" fontId="8" fillId="0" borderId="0" xfId="72" applyNumberFormat="1" applyFont="1"/>
    <xf numFmtId="0" fontId="8" fillId="0" borderId="0" xfId="72" applyFont="1" applyBorder="1"/>
    <xf numFmtId="185" fontId="8" fillId="0" borderId="0" xfId="72" applyNumberFormat="1" applyFont="1" applyBorder="1"/>
    <xf numFmtId="185" fontId="1" fillId="0" borderId="6" xfId="72" applyNumberFormat="1" applyFont="1" applyFill="1" applyBorder="1" applyAlignment="1">
      <alignment vertical="center"/>
    </xf>
    <xf numFmtId="185" fontId="5" fillId="8" borderId="6" xfId="72" applyNumberFormat="1" applyFont="1" applyFill="1" applyBorder="1" applyAlignment="1">
      <alignment vertical="center"/>
    </xf>
    <xf numFmtId="185" fontId="5" fillId="9" borderId="6" xfId="72" applyNumberFormat="1" applyFont="1" applyFill="1" applyBorder="1" applyAlignment="1">
      <alignment vertical="center"/>
    </xf>
    <xf numFmtId="0" fontId="5" fillId="0" borderId="0" xfId="72" applyFont="1" applyBorder="1"/>
    <xf numFmtId="185" fontId="5" fillId="0" borderId="0" xfId="72" applyNumberFormat="1" applyFont="1" applyBorder="1"/>
    <xf numFmtId="185" fontId="1" fillId="0" borderId="2" xfId="72" applyNumberFormat="1" applyFont="1" applyFill="1" applyBorder="1" applyAlignment="1">
      <alignment vertical="center"/>
    </xf>
    <xf numFmtId="185" fontId="5" fillId="8" borderId="2" xfId="72" applyNumberFormat="1" applyFont="1" applyFill="1" applyBorder="1" applyAlignment="1">
      <alignment vertical="center"/>
    </xf>
    <xf numFmtId="185" fontId="5" fillId="9" borderId="2" xfId="72" applyNumberFormat="1" applyFont="1" applyFill="1" applyBorder="1" applyAlignment="1">
      <alignment vertical="center"/>
    </xf>
    <xf numFmtId="185" fontId="1" fillId="9" borderId="3" xfId="72" applyNumberFormat="1" applyFont="1" applyFill="1" applyBorder="1" applyAlignment="1">
      <alignment vertical="center"/>
    </xf>
    <xf numFmtId="185" fontId="1" fillId="8" borderId="3" xfId="72" applyNumberFormat="1" applyFont="1" applyFill="1" applyBorder="1" applyAlignment="1">
      <alignment vertical="center"/>
    </xf>
    <xf numFmtId="0" fontId="7" fillId="0" borderId="0" xfId="44" applyFont="1" applyFill="1" applyAlignment="1">
      <alignment vertical="center"/>
    </xf>
    <xf numFmtId="187" fontId="5" fillId="0" borderId="0" xfId="72" applyNumberFormat="1" applyFont="1"/>
    <xf numFmtId="188" fontId="7" fillId="0" borderId="0" xfId="44" applyNumberFormat="1" applyFont="1" applyFill="1" applyAlignment="1">
      <alignment vertical="center"/>
    </xf>
    <xf numFmtId="4" fontId="7" fillId="0" borderId="0" xfId="44" applyNumberFormat="1" applyFont="1" applyFill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13" xfId="0" applyBorder="1"/>
    <xf numFmtId="0" fontId="0" fillId="0" borderId="13" xfId="0" applyNumberFormat="1" applyBorder="1"/>
    <xf numFmtId="0" fontId="0" fillId="0" borderId="0" xfId="0" applyNumberFormat="1"/>
    <xf numFmtId="0" fontId="0" fillId="0" borderId="14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14" fillId="0" borderId="0" xfId="64" applyFont="1" applyFill="1" applyAlignment="1">
      <alignment horizontal="center" vertical="center" wrapText="1"/>
    </xf>
    <xf numFmtId="0" fontId="15" fillId="0" borderId="0" xfId="64" applyFont="1" applyFill="1" applyAlignment="1">
      <alignment horizontal="center" vertical="center" wrapText="1"/>
    </xf>
    <xf numFmtId="0" fontId="16" fillId="0" borderId="0" xfId="64" applyFont="1" applyFill="1" applyAlignment="1">
      <alignment horizontal="center" vertical="center" wrapText="1"/>
    </xf>
    <xf numFmtId="0" fontId="17" fillId="0" borderId="0" xfId="64" applyFont="1" applyFill="1" applyAlignment="1">
      <alignment horizontal="center" vertical="center" wrapText="1"/>
    </xf>
    <xf numFmtId="0" fontId="18" fillId="0" borderId="0" xfId="64" applyFont="1" applyFill="1" applyAlignment="1">
      <alignment horizontal="center" vertical="center" wrapText="1"/>
    </xf>
    <xf numFmtId="0" fontId="18" fillId="0" borderId="0" xfId="64" applyFont="1" applyFill="1" applyAlignment="1">
      <alignment horizontal="left" vertical="center" wrapText="1"/>
    </xf>
    <xf numFmtId="4" fontId="18" fillId="0" borderId="0" xfId="64" applyNumberFormat="1" applyFont="1" applyFill="1" applyAlignment="1">
      <alignment horizontal="right" vertical="center" wrapText="1"/>
    </xf>
    <xf numFmtId="3" fontId="18" fillId="0" borderId="0" xfId="64" applyNumberFormat="1" applyFont="1" applyFill="1" applyAlignment="1">
      <alignment horizontal="right" vertical="center" wrapText="1"/>
    </xf>
    <xf numFmtId="0" fontId="14" fillId="0" borderId="1" xfId="64" applyFont="1" applyFill="1" applyBorder="1" applyAlignment="1">
      <alignment horizontal="center" vertical="center" wrapText="1"/>
    </xf>
    <xf numFmtId="0" fontId="16" fillId="0" borderId="3" xfId="64" applyFont="1" applyFill="1" applyBorder="1" applyAlignment="1">
      <alignment horizontal="center" vertical="center" wrapText="1"/>
    </xf>
    <xf numFmtId="4" fontId="16" fillId="0" borderId="2" xfId="64" applyNumberFormat="1" applyFont="1" applyFill="1" applyBorder="1" applyAlignment="1">
      <alignment horizontal="center" vertical="center" wrapText="1"/>
    </xf>
    <xf numFmtId="0" fontId="16" fillId="0" borderId="2" xfId="64" applyFont="1" applyFill="1" applyBorder="1" applyAlignment="1">
      <alignment horizontal="center" vertical="center" wrapText="1"/>
    </xf>
    <xf numFmtId="4" fontId="16" fillId="0" borderId="6" xfId="64" applyNumberFormat="1" applyFont="1" applyFill="1" applyBorder="1" applyAlignment="1">
      <alignment horizontal="center" vertical="center" wrapText="1"/>
    </xf>
    <xf numFmtId="0" fontId="16" fillId="0" borderId="6" xfId="64" applyFont="1" applyFill="1" applyBorder="1" applyAlignment="1">
      <alignment horizontal="center" vertical="center" wrapText="1"/>
    </xf>
    <xf numFmtId="0" fontId="17" fillId="0" borderId="3" xfId="64" applyFont="1" applyFill="1" applyBorder="1" applyAlignment="1">
      <alignment horizontal="center" vertical="center" wrapText="1"/>
    </xf>
    <xf numFmtId="4" fontId="17" fillId="0" borderId="3" xfId="64" applyNumberFormat="1" applyFont="1" applyFill="1" applyBorder="1" applyAlignment="1">
      <alignment horizontal="center" vertical="center" wrapText="1"/>
    </xf>
    <xf numFmtId="0" fontId="18" fillId="0" borderId="3" xfId="64" applyFont="1" applyFill="1" applyBorder="1" applyAlignment="1">
      <alignment horizontal="center" vertical="center" wrapText="1"/>
    </xf>
    <xf numFmtId="0" fontId="18" fillId="0" borderId="3" xfId="64" applyFont="1" applyFill="1" applyBorder="1" applyAlignment="1">
      <alignment horizontal="left" vertical="center" wrapText="1"/>
    </xf>
    <xf numFmtId="4" fontId="18" fillId="0" borderId="3" xfId="64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6" fillId="0" borderId="3" xfId="64" applyFont="1" applyFill="1" applyBorder="1" applyAlignment="1">
      <alignment horizontal="left" vertical="center" wrapText="1"/>
    </xf>
    <xf numFmtId="4" fontId="16" fillId="0" borderId="3" xfId="64" applyNumberFormat="1" applyFont="1" applyFill="1" applyBorder="1" applyAlignment="1">
      <alignment horizontal="right" vertical="center" wrapText="1"/>
    </xf>
    <xf numFmtId="0" fontId="14" fillId="0" borderId="0" xfId="64" applyFont="1" applyFill="1" applyAlignment="1">
      <alignment vertical="center" wrapText="1"/>
    </xf>
    <xf numFmtId="0" fontId="15" fillId="0" borderId="0" xfId="64" applyFont="1" applyFill="1" applyAlignment="1">
      <alignment vertical="center" wrapText="1"/>
    </xf>
    <xf numFmtId="3" fontId="16" fillId="0" borderId="0" xfId="64" applyNumberFormat="1" applyFont="1" applyFill="1" applyAlignment="1">
      <alignment horizontal="right" vertical="center" wrapText="1"/>
    </xf>
    <xf numFmtId="0" fontId="16" fillId="0" borderId="0" xfId="64" applyFont="1" applyFill="1" applyAlignment="1">
      <alignment horizontal="left" vertical="center" wrapText="1"/>
    </xf>
    <xf numFmtId="3" fontId="17" fillId="0" borderId="0" xfId="64" applyNumberFormat="1" applyFont="1" applyFill="1" applyAlignment="1">
      <alignment horizontal="center" vertical="center" wrapText="1"/>
    </xf>
    <xf numFmtId="0" fontId="19" fillId="0" borderId="1" xfId="64" applyFont="1" applyFill="1" applyBorder="1" applyAlignment="1">
      <alignment horizontal="center" vertical="center" wrapText="1"/>
    </xf>
    <xf numFmtId="4" fontId="16" fillId="0" borderId="3" xfId="64" applyNumberFormat="1" applyFont="1" applyFill="1" applyBorder="1" applyAlignment="1">
      <alignment horizontal="center" vertical="center" wrapText="1"/>
    </xf>
    <xf numFmtId="0" fontId="17" fillId="0" borderId="3" xfId="64" applyFont="1" applyFill="1" applyBorder="1" applyAlignment="1">
      <alignment horizontal="left" vertical="center" wrapText="1"/>
    </xf>
    <xf numFmtId="4" fontId="18" fillId="0" borderId="3" xfId="64" applyNumberFormat="1" applyFont="1" applyFill="1" applyBorder="1" applyAlignment="1">
      <alignment horizontal="left" vertical="center" wrapText="1"/>
    </xf>
    <xf numFmtId="4" fontId="18" fillId="0" borderId="3" xfId="64" applyNumberFormat="1" applyFont="1" applyFill="1" applyBorder="1" applyAlignment="1">
      <alignment vertical="center" wrapText="1"/>
    </xf>
    <xf numFmtId="0" fontId="18" fillId="0" borderId="0" xfId="64" applyFont="1" applyFill="1" applyBorder="1" applyAlignment="1">
      <alignment horizontal="center" vertical="center" wrapText="1"/>
    </xf>
    <xf numFmtId="0" fontId="18" fillId="0" borderId="0" xfId="64" applyFont="1" applyFill="1" applyBorder="1" applyAlignment="1">
      <alignment horizontal="left" vertical="center" wrapText="1"/>
    </xf>
    <xf numFmtId="4" fontId="18" fillId="0" borderId="0" xfId="64" applyNumberFormat="1" applyFont="1" applyFill="1" applyBorder="1" applyAlignment="1">
      <alignment horizontal="right" vertical="center" wrapText="1"/>
    </xf>
    <xf numFmtId="3" fontId="16" fillId="0" borderId="3" xfId="64" applyNumberFormat="1" applyFont="1" applyFill="1" applyBorder="1" applyAlignment="1">
      <alignment horizontal="center" vertical="center" wrapText="1"/>
    </xf>
    <xf numFmtId="3" fontId="16" fillId="0" borderId="0" xfId="64" applyNumberFormat="1" applyFont="1" applyFill="1" applyAlignment="1">
      <alignment horizontal="center" vertical="center" wrapText="1"/>
    </xf>
    <xf numFmtId="3" fontId="17" fillId="0" borderId="3" xfId="64" applyNumberFormat="1" applyFont="1" applyFill="1" applyBorder="1" applyAlignment="1">
      <alignment horizontal="right" vertical="center" wrapText="1"/>
    </xf>
    <xf numFmtId="3" fontId="17" fillId="0" borderId="3" xfId="64" applyNumberFormat="1" applyFont="1" applyFill="1" applyBorder="1" applyAlignment="1">
      <alignment horizontal="center" vertical="center" wrapText="1"/>
    </xf>
    <xf numFmtId="3" fontId="17" fillId="0" borderId="0" xfId="64" applyNumberFormat="1" applyFont="1" applyFill="1" applyAlignment="1">
      <alignment horizontal="right" vertical="center" wrapText="1"/>
    </xf>
    <xf numFmtId="0" fontId="17" fillId="0" borderId="0" xfId="64" applyFont="1" applyFill="1" applyAlignment="1">
      <alignment horizontal="left" vertical="center" wrapText="1"/>
    </xf>
    <xf numFmtId="3" fontId="18" fillId="0" borderId="3" xfId="64" applyNumberFormat="1" applyFont="1" applyFill="1" applyBorder="1" applyAlignment="1">
      <alignment horizontal="left" vertical="center" wrapText="1"/>
    </xf>
    <xf numFmtId="3" fontId="18" fillId="0" borderId="3" xfId="64" applyNumberFormat="1" applyFont="1" applyFill="1" applyBorder="1" applyAlignment="1">
      <alignment horizontal="right" vertical="center" wrapText="1"/>
    </xf>
    <xf numFmtId="3" fontId="16" fillId="0" borderId="3" xfId="64" applyNumberFormat="1" applyFont="1" applyFill="1" applyBorder="1" applyAlignment="1">
      <alignment horizontal="right" vertical="center" wrapText="1"/>
    </xf>
    <xf numFmtId="49" fontId="20" fillId="0" borderId="0" xfId="64" applyNumberFormat="1" applyFont="1" applyFill="1" applyAlignment="1">
      <alignment horizontal="center" vertical="center" wrapText="1"/>
    </xf>
    <xf numFmtId="49" fontId="20" fillId="0" borderId="3" xfId="64" applyNumberFormat="1" applyFont="1" applyFill="1" applyBorder="1" applyAlignment="1">
      <alignment horizontal="center" vertical="center" wrapText="1"/>
    </xf>
    <xf numFmtId="4" fontId="20" fillId="0" borderId="3" xfId="64" applyNumberFormat="1" applyFont="1" applyFill="1" applyBorder="1" applyAlignment="1">
      <alignment horizontal="center" vertical="center" wrapText="1"/>
    </xf>
    <xf numFmtId="3" fontId="20" fillId="0" borderId="3" xfId="64" applyNumberFormat="1" applyFont="1" applyFill="1" applyBorder="1" applyAlignment="1">
      <alignment horizontal="center" vertical="center" wrapText="1"/>
    </xf>
    <xf numFmtId="3" fontId="18" fillId="0" borderId="3" xfId="64" applyNumberFormat="1" applyFont="1" applyFill="1" applyBorder="1" applyAlignment="1">
      <alignment horizontal="center" vertical="center" wrapText="1"/>
    </xf>
    <xf numFmtId="0" fontId="16" fillId="0" borderId="0" xfId="44" applyFont="1" applyFill="1" applyAlignment="1">
      <alignment vertical="center"/>
    </xf>
    <xf numFmtId="0" fontId="21" fillId="0" borderId="0" xfId="44" applyFont="1" applyFill="1" applyAlignment="1">
      <alignment vertical="center"/>
    </xf>
    <xf numFmtId="0" fontId="22" fillId="0" borderId="0" xfId="44" applyFont="1" applyFill="1" applyAlignment="1">
      <alignment vertical="center"/>
    </xf>
    <xf numFmtId="0" fontId="23" fillId="0" borderId="0" xfId="44" applyFont="1" applyFill="1" applyAlignment="1">
      <alignment vertical="center"/>
    </xf>
    <xf numFmtId="0" fontId="21" fillId="0" borderId="0" xfId="44" applyFont="1" applyFill="1" applyAlignment="1">
      <alignment horizontal="right" vertical="center"/>
    </xf>
    <xf numFmtId="0" fontId="17" fillId="0" borderId="0" xfId="44" applyFont="1" applyFill="1" applyAlignment="1">
      <alignment vertical="center" wrapText="1"/>
    </xf>
    <xf numFmtId="0" fontId="17" fillId="0" borderId="0" xfId="44" applyFont="1" applyFill="1" applyAlignment="1">
      <alignment vertical="center"/>
    </xf>
    <xf numFmtId="4" fontId="17" fillId="0" borderId="0" xfId="44" applyNumberFormat="1" applyFont="1" applyFill="1" applyAlignment="1">
      <alignment vertical="center"/>
    </xf>
    <xf numFmtId="0" fontId="16" fillId="0" borderId="0" xfId="44" applyFont="1" applyFill="1" applyAlignment="1">
      <alignment horizontal="left" vertical="center"/>
    </xf>
    <xf numFmtId="0" fontId="16" fillId="0" borderId="0" xfId="44" applyFont="1" applyFill="1" applyAlignment="1">
      <alignment horizontal="center" vertical="center"/>
    </xf>
    <xf numFmtId="4" fontId="16" fillId="0" borderId="0" xfId="44" applyNumberFormat="1" applyFont="1" applyFill="1" applyAlignment="1">
      <alignment horizontal="center" vertical="center"/>
    </xf>
    <xf numFmtId="0" fontId="22" fillId="0" borderId="0" xfId="44" applyFont="1" applyFill="1" applyAlignment="1">
      <alignment horizontal="right" vertical="center"/>
    </xf>
    <xf numFmtId="0" fontId="23" fillId="0" borderId="2" xfId="44" applyFont="1" applyFill="1" applyBorder="1" applyAlignment="1">
      <alignment horizontal="center" vertical="center" wrapText="1"/>
    </xf>
    <xf numFmtId="0" fontId="23" fillId="0" borderId="2" xfId="44" applyFont="1" applyFill="1" applyBorder="1" applyAlignment="1">
      <alignment horizontal="center" vertical="center"/>
    </xf>
    <xf numFmtId="0" fontId="23" fillId="0" borderId="4" xfId="44" applyFont="1" applyFill="1" applyBorder="1" applyAlignment="1">
      <alignment horizontal="center" vertical="center" wrapText="1"/>
    </xf>
    <xf numFmtId="0" fontId="23" fillId="0" borderId="5" xfId="44" applyFont="1" applyFill="1" applyBorder="1" applyAlignment="1">
      <alignment horizontal="center" vertical="center" wrapText="1"/>
    </xf>
    <xf numFmtId="0" fontId="23" fillId="0" borderId="8" xfId="44" applyFont="1" applyFill="1" applyBorder="1" applyAlignment="1">
      <alignment horizontal="center" vertical="center" wrapText="1"/>
    </xf>
    <xf numFmtId="0" fontId="23" fillId="0" borderId="8" xfId="44" applyFont="1" applyFill="1" applyBorder="1" applyAlignment="1">
      <alignment horizontal="center" vertical="center"/>
    </xf>
    <xf numFmtId="0" fontId="21" fillId="0" borderId="8" xfId="44" applyFont="1" applyFill="1" applyBorder="1" applyAlignment="1">
      <alignment horizontal="center" vertical="center" wrapText="1"/>
    </xf>
    <xf numFmtId="0" fontId="21" fillId="0" borderId="2" xfId="44" applyFont="1" applyFill="1" applyBorder="1" applyAlignment="1">
      <alignment horizontal="center" vertical="center" wrapText="1"/>
    </xf>
    <xf numFmtId="0" fontId="21" fillId="0" borderId="2" xfId="44" applyNumberFormat="1" applyFont="1" applyFill="1" applyBorder="1" applyAlignment="1">
      <alignment horizontal="center" vertical="center" wrapText="1"/>
    </xf>
    <xf numFmtId="179" fontId="21" fillId="0" borderId="2" xfId="44" applyNumberFormat="1" applyFont="1" applyFill="1" applyBorder="1" applyAlignment="1">
      <alignment horizontal="center" vertical="center" wrapText="1"/>
    </xf>
    <xf numFmtId="0" fontId="21" fillId="0" borderId="8" xfId="44" applyFont="1" applyFill="1" applyBorder="1" applyAlignment="1">
      <alignment horizontal="center" vertical="center"/>
    </xf>
    <xf numFmtId="0" fontId="23" fillId="0" borderId="6" xfId="44" applyFont="1" applyFill="1" applyBorder="1" applyAlignment="1">
      <alignment horizontal="center" vertical="center"/>
    </xf>
    <xf numFmtId="0" fontId="21" fillId="0" borderId="8" xfId="44" applyNumberFormat="1" applyFont="1" applyFill="1" applyBorder="1" applyAlignment="1">
      <alignment horizontal="center" vertical="center" wrapText="1"/>
    </xf>
    <xf numFmtId="179" fontId="21" fillId="0" borderId="8" xfId="44" applyNumberFormat="1" applyFont="1" applyFill="1" applyBorder="1" applyAlignment="1">
      <alignment horizontal="center" vertical="center" wrapText="1"/>
    </xf>
    <xf numFmtId="0" fontId="23" fillId="0" borderId="3" xfId="44" applyFont="1" applyFill="1" applyBorder="1" applyAlignment="1">
      <alignment horizontal="center" vertical="center"/>
    </xf>
    <xf numFmtId="189" fontId="23" fillId="0" borderId="3" xfId="44" applyNumberFormat="1" applyFont="1" applyFill="1" applyBorder="1" applyAlignment="1">
      <alignment vertical="center"/>
    </xf>
    <xf numFmtId="185" fontId="23" fillId="0" borderId="3" xfId="44" applyNumberFormat="1" applyFont="1" applyFill="1" applyBorder="1" applyAlignment="1">
      <alignment horizontal="right" vertical="center"/>
    </xf>
    <xf numFmtId="0" fontId="23" fillId="0" borderId="3" xfId="44" applyFont="1" applyFill="1" applyBorder="1" applyAlignment="1">
      <alignment vertical="center"/>
    </xf>
    <xf numFmtId="0" fontId="23" fillId="0" borderId="3" xfId="0" applyFont="1" applyFill="1" applyBorder="1" applyAlignment="1">
      <alignment horizontal="center"/>
    </xf>
    <xf numFmtId="185" fontId="23" fillId="10" borderId="3" xfId="44" applyNumberFormat="1" applyFont="1" applyFill="1" applyBorder="1" applyAlignment="1">
      <alignment horizontal="right" vertical="center"/>
    </xf>
    <xf numFmtId="0" fontId="21" fillId="0" borderId="20" xfId="3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/>
    </xf>
    <xf numFmtId="185" fontId="21" fillId="0" borderId="20" xfId="44" applyNumberFormat="1" applyFont="1" applyFill="1" applyBorder="1" applyAlignment="1">
      <alignment horizontal="right" vertical="center"/>
    </xf>
    <xf numFmtId="0" fontId="22" fillId="0" borderId="7" xfId="44" applyFont="1" applyFill="1" applyBorder="1" applyAlignment="1">
      <alignment vertical="center"/>
    </xf>
    <xf numFmtId="0" fontId="22" fillId="0" borderId="7" xfId="0" applyFont="1" applyFill="1" applyBorder="1" applyAlignment="1">
      <alignment horizontal="center"/>
    </xf>
    <xf numFmtId="185" fontId="22" fillId="0" borderId="7" xfId="44" applyNumberFormat="1" applyFont="1" applyFill="1" applyBorder="1" applyAlignment="1">
      <alignment horizontal="right" vertical="center"/>
    </xf>
    <xf numFmtId="185" fontId="24" fillId="10" borderId="3" xfId="44" applyNumberFormat="1" applyFont="1" applyFill="1" applyBorder="1" applyAlignment="1">
      <alignment horizontal="right" vertical="center"/>
    </xf>
    <xf numFmtId="0" fontId="21" fillId="0" borderId="7" xfId="3" applyFont="1" applyFill="1" applyBorder="1" applyAlignment="1">
      <alignment vertical="center"/>
    </xf>
    <xf numFmtId="0" fontId="21" fillId="0" borderId="7" xfId="0" applyFont="1" applyFill="1" applyBorder="1" applyAlignment="1">
      <alignment horizontal="center"/>
    </xf>
    <xf numFmtId="185" fontId="21" fillId="0" borderId="7" xfId="44" applyNumberFormat="1" applyFont="1" applyFill="1" applyBorder="1" applyAlignment="1">
      <alignment horizontal="right" vertical="center"/>
    </xf>
    <xf numFmtId="185" fontId="21" fillId="0" borderId="7" xfId="44" applyNumberFormat="1" applyFont="1" applyFill="1" applyBorder="1" applyAlignment="1">
      <alignment horizontal="center" vertical="center"/>
    </xf>
    <xf numFmtId="0" fontId="21" fillId="0" borderId="7" xfId="44" applyFont="1" applyFill="1" applyBorder="1" applyAlignment="1">
      <alignment vertical="center"/>
    </xf>
    <xf numFmtId="0" fontId="21" fillId="0" borderId="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1" fillId="0" borderId="21" xfId="44" applyFont="1" applyFill="1" applyBorder="1" applyAlignment="1">
      <alignment vertical="center"/>
    </xf>
    <xf numFmtId="0" fontId="21" fillId="0" borderId="21" xfId="3" applyFont="1" applyFill="1" applyBorder="1" applyAlignment="1">
      <alignment horizontal="center" vertical="center"/>
    </xf>
    <xf numFmtId="185" fontId="21" fillId="0" borderId="21" xfId="44" applyNumberFormat="1" applyFont="1" applyFill="1" applyBorder="1" applyAlignment="1">
      <alignment horizontal="right" vertical="center"/>
    </xf>
    <xf numFmtId="0" fontId="23" fillId="0" borderId="3" xfId="3" applyFont="1" applyFill="1" applyBorder="1" applyAlignment="1">
      <alignment horizontal="center" vertical="center"/>
    </xf>
    <xf numFmtId="0" fontId="21" fillId="0" borderId="20" xfId="44" applyFont="1" applyFill="1" applyBorder="1" applyAlignment="1">
      <alignment vertical="center"/>
    </xf>
    <xf numFmtId="0" fontId="21" fillId="0" borderId="20" xfId="3" applyFont="1" applyFill="1" applyBorder="1" applyAlignment="1">
      <alignment horizontal="center" vertical="center"/>
    </xf>
    <xf numFmtId="185" fontId="22" fillId="0" borderId="20" xfId="44" applyNumberFormat="1" applyFont="1" applyFill="1" applyBorder="1" applyAlignment="1">
      <alignment horizontal="right" vertical="center"/>
    </xf>
    <xf numFmtId="0" fontId="22" fillId="0" borderId="7" xfId="44" applyFont="1" applyFill="1" applyBorder="1" applyAlignment="1">
      <alignment horizontal="center" vertical="center"/>
    </xf>
    <xf numFmtId="49" fontId="22" fillId="0" borderId="7" xfId="44" applyNumberFormat="1" applyFont="1" applyFill="1" applyBorder="1" applyAlignment="1">
      <alignment vertical="center"/>
    </xf>
    <xf numFmtId="0" fontId="21" fillId="0" borderId="7" xfId="44" applyFont="1" applyFill="1" applyBorder="1" applyAlignment="1">
      <alignment horizontal="center" vertical="center"/>
    </xf>
    <xf numFmtId="185" fontId="21" fillId="0" borderId="3" xfId="44" applyNumberFormat="1" applyFont="1" applyFill="1" applyBorder="1" applyAlignment="1">
      <alignment horizontal="right" vertical="center"/>
    </xf>
    <xf numFmtId="0" fontId="23" fillId="0" borderId="3" xfId="44" applyFont="1" applyFill="1" applyBorder="1" applyAlignment="1">
      <alignment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6" xfId="44" applyFont="1" applyFill="1" applyBorder="1" applyAlignment="1">
      <alignment horizontal="center" vertical="center" wrapText="1"/>
    </xf>
    <xf numFmtId="185" fontId="23" fillId="0" borderId="20" xfId="44" applyNumberFormat="1" applyFont="1" applyFill="1" applyBorder="1" applyAlignment="1">
      <alignment horizontal="right" vertical="center"/>
    </xf>
    <xf numFmtId="185" fontId="23" fillId="0" borderId="7" xfId="44" applyNumberFormat="1" applyFont="1" applyFill="1" applyBorder="1" applyAlignment="1">
      <alignment horizontal="right" vertical="center"/>
    </xf>
    <xf numFmtId="185" fontId="24" fillId="0" borderId="7" xfId="44" applyNumberFormat="1" applyFont="1" applyFill="1" applyBorder="1" applyAlignment="1">
      <alignment horizontal="right" vertical="center"/>
    </xf>
    <xf numFmtId="185" fontId="23" fillId="0" borderId="21" xfId="44" applyNumberFormat="1" applyFont="1" applyFill="1" applyBorder="1" applyAlignment="1">
      <alignment horizontal="right" vertical="center"/>
    </xf>
    <xf numFmtId="185" fontId="17" fillId="0" borderId="0" xfId="44" applyNumberFormat="1" applyFont="1" applyFill="1" applyAlignment="1">
      <alignment vertical="center"/>
    </xf>
    <xf numFmtId="0" fontId="21" fillId="0" borderId="3" xfId="44" applyFont="1" applyFill="1" applyBorder="1" applyAlignment="1">
      <alignment horizontal="center" vertical="center" wrapText="1"/>
    </xf>
    <xf numFmtId="179" fontId="21" fillId="0" borderId="3" xfId="44" applyNumberFormat="1" applyFont="1" applyFill="1" applyBorder="1" applyAlignment="1">
      <alignment horizontal="center" vertical="center" wrapText="1"/>
    </xf>
    <xf numFmtId="179" fontId="21" fillId="0" borderId="6" xfId="44" applyNumberFormat="1" applyFont="1" applyFill="1" applyBorder="1" applyAlignment="1">
      <alignment horizontal="center" vertical="center" wrapText="1"/>
    </xf>
    <xf numFmtId="185" fontId="23" fillId="0" borderId="2" xfId="44" applyNumberFormat="1" applyFont="1" applyFill="1" applyBorder="1" applyAlignment="1">
      <alignment horizontal="center" vertical="center" wrapText="1"/>
    </xf>
    <xf numFmtId="4" fontId="21" fillId="0" borderId="2" xfId="44" applyNumberFormat="1" applyFont="1" applyFill="1" applyBorder="1" applyAlignment="1">
      <alignment horizontal="center" vertical="center" wrapText="1"/>
    </xf>
    <xf numFmtId="185" fontId="23" fillId="0" borderId="8" xfId="44" applyNumberFormat="1" applyFont="1" applyFill="1" applyBorder="1" applyAlignment="1">
      <alignment horizontal="center" vertical="center" wrapText="1"/>
    </xf>
    <xf numFmtId="4" fontId="21" fillId="0" borderId="8" xfId="44" applyNumberFormat="1" applyFont="1" applyFill="1" applyBorder="1" applyAlignment="1">
      <alignment horizontal="center" vertical="center" wrapText="1"/>
    </xf>
    <xf numFmtId="4" fontId="23" fillId="0" borderId="3" xfId="44" applyNumberFormat="1" applyFont="1" applyFill="1" applyBorder="1" applyAlignment="1">
      <alignment horizontal="right" vertical="center"/>
    </xf>
    <xf numFmtId="4" fontId="21" fillId="0" borderId="20" xfId="44" applyNumberFormat="1" applyFont="1" applyFill="1" applyBorder="1" applyAlignment="1">
      <alignment horizontal="right" vertical="center"/>
    </xf>
    <xf numFmtId="4" fontId="22" fillId="0" borderId="7" xfId="44" applyNumberFormat="1" applyFont="1" applyFill="1" applyBorder="1" applyAlignment="1">
      <alignment horizontal="right" vertical="center"/>
    </xf>
    <xf numFmtId="4" fontId="21" fillId="0" borderId="7" xfId="44" applyNumberFormat="1" applyFont="1" applyFill="1" applyBorder="1" applyAlignment="1">
      <alignment horizontal="right" vertical="center"/>
    </xf>
    <xf numFmtId="4" fontId="21" fillId="0" borderId="21" xfId="44" applyNumberFormat="1" applyFont="1" applyFill="1" applyBorder="1" applyAlignment="1">
      <alignment horizontal="right" vertical="center"/>
    </xf>
    <xf numFmtId="4" fontId="16" fillId="0" borderId="0" xfId="44" applyNumberFormat="1" applyFont="1" applyFill="1" applyAlignment="1">
      <alignment vertical="center"/>
    </xf>
    <xf numFmtId="4" fontId="23" fillId="0" borderId="2" xfId="44" applyNumberFormat="1" applyFont="1" applyFill="1" applyBorder="1" applyAlignment="1">
      <alignment horizontal="center" vertical="center" wrapText="1"/>
    </xf>
    <xf numFmtId="4" fontId="21" fillId="0" borderId="0" xfId="44" applyNumberFormat="1" applyFont="1" applyFill="1" applyAlignment="1">
      <alignment vertical="center"/>
    </xf>
    <xf numFmtId="4" fontId="23" fillId="0" borderId="8" xfId="44" applyNumberFormat="1" applyFont="1" applyFill="1" applyBorder="1" applyAlignment="1">
      <alignment horizontal="center" vertical="center" wrapText="1"/>
    </xf>
    <xf numFmtId="4" fontId="22" fillId="0" borderId="0" xfId="44" applyNumberFormat="1" applyFont="1" applyFill="1" applyAlignment="1">
      <alignment vertical="center"/>
    </xf>
    <xf numFmtId="4" fontId="23" fillId="0" borderId="0" xfId="44" applyNumberFormat="1" applyFont="1" applyFill="1" applyAlignment="1">
      <alignment vertical="center"/>
    </xf>
    <xf numFmtId="0" fontId="25" fillId="0" borderId="0" xfId="72" applyFont="1" applyFill="1" applyAlignment="1">
      <alignment vertical="center" wrapText="1"/>
    </xf>
    <xf numFmtId="0" fontId="26" fillId="0" borderId="0" xfId="72" applyFont="1" applyFill="1" applyAlignment="1">
      <alignment vertical="center" wrapText="1"/>
    </xf>
    <xf numFmtId="4" fontId="9" fillId="0" borderId="0" xfId="72" applyNumberFormat="1" applyFont="1" applyFill="1" applyBorder="1" applyAlignment="1">
      <alignment horizontal="left" vertical="center" wrapText="1"/>
    </xf>
    <xf numFmtId="4" fontId="9" fillId="0" borderId="0" xfId="72" applyNumberFormat="1" applyFont="1" applyFill="1" applyBorder="1" applyAlignment="1">
      <alignment horizontal="center" vertical="center" wrapText="1"/>
    </xf>
    <xf numFmtId="4" fontId="9" fillId="0" borderId="1" xfId="72" applyNumberFormat="1" applyFont="1" applyFill="1" applyBorder="1" applyAlignment="1">
      <alignment horizontal="center" vertical="center" wrapText="1"/>
    </xf>
    <xf numFmtId="49" fontId="1" fillId="0" borderId="3" xfId="72" applyNumberFormat="1" applyFont="1" applyFill="1" applyBorder="1" applyAlignment="1">
      <alignment horizontal="center" vertical="center" wrapText="1"/>
    </xf>
    <xf numFmtId="4" fontId="1" fillId="0" borderId="3" xfId="72" applyNumberFormat="1" applyFont="1" applyFill="1" applyBorder="1" applyAlignment="1">
      <alignment horizontal="center" vertical="center" wrapText="1"/>
    </xf>
    <xf numFmtId="4" fontId="5" fillId="0" borderId="3" xfId="72" applyNumberFormat="1" applyFont="1" applyFill="1" applyBorder="1" applyAlignment="1">
      <alignment horizontal="center" vertical="center" wrapText="1"/>
    </xf>
    <xf numFmtId="4" fontId="1" fillId="0" borderId="3" xfId="72" applyNumberFormat="1" applyFont="1" applyFill="1" applyBorder="1" applyAlignment="1">
      <alignment horizontal="left" vertical="center" wrapText="1"/>
    </xf>
    <xf numFmtId="185" fontId="1" fillId="0" borderId="3" xfId="72" applyNumberFormat="1" applyFont="1" applyFill="1" applyBorder="1" applyAlignment="1">
      <alignment horizontal="right" vertical="center" wrapText="1"/>
    </xf>
    <xf numFmtId="49" fontId="5" fillId="0" borderId="7" xfId="72" applyNumberFormat="1" applyFont="1" applyFill="1" applyBorder="1" applyAlignment="1">
      <alignment horizontal="center" vertical="center" wrapText="1"/>
    </xf>
    <xf numFmtId="4" fontId="5" fillId="0" borderId="7" xfId="72" applyNumberFormat="1" applyFont="1" applyFill="1" applyBorder="1" applyAlignment="1">
      <alignment horizontal="left" vertical="center" wrapText="1"/>
    </xf>
    <xf numFmtId="4" fontId="5" fillId="0" borderId="7" xfId="72" applyNumberFormat="1" applyFont="1" applyFill="1" applyBorder="1" applyAlignment="1">
      <alignment horizontal="center" vertical="center" wrapText="1"/>
    </xf>
    <xf numFmtId="185" fontId="5" fillId="0" borderId="7" xfId="72" applyNumberFormat="1" applyFont="1" applyFill="1" applyBorder="1" applyAlignment="1">
      <alignment horizontal="right" vertical="center" wrapText="1"/>
    </xf>
    <xf numFmtId="49" fontId="8" fillId="0" borderId="7" xfId="72" applyNumberFormat="1" applyFont="1" applyFill="1" applyBorder="1" applyAlignment="1">
      <alignment horizontal="center" vertical="center" wrapText="1"/>
    </xf>
    <xf numFmtId="4" fontId="8" fillId="0" borderId="7" xfId="72" applyNumberFormat="1" applyFont="1" applyFill="1" applyBorder="1" applyAlignment="1">
      <alignment horizontal="left" vertical="center" wrapText="1"/>
    </xf>
    <xf numFmtId="4" fontId="8" fillId="0" borderId="7" xfId="72" applyNumberFormat="1" applyFont="1" applyFill="1" applyBorder="1" applyAlignment="1">
      <alignment horizontal="center" vertical="center" wrapText="1"/>
    </xf>
    <xf numFmtId="185" fontId="8" fillId="0" borderId="7" xfId="72" applyNumberFormat="1" applyFont="1" applyFill="1" applyBorder="1" applyAlignment="1">
      <alignment horizontal="right" vertical="center" wrapText="1"/>
    </xf>
    <xf numFmtId="0" fontId="5" fillId="0" borderId="7" xfId="72" applyFont="1" applyFill="1" applyBorder="1" applyAlignment="1">
      <alignment vertical="center" wrapText="1"/>
    </xf>
    <xf numFmtId="4" fontId="5" fillId="0" borderId="7" xfId="72" applyNumberFormat="1" applyFont="1" applyFill="1" applyBorder="1" applyAlignment="1">
      <alignment vertical="center" wrapText="1"/>
    </xf>
    <xf numFmtId="4" fontId="8" fillId="0" borderId="7" xfId="72" applyNumberFormat="1" applyFont="1" applyFill="1" applyBorder="1" applyAlignment="1">
      <alignment vertical="center" wrapText="1"/>
    </xf>
    <xf numFmtId="0" fontId="5" fillId="0" borderId="7" xfId="72" applyFont="1" applyFill="1" applyBorder="1" applyAlignment="1">
      <alignment horizontal="left" vertical="center" wrapText="1"/>
    </xf>
    <xf numFmtId="0" fontId="8" fillId="0" borderId="7" xfId="72" applyFont="1" applyFill="1" applyBorder="1" applyAlignment="1">
      <alignment vertical="center" wrapText="1"/>
    </xf>
    <xf numFmtId="0" fontId="27" fillId="0" borderId="0" xfId="72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4" fontId="23" fillId="0" borderId="3" xfId="0" applyNumberFormat="1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4" fontId="24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4" fontId="28" fillId="0" borderId="3" xfId="0" applyNumberFormat="1" applyFont="1" applyFill="1" applyBorder="1" applyAlignment="1">
      <alignment horizontal="right" vertical="center" wrapText="1"/>
    </xf>
    <xf numFmtId="0" fontId="18" fillId="0" borderId="0" xfId="72" applyFont="1" applyBorder="1"/>
    <xf numFmtId="0" fontId="21" fillId="0" borderId="0" xfId="72" applyFont="1" applyAlignment="1">
      <alignment horizontal="center"/>
    </xf>
    <xf numFmtId="0" fontId="17" fillId="0" borderId="0" xfId="72" applyFont="1"/>
    <xf numFmtId="0" fontId="21" fillId="0" borderId="0" xfId="72" applyFont="1" applyAlignment="1">
      <alignment vertical="center"/>
    </xf>
    <xf numFmtId="0" fontId="21" fillId="0" borderId="0" xfId="72" applyFont="1" applyAlignment="1">
      <alignment vertical="center" wrapText="1"/>
    </xf>
    <xf numFmtId="1" fontId="21" fillId="0" borderId="0" xfId="72" applyNumberFormat="1" applyFont="1" applyAlignment="1">
      <alignment vertical="center"/>
    </xf>
    <xf numFmtId="4" fontId="21" fillId="0" borderId="0" xfId="72" applyNumberFormat="1" applyFont="1" applyAlignment="1">
      <alignment horizontal="right" vertical="center"/>
    </xf>
    <xf numFmtId="4" fontId="21" fillId="0" borderId="0" xfId="72" applyNumberFormat="1" applyFont="1" applyAlignment="1">
      <alignment vertical="center"/>
    </xf>
    <xf numFmtId="0" fontId="21" fillId="0" borderId="0" xfId="72" applyFont="1"/>
    <xf numFmtId="0" fontId="16" fillId="0" borderId="0" xfId="72" applyFont="1" applyBorder="1" applyAlignment="1">
      <alignment horizontal="left" vertical="center"/>
    </xf>
    <xf numFmtId="0" fontId="16" fillId="0" borderId="0" xfId="72" applyFont="1" applyBorder="1" applyAlignment="1">
      <alignment horizontal="center" vertical="center"/>
    </xf>
    <xf numFmtId="4" fontId="16" fillId="0" borderId="0" xfId="72" applyNumberFormat="1" applyFont="1" applyBorder="1" applyAlignment="1">
      <alignment horizontal="center" vertical="center"/>
    </xf>
    <xf numFmtId="0" fontId="23" fillId="0" borderId="0" xfId="72" applyFont="1" applyBorder="1" applyAlignment="1">
      <alignment horizontal="center" vertical="center"/>
    </xf>
    <xf numFmtId="0" fontId="23" fillId="0" borderId="0" xfId="72" applyFont="1" applyBorder="1" applyAlignment="1">
      <alignment horizontal="center" vertical="center" wrapText="1"/>
    </xf>
    <xf numFmtId="0" fontId="22" fillId="0" borderId="1" xfId="72" applyFont="1" applyBorder="1" applyAlignment="1">
      <alignment horizontal="right" vertical="center"/>
    </xf>
    <xf numFmtId="49" fontId="23" fillId="0" borderId="3" xfId="72" applyNumberFormat="1" applyFont="1" applyBorder="1" applyAlignment="1">
      <alignment horizontal="center" vertical="center"/>
    </xf>
    <xf numFmtId="4" fontId="23" fillId="0" borderId="3" xfId="72" applyNumberFormat="1" applyFont="1" applyBorder="1" applyAlignment="1">
      <alignment horizontal="center" vertical="center" wrapText="1"/>
    </xf>
    <xf numFmtId="4" fontId="23" fillId="0" borderId="3" xfId="72" applyNumberFormat="1" applyFont="1" applyBorder="1" applyAlignment="1">
      <alignment horizontal="center" vertical="center"/>
    </xf>
    <xf numFmtId="3" fontId="21" fillId="0" borderId="3" xfId="72" applyNumberFormat="1" applyFont="1" applyBorder="1" applyAlignment="1">
      <alignment horizontal="center" vertical="center" wrapText="1"/>
    </xf>
    <xf numFmtId="49" fontId="17" fillId="0" borderId="3" xfId="72" applyNumberFormat="1" applyFont="1" applyBorder="1" applyAlignment="1">
      <alignment horizontal="center" vertical="center"/>
    </xf>
    <xf numFmtId="4" fontId="17" fillId="0" borderId="3" xfId="72" applyNumberFormat="1" applyFont="1" applyBorder="1" applyAlignment="1">
      <alignment horizontal="center" vertical="center" wrapText="1"/>
    </xf>
    <xf numFmtId="4" fontId="17" fillId="0" borderId="3" xfId="72" applyNumberFormat="1" applyFont="1" applyBorder="1" applyAlignment="1">
      <alignment horizontal="center" vertical="center"/>
    </xf>
    <xf numFmtId="4" fontId="17" fillId="0" borderId="3" xfId="72" applyNumberFormat="1" applyFont="1" applyFill="1" applyBorder="1" applyAlignment="1">
      <alignment horizontal="center" vertical="center" wrapText="1"/>
    </xf>
    <xf numFmtId="49" fontId="23" fillId="0" borderId="3" xfId="72" applyNumberFormat="1" applyFont="1" applyFill="1" applyBorder="1" applyAlignment="1">
      <alignment horizontal="center" vertical="center"/>
    </xf>
    <xf numFmtId="4" fontId="23" fillId="0" borderId="3" xfId="72" applyNumberFormat="1" applyFont="1" applyFill="1" applyBorder="1" applyAlignment="1">
      <alignment horizontal="left" vertical="center" wrapText="1"/>
    </xf>
    <xf numFmtId="4" fontId="23" fillId="0" borderId="3" xfId="72" applyNumberFormat="1" applyFont="1" applyFill="1" applyBorder="1" applyAlignment="1">
      <alignment horizontal="center" vertical="center"/>
    </xf>
    <xf numFmtId="185" fontId="23" fillId="0" borderId="3" xfId="72" applyNumberFormat="1" applyFont="1" applyFill="1" applyBorder="1" applyAlignment="1">
      <alignment horizontal="right" vertical="center"/>
    </xf>
    <xf numFmtId="49" fontId="21" fillId="0" borderId="8" xfId="72" applyNumberFormat="1" applyFont="1" applyFill="1" applyBorder="1" applyAlignment="1">
      <alignment horizontal="center" vertical="center"/>
    </xf>
    <xf numFmtId="4" fontId="21" fillId="0" borderId="8" xfId="72" applyNumberFormat="1" applyFont="1" applyFill="1" applyBorder="1" applyAlignment="1">
      <alignment horizontal="left" vertical="center" wrapText="1"/>
    </xf>
    <xf numFmtId="4" fontId="21" fillId="0" borderId="8" xfId="72" applyNumberFormat="1" applyFont="1" applyFill="1" applyBorder="1" applyAlignment="1">
      <alignment horizontal="center" vertical="center"/>
    </xf>
    <xf numFmtId="185" fontId="21" fillId="0" borderId="8" xfId="72" applyNumberFormat="1" applyFont="1" applyFill="1" applyBorder="1" applyAlignment="1">
      <alignment horizontal="right" vertical="center"/>
    </xf>
    <xf numFmtId="49" fontId="21" fillId="0" borderId="7" xfId="72" applyNumberFormat="1" applyFont="1" applyFill="1" applyBorder="1" applyAlignment="1">
      <alignment horizontal="center" vertical="center"/>
    </xf>
    <xf numFmtId="4" fontId="21" fillId="0" borderId="7" xfId="72" applyNumberFormat="1" applyFont="1" applyFill="1" applyBorder="1" applyAlignment="1">
      <alignment horizontal="left" vertical="center" wrapText="1"/>
    </xf>
    <xf numFmtId="4" fontId="21" fillId="0" borderId="7" xfId="72" applyNumberFormat="1" applyFont="1" applyFill="1" applyBorder="1" applyAlignment="1">
      <alignment horizontal="center" vertical="center"/>
    </xf>
    <xf numFmtId="185" fontId="21" fillId="0" borderId="7" xfId="72" applyNumberFormat="1" applyFont="1" applyFill="1" applyBorder="1" applyAlignment="1">
      <alignment horizontal="right" vertical="center"/>
    </xf>
    <xf numFmtId="49" fontId="22" fillId="0" borderId="7" xfId="72" applyNumberFormat="1" applyFont="1" applyFill="1" applyBorder="1" applyAlignment="1">
      <alignment horizontal="center" vertical="center"/>
    </xf>
    <xf numFmtId="4" fontId="22" fillId="0" borderId="7" xfId="72" applyNumberFormat="1" applyFont="1" applyFill="1" applyBorder="1" applyAlignment="1">
      <alignment horizontal="left" vertical="center" wrapText="1"/>
    </xf>
    <xf numFmtId="4" fontId="22" fillId="0" borderId="7" xfId="72" applyNumberFormat="1" applyFont="1" applyFill="1" applyBorder="1" applyAlignment="1">
      <alignment horizontal="center" vertical="center"/>
    </xf>
    <xf numFmtId="185" fontId="22" fillId="0" borderId="7" xfId="72" applyNumberFormat="1" applyFont="1" applyFill="1" applyBorder="1" applyAlignment="1">
      <alignment horizontal="right" vertical="center"/>
    </xf>
    <xf numFmtId="0" fontId="21" fillId="0" borderId="7" xfId="72" applyFont="1" applyFill="1" applyBorder="1" applyAlignment="1">
      <alignment vertical="center" wrapText="1"/>
    </xf>
    <xf numFmtId="4" fontId="21" fillId="0" borderId="7" xfId="72" applyNumberFormat="1" applyFont="1" applyFill="1" applyBorder="1" applyAlignment="1">
      <alignment vertical="center" wrapText="1"/>
    </xf>
    <xf numFmtId="49" fontId="23" fillId="0" borderId="8" xfId="72" applyNumberFormat="1" applyFont="1" applyFill="1" applyBorder="1" applyAlignment="1">
      <alignment horizontal="center" vertical="center"/>
    </xf>
    <xf numFmtId="4" fontId="23" fillId="0" borderId="8" xfId="72" applyNumberFormat="1" applyFont="1" applyFill="1" applyBorder="1" applyAlignment="1">
      <alignment horizontal="center" vertical="center"/>
    </xf>
    <xf numFmtId="185" fontId="23" fillId="0" borderId="8" xfId="72" applyNumberFormat="1" applyFont="1" applyFill="1" applyBorder="1" applyAlignment="1">
      <alignment horizontal="right" vertical="center"/>
    </xf>
    <xf numFmtId="49" fontId="21" fillId="0" borderId="7" xfId="72" applyNumberFormat="1" applyFont="1" applyBorder="1" applyAlignment="1">
      <alignment horizontal="center" vertical="center"/>
    </xf>
    <xf numFmtId="0" fontId="21" fillId="0" borderId="7" xfId="72" applyFont="1" applyBorder="1" applyAlignment="1">
      <alignment horizontal="left" vertical="center" wrapText="1"/>
    </xf>
    <xf numFmtId="4" fontId="21" fillId="0" borderId="7" xfId="72" applyNumberFormat="1" applyFont="1" applyBorder="1" applyAlignment="1">
      <alignment horizontal="center" vertical="center"/>
    </xf>
    <xf numFmtId="4" fontId="21" fillId="0" borderId="7" xfId="72" applyNumberFormat="1" applyFont="1" applyBorder="1" applyAlignment="1">
      <alignment horizontal="left" vertical="center" wrapText="1"/>
    </xf>
    <xf numFmtId="49" fontId="22" fillId="0" borderId="7" xfId="72" applyNumberFormat="1" applyFont="1" applyBorder="1" applyAlignment="1">
      <alignment horizontal="center" vertical="center"/>
    </xf>
    <xf numFmtId="4" fontId="22" fillId="0" borderId="7" xfId="72" applyNumberFormat="1" applyFont="1" applyBorder="1" applyAlignment="1">
      <alignment horizontal="left" vertical="center" wrapText="1"/>
    </xf>
    <xf numFmtId="4" fontId="22" fillId="0" borderId="7" xfId="72" applyNumberFormat="1" applyFont="1" applyBorder="1" applyAlignment="1">
      <alignment horizontal="center" vertical="center"/>
    </xf>
    <xf numFmtId="0" fontId="22" fillId="0" borderId="7" xfId="72" applyFont="1" applyBorder="1" applyAlignment="1">
      <alignment vertical="center" wrapText="1"/>
    </xf>
    <xf numFmtId="0" fontId="21" fillId="0" borderId="7" xfId="72" applyFont="1" applyBorder="1" applyAlignment="1">
      <alignment vertical="center" wrapText="1"/>
    </xf>
    <xf numFmtId="49" fontId="21" fillId="0" borderId="23" xfId="72" applyNumberFormat="1" applyFont="1" applyBorder="1" applyAlignment="1">
      <alignment horizontal="center" vertical="center"/>
    </xf>
    <xf numFmtId="0" fontId="21" fillId="0" borderId="23" xfId="72" applyFont="1" applyBorder="1" applyAlignment="1">
      <alignment vertical="center" wrapText="1"/>
    </xf>
    <xf numFmtId="4" fontId="21" fillId="0" borderId="23" xfId="72" applyNumberFormat="1" applyFont="1" applyBorder="1" applyAlignment="1">
      <alignment horizontal="center" vertical="center"/>
    </xf>
    <xf numFmtId="185" fontId="21" fillId="0" borderId="23" xfId="72" applyNumberFormat="1" applyFont="1" applyFill="1" applyBorder="1" applyAlignment="1">
      <alignment horizontal="right" vertical="center"/>
    </xf>
    <xf numFmtId="0" fontId="16" fillId="0" borderId="0" xfId="72" applyFont="1" applyBorder="1" applyAlignment="1"/>
    <xf numFmtId="0" fontId="23" fillId="0" borderId="0" xfId="72" applyFont="1" applyBorder="1" applyAlignment="1">
      <alignment horizontal="center"/>
    </xf>
    <xf numFmtId="0" fontId="18" fillId="0" borderId="0" xfId="72" applyFont="1" applyFill="1" applyBorder="1" applyAlignment="1">
      <alignment vertical="center"/>
    </xf>
    <xf numFmtId="0" fontId="21" fillId="0" borderId="0" xfId="72" applyFont="1" applyFill="1" applyAlignment="1">
      <alignment horizontal="center" vertical="center"/>
    </xf>
    <xf numFmtId="0" fontId="17" fillId="0" borderId="0" xfId="72" applyFont="1" applyFill="1" applyAlignment="1">
      <alignment horizontal="center" vertical="center"/>
    </xf>
    <xf numFmtId="0" fontId="21" fillId="0" borderId="0" xfId="72" applyFont="1" applyFill="1" applyAlignment="1">
      <alignment vertical="center"/>
    </xf>
    <xf numFmtId="0" fontId="21" fillId="0" borderId="0" xfId="72" applyFont="1" applyFill="1" applyAlignment="1">
      <alignment vertical="center" wrapText="1"/>
    </xf>
    <xf numFmtId="1" fontId="21" fillId="0" borderId="0" xfId="72" applyNumberFormat="1" applyFont="1" applyFill="1" applyAlignment="1">
      <alignment vertical="center"/>
    </xf>
    <xf numFmtId="4" fontId="21" fillId="0" borderId="0" xfId="72" applyNumberFormat="1" applyFont="1" applyFill="1" applyAlignment="1">
      <alignment horizontal="right" vertical="center"/>
    </xf>
    <xf numFmtId="4" fontId="21" fillId="0" borderId="0" xfId="72" applyNumberFormat="1" applyFont="1" applyFill="1" applyAlignment="1">
      <alignment vertical="center"/>
    </xf>
    <xf numFmtId="0" fontId="16" fillId="0" borderId="0" xfId="72" applyFont="1" applyFill="1" applyBorder="1" applyAlignment="1">
      <alignment horizontal="left" vertical="center"/>
    </xf>
    <xf numFmtId="0" fontId="16" fillId="0" borderId="0" xfId="72" applyFont="1" applyFill="1" applyBorder="1" applyAlignment="1">
      <alignment horizontal="center" vertical="center"/>
    </xf>
    <xf numFmtId="4" fontId="16" fillId="0" borderId="0" xfId="72" applyNumberFormat="1" applyFont="1" applyFill="1" applyBorder="1" applyAlignment="1">
      <alignment horizontal="center" vertical="center"/>
    </xf>
    <xf numFmtId="0" fontId="22" fillId="0" borderId="0" xfId="72" applyFont="1" applyFill="1" applyBorder="1" applyAlignment="1">
      <alignment horizontal="right" vertical="center"/>
    </xf>
    <xf numFmtId="4" fontId="23" fillId="0" borderId="3" xfId="72" applyNumberFormat="1" applyFont="1" applyFill="1" applyBorder="1" applyAlignment="1">
      <alignment horizontal="center" vertical="center" wrapText="1"/>
    </xf>
    <xf numFmtId="3" fontId="21" fillId="0" borderId="3" xfId="72" applyNumberFormat="1" applyFont="1" applyFill="1" applyBorder="1" applyAlignment="1">
      <alignment horizontal="center" vertical="center" wrapText="1"/>
    </xf>
    <xf numFmtId="49" fontId="17" fillId="0" borderId="3" xfId="72" applyNumberFormat="1" applyFont="1" applyFill="1" applyBorder="1" applyAlignment="1">
      <alignment horizontal="center" vertical="center"/>
    </xf>
    <xf numFmtId="4" fontId="17" fillId="0" borderId="3" xfId="72" applyNumberFormat="1" applyFont="1" applyFill="1" applyBorder="1" applyAlignment="1">
      <alignment horizontal="center" vertical="center"/>
    </xf>
    <xf numFmtId="49" fontId="23" fillId="0" borderId="2" xfId="72" applyNumberFormat="1" applyFont="1" applyFill="1" applyBorder="1" applyAlignment="1">
      <alignment horizontal="center" vertical="center"/>
    </xf>
    <xf numFmtId="4" fontId="23" fillId="0" borderId="2" xfId="72" applyNumberFormat="1" applyFont="1" applyFill="1" applyBorder="1" applyAlignment="1">
      <alignment horizontal="left" vertical="center" wrapText="1"/>
    </xf>
    <xf numFmtId="4" fontId="23" fillId="0" borderId="2" xfId="72" applyNumberFormat="1" applyFont="1" applyFill="1" applyBorder="1" applyAlignment="1">
      <alignment horizontal="center" vertical="center"/>
    </xf>
    <xf numFmtId="185" fontId="23" fillId="0" borderId="2" xfId="72" applyNumberFormat="1" applyFont="1" applyFill="1" applyBorder="1" applyAlignment="1">
      <alignment horizontal="right" vertical="center"/>
    </xf>
    <xf numFmtId="49" fontId="23" fillId="0" borderId="24" xfId="72" applyNumberFormat="1" applyFont="1" applyFill="1" applyBorder="1" applyAlignment="1">
      <alignment horizontal="center" vertical="center"/>
    </xf>
    <xf numFmtId="4" fontId="21" fillId="0" borderId="24" xfId="72" applyNumberFormat="1" applyFont="1" applyFill="1" applyBorder="1" applyAlignment="1">
      <alignment horizontal="left" vertical="center" wrapText="1"/>
    </xf>
    <xf numFmtId="4" fontId="23" fillId="0" borderId="24" xfId="72" applyNumberFormat="1" applyFont="1" applyFill="1" applyBorder="1" applyAlignment="1">
      <alignment horizontal="center" vertical="center"/>
    </xf>
    <xf numFmtId="185" fontId="23" fillId="0" borderId="24" xfId="72" applyNumberFormat="1" applyFont="1" applyFill="1" applyBorder="1" applyAlignment="1">
      <alignment horizontal="right" vertical="center"/>
    </xf>
    <xf numFmtId="0" fontId="21" fillId="0" borderId="7" xfId="72" applyFont="1" applyFill="1" applyBorder="1" applyAlignment="1">
      <alignment horizontal="left" vertical="center" wrapText="1"/>
    </xf>
    <xf numFmtId="0" fontId="22" fillId="0" borderId="7" xfId="72" applyFont="1" applyFill="1" applyBorder="1" applyAlignment="1">
      <alignment vertical="center" wrapText="1"/>
    </xf>
    <xf numFmtId="49" fontId="21" fillId="0" borderId="23" xfId="72" applyNumberFormat="1" applyFont="1" applyFill="1" applyBorder="1" applyAlignment="1">
      <alignment horizontal="center" vertical="center"/>
    </xf>
    <xf numFmtId="0" fontId="21" fillId="0" borderId="23" xfId="72" applyFont="1" applyFill="1" applyBorder="1" applyAlignment="1">
      <alignment vertical="center" wrapText="1"/>
    </xf>
    <xf numFmtId="4" fontId="21" fillId="0" borderId="23" xfId="72" applyNumberFormat="1" applyFont="1" applyFill="1" applyBorder="1" applyAlignment="1">
      <alignment horizontal="center" vertical="center"/>
    </xf>
    <xf numFmtId="4" fontId="21" fillId="0" borderId="3" xfId="72" applyNumberFormat="1" applyFont="1" applyFill="1" applyBorder="1" applyAlignment="1">
      <alignment horizontal="center" vertical="center"/>
    </xf>
    <xf numFmtId="185" fontId="23" fillId="0" borderId="3" xfId="72" applyNumberFormat="1" applyFont="1" applyFill="1" applyBorder="1" applyAlignment="1">
      <alignment vertical="center"/>
    </xf>
    <xf numFmtId="185" fontId="21" fillId="0" borderId="24" xfId="72" applyNumberFormat="1" applyFont="1" applyFill="1" applyBorder="1" applyAlignment="1">
      <alignment horizontal="right" vertical="center"/>
    </xf>
    <xf numFmtId="185" fontId="21" fillId="0" borderId="24" xfId="72" applyNumberFormat="1" applyFont="1" applyFill="1" applyBorder="1" applyAlignment="1">
      <alignment vertical="center"/>
    </xf>
    <xf numFmtId="185" fontId="21" fillId="0" borderId="7" xfId="72" applyNumberFormat="1" applyFont="1" applyFill="1" applyBorder="1" applyAlignment="1">
      <alignment vertical="center"/>
    </xf>
    <xf numFmtId="185" fontId="21" fillId="0" borderId="23" xfId="72" applyNumberFormat="1" applyFont="1" applyFill="1" applyBorder="1" applyAlignment="1">
      <alignment vertical="center"/>
    </xf>
    <xf numFmtId="0" fontId="21" fillId="0" borderId="3" xfId="72" applyFont="1" applyFill="1" applyBorder="1" applyAlignment="1">
      <alignment horizontal="center" vertical="center"/>
    </xf>
    <xf numFmtId="0" fontId="17" fillId="0" borderId="3" xfId="72" applyFont="1" applyFill="1" applyBorder="1" applyAlignment="1">
      <alignment horizontal="center" vertical="center"/>
    </xf>
    <xf numFmtId="0" fontId="1" fillId="0" borderId="0" xfId="72" applyFont="1" applyAlignment="1">
      <alignment horizontal="center" vertical="center"/>
    </xf>
    <xf numFmtId="0" fontId="5" fillId="0" borderId="0" xfId="72" applyFont="1" applyAlignment="1">
      <alignment vertical="center"/>
    </xf>
    <xf numFmtId="0" fontId="8" fillId="0" borderId="0" xfId="72" applyFont="1" applyAlignment="1">
      <alignment vertical="center"/>
    </xf>
    <xf numFmtId="49" fontId="29" fillId="0" borderId="0" xfId="72" applyNumberFormat="1" applyFont="1" applyAlignment="1">
      <alignment horizontal="center" vertical="center"/>
    </xf>
    <xf numFmtId="0" fontId="29" fillId="0" borderId="0" xfId="72" applyFont="1" applyAlignment="1">
      <alignment vertical="center"/>
    </xf>
    <xf numFmtId="0" fontId="29" fillId="0" borderId="0" xfId="72" applyFont="1" applyAlignment="1">
      <alignment horizontal="center" vertical="center"/>
    </xf>
    <xf numFmtId="4" fontId="29" fillId="0" borderId="0" xfId="72" applyNumberFormat="1" applyFont="1" applyAlignment="1">
      <alignment vertical="center"/>
    </xf>
    <xf numFmtId="0" fontId="9" fillId="0" borderId="0" xfId="72" applyFont="1" applyAlignment="1">
      <alignment horizontal="left" vertical="center"/>
    </xf>
    <xf numFmtId="0" fontId="9" fillId="0" borderId="0" xfId="72" applyFont="1" applyBorder="1" applyAlignment="1">
      <alignment horizontal="center" vertical="center"/>
    </xf>
    <xf numFmtId="4" fontId="9" fillId="0" borderId="0" xfId="72" applyNumberFormat="1" applyFont="1" applyBorder="1" applyAlignment="1">
      <alignment horizontal="center" vertical="center"/>
    </xf>
    <xf numFmtId="49" fontId="29" fillId="0" borderId="0" xfId="72" applyNumberFormat="1" applyFont="1" applyBorder="1" applyAlignment="1">
      <alignment horizontal="center" vertical="center"/>
    </xf>
    <xf numFmtId="0" fontId="29" fillId="0" borderId="0" xfId="72" applyFont="1" applyBorder="1" applyAlignment="1">
      <alignment horizontal="center" vertical="center"/>
    </xf>
    <xf numFmtId="4" fontId="29" fillId="0" borderId="0" xfId="72" applyNumberFormat="1" applyFont="1" applyBorder="1" applyAlignment="1">
      <alignment horizontal="center" vertical="center"/>
    </xf>
    <xf numFmtId="0" fontId="30" fillId="0" borderId="1" xfId="72" applyFont="1" applyBorder="1" applyAlignment="1">
      <alignment horizontal="right" vertical="center"/>
    </xf>
    <xf numFmtId="49" fontId="1" fillId="0" borderId="3" xfId="72" applyNumberFormat="1" applyFont="1" applyBorder="1" applyAlignment="1">
      <alignment horizontal="center" vertical="center"/>
    </xf>
    <xf numFmtId="0" fontId="1" fillId="0" borderId="3" xfId="72" applyFont="1" applyBorder="1" applyAlignment="1">
      <alignment horizontal="center" vertical="center"/>
    </xf>
    <xf numFmtId="4" fontId="1" fillId="0" borderId="3" xfId="72" applyNumberFormat="1" applyFont="1" applyBorder="1" applyAlignment="1">
      <alignment horizontal="center" vertical="center" wrapText="1"/>
    </xf>
    <xf numFmtId="4" fontId="1" fillId="0" borderId="3" xfId="72" applyNumberFormat="1" applyFont="1" applyBorder="1" applyAlignment="1">
      <alignment horizontal="center" vertical="center"/>
    </xf>
    <xf numFmtId="4" fontId="5" fillId="0" borderId="3" xfId="72" applyNumberFormat="1" applyFont="1" applyBorder="1" applyAlignment="1">
      <alignment horizontal="center" vertical="center" wrapText="1"/>
    </xf>
    <xf numFmtId="49" fontId="31" fillId="0" borderId="3" xfId="72" applyNumberFormat="1" applyFont="1" applyBorder="1" applyAlignment="1">
      <alignment horizontal="center" vertical="center"/>
    </xf>
    <xf numFmtId="0" fontId="31" fillId="0" borderId="3" xfId="72" applyFont="1" applyBorder="1" applyAlignment="1">
      <alignment horizontal="center" vertical="center"/>
    </xf>
    <xf numFmtId="4" fontId="31" fillId="0" borderId="3" xfId="72" applyNumberFormat="1" applyFont="1" applyBorder="1" applyAlignment="1">
      <alignment horizontal="center" vertical="center"/>
    </xf>
    <xf numFmtId="49" fontId="31" fillId="0" borderId="3" xfId="72" applyNumberFormat="1" applyFont="1" applyFill="1" applyBorder="1" applyAlignment="1">
      <alignment horizontal="center" vertical="center" wrapText="1"/>
    </xf>
    <xf numFmtId="0" fontId="1" fillId="0" borderId="3" xfId="72" applyFont="1" applyBorder="1" applyAlignment="1">
      <alignment horizontal="left" vertical="center" wrapText="1"/>
    </xf>
    <xf numFmtId="185" fontId="1" fillId="0" borderId="3" xfId="72" applyNumberFormat="1" applyFont="1" applyBorder="1" applyAlignment="1">
      <alignment horizontal="right" vertical="center"/>
    </xf>
    <xf numFmtId="49" fontId="1" fillId="0" borderId="24" xfId="72" applyNumberFormat="1" applyFont="1" applyBorder="1" applyAlignment="1">
      <alignment horizontal="center" vertical="center"/>
    </xf>
    <xf numFmtId="0" fontId="8" fillId="0" borderId="24" xfId="72" applyFont="1" applyBorder="1" applyAlignment="1">
      <alignment horizontal="left" vertical="center"/>
    </xf>
    <xf numFmtId="0" fontId="1" fillId="0" borderId="24" xfId="72" applyFont="1" applyBorder="1" applyAlignment="1">
      <alignment horizontal="center" vertical="center"/>
    </xf>
    <xf numFmtId="185" fontId="1" fillId="0" borderId="24" xfId="72" applyNumberFormat="1" applyFont="1" applyBorder="1" applyAlignment="1">
      <alignment horizontal="right" vertical="center"/>
    </xf>
    <xf numFmtId="49" fontId="5" fillId="0" borderId="7" xfId="72" applyNumberFormat="1" applyFont="1" applyBorder="1" applyAlignment="1">
      <alignment horizontal="center" vertical="center"/>
    </xf>
    <xf numFmtId="0" fontId="5" fillId="0" borderId="7" xfId="72" applyFont="1" applyBorder="1" applyAlignment="1">
      <alignment vertical="center"/>
    </xf>
    <xf numFmtId="0" fontId="5" fillId="0" borderId="7" xfId="72" applyFont="1" applyBorder="1" applyAlignment="1">
      <alignment horizontal="center" vertical="center"/>
    </xf>
    <xf numFmtId="185" fontId="5" fillId="0" borderId="7" xfId="72" applyNumberFormat="1" applyFont="1" applyBorder="1" applyAlignment="1">
      <alignment horizontal="right" vertical="center"/>
    </xf>
    <xf numFmtId="49" fontId="8" fillId="0" borderId="7" xfId="72" applyNumberFormat="1" applyFont="1" applyBorder="1" applyAlignment="1">
      <alignment horizontal="center" vertical="center"/>
    </xf>
    <xf numFmtId="4" fontId="8" fillId="0" borderId="7" xfId="72" applyNumberFormat="1" applyFont="1" applyBorder="1" applyAlignment="1">
      <alignment horizontal="left" vertical="center"/>
    </xf>
    <xf numFmtId="0" fontId="8" fillId="0" borderId="7" xfId="72" applyFont="1" applyBorder="1" applyAlignment="1">
      <alignment horizontal="center" vertical="center"/>
    </xf>
    <xf numFmtId="185" fontId="8" fillId="0" borderId="7" xfId="72" applyNumberFormat="1" applyFont="1" applyBorder="1" applyAlignment="1">
      <alignment horizontal="right" vertical="center"/>
    </xf>
    <xf numFmtId="0" fontId="8" fillId="0" borderId="7" xfId="72" applyFont="1" applyBorder="1" applyAlignment="1">
      <alignment vertical="center"/>
    </xf>
    <xf numFmtId="49" fontId="5" fillId="0" borderId="23" xfId="72" applyNumberFormat="1" applyFont="1" applyBorder="1" applyAlignment="1">
      <alignment horizontal="center" vertical="center"/>
    </xf>
    <xf numFmtId="0" fontId="5" fillId="0" borderId="23" xfId="72" applyFont="1" applyBorder="1" applyAlignment="1">
      <alignment vertical="center"/>
    </xf>
    <xf numFmtId="0" fontId="5" fillId="0" borderId="23" xfId="72" applyFont="1" applyBorder="1" applyAlignment="1">
      <alignment horizontal="center" vertical="center"/>
    </xf>
    <xf numFmtId="185" fontId="5" fillId="0" borderId="23" xfId="72" applyNumberFormat="1" applyFont="1" applyBorder="1" applyAlignment="1">
      <alignment horizontal="right" vertical="center"/>
    </xf>
    <xf numFmtId="49" fontId="8" fillId="0" borderId="24" xfId="72" applyNumberFormat="1" applyFont="1" applyFill="1" applyBorder="1" applyAlignment="1">
      <alignment horizontal="center" vertical="center"/>
    </xf>
    <xf numFmtId="0" fontId="8" fillId="0" borderId="24" xfId="72" applyFont="1" applyBorder="1" applyAlignment="1">
      <alignment horizontal="left" vertical="center" wrapText="1"/>
    </xf>
    <xf numFmtId="0" fontId="8" fillId="0" borderId="24" xfId="72" applyFont="1" applyBorder="1" applyAlignment="1">
      <alignment horizontal="center" vertical="center"/>
    </xf>
    <xf numFmtId="185" fontId="8" fillId="0" borderId="24" xfId="72" applyNumberFormat="1" applyFont="1" applyBorder="1" applyAlignment="1">
      <alignment horizontal="right" vertical="center"/>
    </xf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49" fontId="8" fillId="0" borderId="23" xfId="72" applyNumberFormat="1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185" fontId="8" fillId="0" borderId="23" xfId="72" applyNumberFormat="1" applyFont="1" applyBorder="1" applyAlignment="1">
      <alignment horizontal="right" vertical="center"/>
    </xf>
    <xf numFmtId="0" fontId="29" fillId="0" borderId="25" xfId="72" applyFont="1" applyBorder="1" applyAlignment="1">
      <alignment horizontal="left" vertical="center" wrapText="1"/>
    </xf>
    <xf numFmtId="0" fontId="29" fillId="0" borderId="0" xfId="72" applyFont="1" applyBorder="1" applyAlignment="1">
      <alignment horizontal="left" vertical="center" wrapText="1"/>
    </xf>
    <xf numFmtId="4" fontId="5" fillId="0" borderId="0" xfId="72" applyNumberFormat="1" applyFont="1" applyAlignment="1">
      <alignment vertical="center"/>
    </xf>
    <xf numFmtId="4" fontId="8" fillId="0" borderId="0" xfId="72" applyNumberFormat="1" applyFont="1" applyAlignment="1">
      <alignment vertical="center"/>
    </xf>
    <xf numFmtId="185" fontId="5" fillId="0" borderId="7" xfId="72" applyNumberFormat="1" applyFont="1" applyFill="1" applyBorder="1" applyAlignment="1">
      <alignment horizontal="right" vertical="center"/>
    </xf>
    <xf numFmtId="185" fontId="5" fillId="0" borderId="0" xfId="72" applyNumberFormat="1" applyFont="1" applyAlignment="1">
      <alignment vertical="center"/>
    </xf>
    <xf numFmtId="186" fontId="5" fillId="0" borderId="0" xfId="72" applyNumberFormat="1" applyFont="1" applyAlignment="1">
      <alignment vertical="center"/>
    </xf>
    <xf numFmtId="185" fontId="8" fillId="0" borderId="0" xfId="72" applyNumberFormat="1" applyFont="1" applyAlignment="1">
      <alignment vertical="center"/>
    </xf>
    <xf numFmtId="0" fontId="17" fillId="0" borderId="0" xfId="72" applyFont="1" applyBorder="1"/>
    <xf numFmtId="0" fontId="17" fillId="0" borderId="0" xfId="72" applyFont="1" applyAlignment="1">
      <alignment horizontal="center"/>
    </xf>
    <xf numFmtId="0" fontId="34" fillId="0" borderId="0" xfId="72" applyFont="1"/>
    <xf numFmtId="0" fontId="17" fillId="0" borderId="0" xfId="72" applyFont="1" applyAlignment="1">
      <alignment vertical="center"/>
    </xf>
    <xf numFmtId="0" fontId="17" fillId="0" borderId="0" xfId="72" applyFont="1" applyAlignment="1">
      <alignment vertical="center" wrapText="1"/>
    </xf>
    <xf numFmtId="1" fontId="17" fillId="0" borderId="0" xfId="72" applyNumberFormat="1" applyFont="1" applyAlignment="1">
      <alignment vertical="center"/>
    </xf>
    <xf numFmtId="4" fontId="17" fillId="0" borderId="0" xfId="72" applyNumberFormat="1" applyFont="1" applyAlignment="1">
      <alignment horizontal="right" vertical="center"/>
    </xf>
    <xf numFmtId="4" fontId="17" fillId="0" borderId="0" xfId="72" applyNumberFormat="1" applyFont="1" applyAlignment="1">
      <alignment vertical="center"/>
    </xf>
    <xf numFmtId="0" fontId="14" fillId="0" borderId="0" xfId="72" applyFont="1"/>
    <xf numFmtId="0" fontId="35" fillId="0" borderId="0" xfId="72" applyFont="1" applyBorder="1" applyAlignment="1">
      <alignment horizontal="center" vertical="center"/>
    </xf>
    <xf numFmtId="0" fontId="35" fillId="0" borderId="0" xfId="72" applyFont="1" applyBorder="1" applyAlignment="1">
      <alignment horizontal="center" vertical="center" wrapText="1"/>
    </xf>
    <xf numFmtId="49" fontId="35" fillId="0" borderId="3" xfId="72" applyNumberFormat="1" applyFont="1" applyBorder="1" applyAlignment="1">
      <alignment horizontal="center" vertical="center"/>
    </xf>
    <xf numFmtId="4" fontId="35" fillId="0" borderId="3" xfId="72" applyNumberFormat="1" applyFont="1" applyBorder="1" applyAlignment="1">
      <alignment horizontal="center" vertical="center" wrapText="1"/>
    </xf>
    <xf numFmtId="4" fontId="35" fillId="0" borderId="3" xfId="72" applyNumberFormat="1" applyFont="1" applyBorder="1" applyAlignment="1">
      <alignment horizontal="center" vertical="center"/>
    </xf>
    <xf numFmtId="3" fontId="20" fillId="0" borderId="3" xfId="72" applyNumberFormat="1" applyFont="1" applyBorder="1" applyAlignment="1">
      <alignment horizontal="center" vertical="center" wrapText="1"/>
    </xf>
    <xf numFmtId="49" fontId="35" fillId="0" borderId="3" xfId="72" applyNumberFormat="1" applyFont="1" applyFill="1" applyBorder="1" applyAlignment="1">
      <alignment horizontal="center" vertical="center"/>
    </xf>
    <xf numFmtId="4" fontId="35" fillId="0" borderId="3" xfId="72" applyNumberFormat="1" applyFont="1" applyFill="1" applyBorder="1" applyAlignment="1">
      <alignment horizontal="left" vertical="center" wrapText="1"/>
    </xf>
    <xf numFmtId="4" fontId="35" fillId="0" borderId="3" xfId="72" applyNumberFormat="1" applyFont="1" applyFill="1" applyBorder="1" applyAlignment="1">
      <alignment horizontal="center" vertical="center"/>
    </xf>
    <xf numFmtId="185" fontId="35" fillId="0" borderId="3" xfId="72" applyNumberFormat="1" applyFont="1" applyFill="1" applyBorder="1" applyAlignment="1">
      <alignment horizontal="right" vertical="center"/>
    </xf>
    <xf numFmtId="49" fontId="20" fillId="0" borderId="8" xfId="72" applyNumberFormat="1" applyFont="1" applyFill="1" applyBorder="1" applyAlignment="1">
      <alignment horizontal="center" vertical="center"/>
    </xf>
    <xf numFmtId="4" fontId="20" fillId="0" borderId="8" xfId="72" applyNumberFormat="1" applyFont="1" applyFill="1" applyBorder="1" applyAlignment="1">
      <alignment horizontal="left" vertical="center" wrapText="1"/>
    </xf>
    <xf numFmtId="4" fontId="20" fillId="0" borderId="8" xfId="72" applyNumberFormat="1" applyFont="1" applyFill="1" applyBorder="1" applyAlignment="1">
      <alignment horizontal="center" vertical="center"/>
    </xf>
    <xf numFmtId="185" fontId="20" fillId="0" borderId="8" xfId="72" applyNumberFormat="1" applyFont="1" applyFill="1" applyBorder="1" applyAlignment="1">
      <alignment horizontal="right" vertical="center"/>
    </xf>
    <xf numFmtId="49" fontId="20" fillId="0" borderId="7" xfId="72" applyNumberFormat="1" applyFont="1" applyFill="1" applyBorder="1" applyAlignment="1">
      <alignment horizontal="center" vertical="center"/>
    </xf>
    <xf numFmtId="4" fontId="20" fillId="0" borderId="7" xfId="72" applyNumberFormat="1" applyFont="1" applyFill="1" applyBorder="1" applyAlignment="1">
      <alignment horizontal="left" vertical="center" wrapText="1"/>
    </xf>
    <xf numFmtId="4" fontId="20" fillId="0" borderId="7" xfId="72" applyNumberFormat="1" applyFont="1" applyFill="1" applyBorder="1" applyAlignment="1">
      <alignment horizontal="center" vertical="center"/>
    </xf>
    <xf numFmtId="185" fontId="20" fillId="0" borderId="7" xfId="72" applyNumberFormat="1" applyFont="1" applyFill="1" applyBorder="1" applyAlignment="1">
      <alignment horizontal="right" vertical="center"/>
    </xf>
    <xf numFmtId="49" fontId="36" fillId="0" borderId="7" xfId="72" applyNumberFormat="1" applyFont="1" applyFill="1" applyBorder="1" applyAlignment="1">
      <alignment horizontal="center" vertical="center"/>
    </xf>
    <xf numFmtId="4" fontId="36" fillId="0" borderId="7" xfId="72" applyNumberFormat="1" applyFont="1" applyFill="1" applyBorder="1" applyAlignment="1">
      <alignment horizontal="left" vertical="center" wrapText="1"/>
    </xf>
    <xf numFmtId="4" fontId="36" fillId="0" borderId="7" xfId="72" applyNumberFormat="1" applyFont="1" applyFill="1" applyBorder="1" applyAlignment="1">
      <alignment horizontal="center" vertical="center"/>
    </xf>
    <xf numFmtId="185" fontId="36" fillId="0" borderId="7" xfId="72" applyNumberFormat="1" applyFont="1" applyFill="1" applyBorder="1" applyAlignment="1">
      <alignment horizontal="right" vertical="center"/>
    </xf>
    <xf numFmtId="0" fontId="20" fillId="0" borderId="7" xfId="72" applyFont="1" applyFill="1" applyBorder="1" applyAlignment="1">
      <alignment vertical="center" wrapText="1"/>
    </xf>
    <xf numFmtId="4" fontId="20" fillId="0" borderId="7" xfId="72" applyNumberFormat="1" applyFont="1" applyFill="1" applyBorder="1" applyAlignment="1">
      <alignment vertical="center" wrapText="1"/>
    </xf>
    <xf numFmtId="49" fontId="35" fillId="0" borderId="8" xfId="72" applyNumberFormat="1" applyFont="1" applyFill="1" applyBorder="1" applyAlignment="1">
      <alignment horizontal="center" vertical="center"/>
    </xf>
    <xf numFmtId="4" fontId="35" fillId="0" borderId="8" xfId="72" applyNumberFormat="1" applyFont="1" applyFill="1" applyBorder="1" applyAlignment="1">
      <alignment horizontal="center" vertical="center"/>
    </xf>
    <xf numFmtId="185" fontId="35" fillId="0" borderId="8" xfId="72" applyNumberFormat="1" applyFont="1" applyFill="1" applyBorder="1" applyAlignment="1">
      <alignment horizontal="right" vertical="center"/>
    </xf>
    <xf numFmtId="49" fontId="20" fillId="0" borderId="7" xfId="72" applyNumberFormat="1" applyFont="1" applyBorder="1" applyAlignment="1">
      <alignment horizontal="center" vertical="center"/>
    </xf>
    <xf numFmtId="0" fontId="20" fillId="0" borderId="7" xfId="72" applyFont="1" applyBorder="1" applyAlignment="1">
      <alignment horizontal="left" vertical="center" wrapText="1"/>
    </xf>
    <xf numFmtId="4" fontId="20" fillId="0" borderId="7" xfId="72" applyNumberFormat="1" applyFont="1" applyBorder="1" applyAlignment="1">
      <alignment horizontal="center" vertical="center"/>
    </xf>
    <xf numFmtId="4" fontId="20" fillId="0" borderId="7" xfId="72" applyNumberFormat="1" applyFont="1" applyBorder="1" applyAlignment="1">
      <alignment horizontal="left" vertical="center" wrapText="1"/>
    </xf>
    <xf numFmtId="49" fontId="36" fillId="0" borderId="7" xfId="72" applyNumberFormat="1" applyFont="1" applyBorder="1" applyAlignment="1">
      <alignment horizontal="center" vertical="center"/>
    </xf>
    <xf numFmtId="4" fontId="36" fillId="0" borderId="7" xfId="72" applyNumberFormat="1" applyFont="1" applyBorder="1" applyAlignment="1">
      <alignment horizontal="left" vertical="center" wrapText="1"/>
    </xf>
    <xf numFmtId="4" fontId="36" fillId="0" borderId="7" xfId="72" applyNumberFormat="1" applyFont="1" applyBorder="1" applyAlignment="1">
      <alignment horizontal="center" vertical="center"/>
    </xf>
    <xf numFmtId="0" fontId="36" fillId="0" borderId="7" xfId="72" applyFont="1" applyBorder="1" applyAlignment="1">
      <alignment vertical="center" wrapText="1"/>
    </xf>
    <xf numFmtId="0" fontId="20" fillId="0" borderId="7" xfId="72" applyFont="1" applyBorder="1" applyAlignment="1">
      <alignment vertical="center" wrapText="1"/>
    </xf>
    <xf numFmtId="185" fontId="20" fillId="0" borderId="21" xfId="72" applyNumberFormat="1" applyFont="1" applyFill="1" applyBorder="1" applyAlignment="1">
      <alignment horizontal="right" vertical="center"/>
    </xf>
    <xf numFmtId="0" fontId="35" fillId="0" borderId="0" xfId="72" applyFont="1" applyBorder="1" applyAlignment="1"/>
    <xf numFmtId="0" fontId="14" fillId="0" borderId="0" xfId="72" applyFont="1" applyBorder="1"/>
    <xf numFmtId="0" fontId="35" fillId="0" borderId="0" xfId="72" applyFont="1" applyBorder="1" applyAlignment="1">
      <alignment horizontal="center"/>
    </xf>
    <xf numFmtId="0" fontId="14" fillId="0" borderId="0" xfId="72" applyFont="1" applyAlignment="1">
      <alignment horizontal="center"/>
    </xf>
    <xf numFmtId="43" fontId="17" fillId="0" borderId="0" xfId="72" applyNumberFormat="1" applyFont="1"/>
    <xf numFmtId="0" fontId="15" fillId="0" borderId="0" xfId="72" applyFont="1"/>
    <xf numFmtId="0" fontId="22" fillId="0" borderId="25" xfId="72" applyFont="1" applyBorder="1" applyAlignment="1">
      <alignment horizontal="left" vertical="center"/>
    </xf>
    <xf numFmtId="0" fontId="18" fillId="0" borderId="0" xfId="72" applyFont="1" applyBorder="1" applyAlignment="1">
      <alignment horizontal="left" vertical="center" wrapText="1"/>
    </xf>
    <xf numFmtId="0" fontId="16" fillId="0" borderId="0" xfId="72" applyFont="1" applyBorder="1" applyAlignment="1">
      <alignment vertical="center" wrapText="1"/>
    </xf>
    <xf numFmtId="0" fontId="23" fillId="0" borderId="0" xfId="72" applyFont="1" applyBorder="1" applyAlignment="1">
      <alignment vertical="center" wrapText="1"/>
    </xf>
    <xf numFmtId="0" fontId="22" fillId="0" borderId="0" xfId="72" applyFont="1" applyAlignment="1">
      <alignment vertical="center" wrapText="1"/>
    </xf>
    <xf numFmtId="0" fontId="23" fillId="0" borderId="0" xfId="72" applyFont="1" applyAlignment="1">
      <alignment vertical="center" wrapText="1"/>
    </xf>
    <xf numFmtId="0" fontId="20" fillId="0" borderId="0" xfId="72" applyFont="1" applyAlignment="1">
      <alignment vertical="center" wrapText="1"/>
    </xf>
    <xf numFmtId="4" fontId="21" fillId="0" borderId="0" xfId="72" applyNumberFormat="1" applyFont="1" applyAlignment="1">
      <alignment vertical="center" wrapText="1"/>
    </xf>
    <xf numFmtId="4" fontId="16" fillId="0" borderId="0" xfId="72" applyNumberFormat="1" applyFont="1" applyBorder="1" applyAlignment="1">
      <alignment horizontal="left" vertical="center" wrapText="1"/>
    </xf>
    <xf numFmtId="4" fontId="16" fillId="0" borderId="0" xfId="72" applyNumberFormat="1" applyFont="1" applyBorder="1" applyAlignment="1">
      <alignment horizontal="center" vertical="center" wrapText="1"/>
    </xf>
    <xf numFmtId="4" fontId="16" fillId="0" borderId="0" xfId="72" applyNumberFormat="1" applyFont="1" applyBorder="1" applyAlignment="1">
      <alignment vertical="center" wrapText="1"/>
    </xf>
    <xf numFmtId="4" fontId="23" fillId="0" borderId="0" xfId="72" applyNumberFormat="1" applyFont="1" applyBorder="1" applyAlignment="1">
      <alignment horizontal="center" vertical="center" wrapText="1"/>
    </xf>
    <xf numFmtId="4" fontId="23" fillId="0" borderId="0" xfId="72" applyNumberFormat="1" applyFont="1" applyBorder="1" applyAlignment="1">
      <alignment vertical="center" wrapText="1"/>
    </xf>
    <xf numFmtId="49" fontId="23" fillId="0" borderId="3" xfId="72" applyNumberFormat="1" applyFont="1" applyBorder="1" applyAlignment="1">
      <alignment horizontal="center" vertical="center" wrapText="1"/>
    </xf>
    <xf numFmtId="4" fontId="21" fillId="0" borderId="3" xfId="72" applyNumberFormat="1" applyFont="1" applyBorder="1" applyAlignment="1">
      <alignment horizontal="center" vertical="center" wrapText="1"/>
    </xf>
    <xf numFmtId="49" fontId="17" fillId="0" borderId="3" xfId="72" applyNumberFormat="1" applyFont="1" applyBorder="1" applyAlignment="1">
      <alignment horizontal="center" vertical="center" wrapText="1"/>
    </xf>
    <xf numFmtId="4" fontId="23" fillId="0" borderId="3" xfId="72" applyNumberFormat="1" applyFont="1" applyBorder="1" applyAlignment="1">
      <alignment horizontal="left" vertical="center" wrapText="1"/>
    </xf>
    <xf numFmtId="185" fontId="23" fillId="0" borderId="7" xfId="72" applyNumberFormat="1" applyFont="1" applyBorder="1" applyAlignment="1">
      <alignment horizontal="right" vertical="center" wrapText="1"/>
    </xf>
    <xf numFmtId="4" fontId="23" fillId="0" borderId="7" xfId="72" applyNumberFormat="1" applyFont="1" applyBorder="1" applyAlignment="1">
      <alignment horizontal="right" vertical="center" wrapText="1"/>
    </xf>
    <xf numFmtId="185" fontId="23" fillId="0" borderId="3" xfId="72" applyNumberFormat="1" applyFont="1" applyBorder="1" applyAlignment="1">
      <alignment horizontal="right" vertical="center" wrapText="1"/>
    </xf>
    <xf numFmtId="4" fontId="23" fillId="0" borderId="3" xfId="72" applyNumberFormat="1" applyFont="1" applyBorder="1" applyAlignment="1">
      <alignment horizontal="right" vertical="center" wrapText="1"/>
    </xf>
    <xf numFmtId="49" fontId="21" fillId="0" borderId="7" xfId="72" applyNumberFormat="1" applyFont="1" applyBorder="1" applyAlignment="1">
      <alignment horizontal="center" vertical="center" wrapText="1"/>
    </xf>
    <xf numFmtId="4" fontId="21" fillId="0" borderId="7" xfId="72" applyNumberFormat="1" applyFont="1" applyBorder="1" applyAlignment="1">
      <alignment horizontal="center" vertical="center" wrapText="1"/>
    </xf>
    <xf numFmtId="185" fontId="21" fillId="0" borderId="7" xfId="72" applyNumberFormat="1" applyFont="1" applyBorder="1" applyAlignment="1">
      <alignment horizontal="right" vertical="center" wrapText="1"/>
    </xf>
    <xf numFmtId="4" fontId="21" fillId="0" borderId="7" xfId="72" applyNumberFormat="1" applyFont="1" applyBorder="1" applyAlignment="1">
      <alignment horizontal="right" vertical="center" wrapText="1"/>
    </xf>
    <xf numFmtId="49" fontId="22" fillId="0" borderId="7" xfId="72" applyNumberFormat="1" applyFont="1" applyBorder="1" applyAlignment="1">
      <alignment horizontal="center" vertical="center" wrapText="1"/>
    </xf>
    <xf numFmtId="4" fontId="22" fillId="0" borderId="7" xfId="72" applyNumberFormat="1" applyFont="1" applyBorder="1" applyAlignment="1">
      <alignment horizontal="center" vertical="center" wrapText="1"/>
    </xf>
    <xf numFmtId="185" fontId="22" fillId="0" borderId="7" xfId="72" applyNumberFormat="1" applyFont="1" applyBorder="1" applyAlignment="1">
      <alignment horizontal="right" vertical="center" wrapText="1"/>
    </xf>
    <xf numFmtId="4" fontId="22" fillId="0" borderId="7" xfId="72" applyNumberFormat="1" applyFont="1" applyBorder="1" applyAlignment="1">
      <alignment horizontal="right" vertical="center" wrapText="1"/>
    </xf>
    <xf numFmtId="4" fontId="21" fillId="0" borderId="7" xfId="72" applyNumberFormat="1" applyFont="1" applyFill="1" applyBorder="1" applyAlignment="1">
      <alignment horizontal="center" vertical="center" wrapText="1"/>
    </xf>
    <xf numFmtId="4" fontId="21" fillId="0" borderId="21" xfId="72" applyNumberFormat="1" applyFont="1" applyBorder="1" applyAlignment="1">
      <alignment horizontal="right" vertical="center" wrapText="1"/>
    </xf>
    <xf numFmtId="0" fontId="36" fillId="0" borderId="25" xfId="72" applyFont="1" applyBorder="1" applyAlignment="1">
      <alignment horizontal="left" vertical="center" wrapText="1"/>
    </xf>
    <xf numFmtId="185" fontId="21" fillId="0" borderId="0" xfId="72" applyNumberFormat="1" applyFont="1" applyAlignment="1">
      <alignment vertical="center" wrapText="1"/>
    </xf>
    <xf numFmtId="0" fontId="10" fillId="0" borderId="0" xfId="72" applyFont="1" applyFill="1" applyAlignment="1">
      <alignment vertical="center" wrapText="1"/>
    </xf>
    <xf numFmtId="0" fontId="9" fillId="0" borderId="0" xfId="72" applyFont="1" applyFill="1" applyAlignment="1">
      <alignment vertical="center" wrapText="1"/>
    </xf>
    <xf numFmtId="0" fontId="11" fillId="0" borderId="0" xfId="72" applyFont="1" applyFill="1" applyAlignment="1">
      <alignment vertical="center" wrapText="1"/>
    </xf>
    <xf numFmtId="0" fontId="11" fillId="0" borderId="0" xfId="72" applyFont="1" applyFill="1" applyAlignment="1">
      <alignment horizontal="center" vertical="center" wrapText="1"/>
    </xf>
    <xf numFmtId="0" fontId="27" fillId="0" borderId="0" xfId="72" applyFont="1" applyFill="1" applyAlignment="1">
      <alignment horizontal="center" vertical="center" wrapText="1"/>
    </xf>
    <xf numFmtId="0" fontId="29" fillId="0" borderId="0" xfId="72" applyFont="1" applyFill="1" applyAlignment="1">
      <alignment horizontal="center" vertical="center" wrapText="1"/>
    </xf>
    <xf numFmtId="0" fontId="30" fillId="0" borderId="0" xfId="72" applyFont="1" applyFill="1" applyAlignment="1">
      <alignment vertical="center" wrapText="1"/>
    </xf>
    <xf numFmtId="49" fontId="27" fillId="0" borderId="0" xfId="72" applyNumberFormat="1" applyFont="1" applyFill="1" applyAlignment="1">
      <alignment horizontal="center" vertical="center" wrapText="1"/>
    </xf>
    <xf numFmtId="4" fontId="30" fillId="0" borderId="1" xfId="72" applyNumberFormat="1" applyFont="1" applyFill="1" applyBorder="1" applyAlignment="1">
      <alignment horizontal="right" vertical="center" wrapText="1"/>
    </xf>
    <xf numFmtId="49" fontId="11" fillId="0" borderId="3" xfId="72" applyNumberFormat="1" applyFont="1" applyFill="1" applyBorder="1" applyAlignment="1">
      <alignment horizontal="center" vertical="center" wrapText="1"/>
    </xf>
    <xf numFmtId="4" fontId="11" fillId="0" borderId="3" xfId="72" applyNumberFormat="1" applyFont="1" applyFill="1" applyBorder="1" applyAlignment="1">
      <alignment horizontal="center" vertical="center" wrapText="1"/>
    </xf>
    <xf numFmtId="3" fontId="27" fillId="0" borderId="3" xfId="72" applyNumberFormat="1" applyFont="1" applyFill="1" applyBorder="1" applyAlignment="1">
      <alignment horizontal="center" vertical="center" wrapText="1"/>
    </xf>
    <xf numFmtId="49" fontId="29" fillId="0" borderId="3" xfId="72" applyNumberFormat="1" applyFont="1" applyFill="1" applyBorder="1" applyAlignment="1">
      <alignment horizontal="center" vertical="center" wrapText="1"/>
    </xf>
    <xf numFmtId="4" fontId="29" fillId="0" borderId="3" xfId="72" applyNumberFormat="1" applyFont="1" applyFill="1" applyBorder="1" applyAlignment="1">
      <alignment horizontal="center" vertical="center" wrapText="1"/>
    </xf>
    <xf numFmtId="4" fontId="11" fillId="0" borderId="3" xfId="72" applyNumberFormat="1" applyFont="1" applyFill="1" applyBorder="1" applyAlignment="1">
      <alignment horizontal="left" vertical="center" wrapText="1"/>
    </xf>
    <xf numFmtId="185" fontId="11" fillId="0" borderId="3" xfId="72" applyNumberFormat="1" applyFont="1" applyFill="1" applyBorder="1" applyAlignment="1">
      <alignment horizontal="right" vertical="center" wrapText="1"/>
    </xf>
    <xf numFmtId="49" fontId="27" fillId="0" borderId="7" xfId="72" applyNumberFormat="1" applyFont="1" applyFill="1" applyBorder="1" applyAlignment="1">
      <alignment horizontal="center" vertical="center" wrapText="1"/>
    </xf>
    <xf numFmtId="4" fontId="27" fillId="0" borderId="7" xfId="72" applyNumberFormat="1" applyFont="1" applyFill="1" applyBorder="1" applyAlignment="1">
      <alignment horizontal="left" vertical="center" wrapText="1"/>
    </xf>
    <xf numFmtId="4" fontId="27" fillId="0" borderId="7" xfId="72" applyNumberFormat="1" applyFont="1" applyFill="1" applyBorder="1" applyAlignment="1">
      <alignment horizontal="center" vertical="center" wrapText="1"/>
    </xf>
    <xf numFmtId="185" fontId="27" fillId="0" borderId="7" xfId="72" applyNumberFormat="1" applyFont="1" applyFill="1" applyBorder="1" applyAlignment="1">
      <alignment horizontal="right" vertical="center" wrapText="1"/>
    </xf>
    <xf numFmtId="49" fontId="30" fillId="0" borderId="7" xfId="72" applyNumberFormat="1" applyFont="1" applyFill="1" applyBorder="1" applyAlignment="1">
      <alignment horizontal="center" vertical="center" wrapText="1"/>
    </xf>
    <xf numFmtId="4" fontId="30" fillId="0" borderId="7" xfId="72" applyNumberFormat="1" applyFont="1" applyFill="1" applyBorder="1" applyAlignment="1">
      <alignment horizontal="left" vertical="center" wrapText="1"/>
    </xf>
    <xf numFmtId="4" fontId="30" fillId="0" borderId="7" xfId="72" applyNumberFormat="1" applyFont="1" applyFill="1" applyBorder="1" applyAlignment="1">
      <alignment horizontal="center" vertical="center" wrapText="1"/>
    </xf>
    <xf numFmtId="185" fontId="30" fillId="0" borderId="7" xfId="72" applyNumberFormat="1" applyFont="1" applyFill="1" applyBorder="1" applyAlignment="1">
      <alignment horizontal="right" vertical="center" wrapText="1"/>
    </xf>
    <xf numFmtId="0" fontId="27" fillId="0" borderId="7" xfId="72" applyFont="1" applyFill="1" applyBorder="1" applyAlignment="1">
      <alignment vertical="center" wrapText="1"/>
    </xf>
    <xf numFmtId="4" fontId="27" fillId="0" borderId="7" xfId="72" applyNumberFormat="1" applyFont="1" applyFill="1" applyBorder="1" applyAlignment="1">
      <alignment vertical="center" wrapText="1"/>
    </xf>
    <xf numFmtId="4" fontId="30" fillId="0" borderId="7" xfId="72" applyNumberFormat="1" applyFont="1" applyFill="1" applyBorder="1" applyAlignment="1">
      <alignment vertical="center" wrapText="1"/>
    </xf>
    <xf numFmtId="49" fontId="27" fillId="0" borderId="21" xfId="72" applyNumberFormat="1" applyFont="1" applyFill="1" applyBorder="1" applyAlignment="1">
      <alignment horizontal="center" vertical="center" wrapText="1"/>
    </xf>
    <xf numFmtId="4" fontId="27" fillId="0" borderId="21" xfId="72" applyNumberFormat="1" applyFont="1" applyFill="1" applyBorder="1" applyAlignment="1">
      <alignment horizontal="left" vertical="center" wrapText="1"/>
    </xf>
    <xf numFmtId="4" fontId="27" fillId="0" borderId="21" xfId="72" applyNumberFormat="1" applyFont="1" applyFill="1" applyBorder="1" applyAlignment="1">
      <alignment horizontal="center" vertical="center" wrapText="1"/>
    </xf>
    <xf numFmtId="185" fontId="27" fillId="0" borderId="21" xfId="72" applyNumberFormat="1" applyFont="1" applyFill="1" applyBorder="1" applyAlignment="1">
      <alignment horizontal="right" vertical="center" wrapText="1"/>
    </xf>
    <xf numFmtId="0" fontId="11" fillId="0" borderId="3" xfId="72" applyFont="1" applyFill="1" applyBorder="1" applyAlignment="1">
      <alignment vertical="center" wrapText="1"/>
    </xf>
    <xf numFmtId="0" fontId="27" fillId="0" borderId="7" xfId="72" applyFont="1" applyFill="1" applyBorder="1" applyAlignment="1">
      <alignment horizontal="left" vertical="center" wrapText="1"/>
    </xf>
    <xf numFmtId="185" fontId="30" fillId="0" borderId="21" xfId="72" applyNumberFormat="1" applyFont="1" applyFill="1" applyBorder="1" applyAlignment="1">
      <alignment horizontal="right" vertical="center" wrapText="1"/>
    </xf>
    <xf numFmtId="39" fontId="29" fillId="0" borderId="3" xfId="72" applyNumberFormat="1" applyFont="1" applyFill="1" applyBorder="1" applyAlignment="1">
      <alignment horizontal="center" vertical="center" wrapText="1"/>
    </xf>
    <xf numFmtId="190" fontId="29" fillId="0" borderId="3" xfId="72" applyNumberFormat="1" applyFont="1" applyFill="1" applyBorder="1" applyAlignment="1">
      <alignment horizontal="center" vertical="center" wrapText="1"/>
    </xf>
    <xf numFmtId="0" fontId="18" fillId="0" borderId="0" xfId="72" applyFont="1" applyFill="1" applyAlignment="1">
      <alignment vertical="center"/>
    </xf>
    <xf numFmtId="0" fontId="16" fillId="0" borderId="0" xfId="72" applyFont="1" applyFill="1" applyAlignment="1">
      <alignment vertical="center"/>
    </xf>
    <xf numFmtId="0" fontId="23" fillId="0" borderId="0" xfId="72" applyFont="1" applyFill="1" applyAlignment="1">
      <alignment vertical="center"/>
    </xf>
    <xf numFmtId="0" fontId="23" fillId="0" borderId="0" xfId="72" applyFont="1" applyFill="1" applyAlignment="1">
      <alignment horizontal="center" vertical="center"/>
    </xf>
    <xf numFmtId="0" fontId="22" fillId="0" borderId="0" xfId="72" applyFont="1" applyFill="1" applyAlignment="1">
      <alignment vertical="center"/>
    </xf>
    <xf numFmtId="49" fontId="21" fillId="0" borderId="0" xfId="72" applyNumberFormat="1" applyFont="1" applyFill="1" applyAlignment="1">
      <alignment horizontal="center" vertical="center"/>
    </xf>
    <xf numFmtId="4" fontId="16" fillId="0" borderId="0" xfId="72" applyNumberFormat="1" applyFont="1" applyFill="1" applyAlignment="1">
      <alignment horizontal="center" vertical="center"/>
    </xf>
    <xf numFmtId="4" fontId="16" fillId="0" borderId="1" xfId="72" applyNumberFormat="1" applyFont="1" applyFill="1" applyBorder="1" applyAlignment="1">
      <alignment horizontal="center" vertical="center"/>
    </xf>
    <xf numFmtId="4" fontId="23" fillId="0" borderId="2" xfId="72" applyNumberFormat="1" applyFont="1" applyFill="1" applyBorder="1" applyAlignment="1">
      <alignment horizontal="center" vertical="center" wrapText="1"/>
    </xf>
    <xf numFmtId="4" fontId="23" fillId="0" borderId="8" xfId="72" applyNumberFormat="1" applyFont="1" applyFill="1" applyBorder="1" applyAlignment="1">
      <alignment horizontal="center" vertical="center" wrapText="1"/>
    </xf>
    <xf numFmtId="4" fontId="23" fillId="0" borderId="6" xfId="72" applyNumberFormat="1" applyFont="1" applyFill="1" applyBorder="1" applyAlignment="1">
      <alignment horizontal="center" vertical="center" wrapText="1"/>
    </xf>
    <xf numFmtId="190" fontId="17" fillId="0" borderId="3" xfId="72" applyNumberFormat="1" applyFont="1" applyFill="1" applyBorder="1" applyAlignment="1">
      <alignment horizontal="center" vertical="center" wrapText="1"/>
    </xf>
    <xf numFmtId="4" fontId="23" fillId="0" borderId="3" xfId="72" applyNumberFormat="1" applyFont="1" applyFill="1" applyBorder="1" applyAlignment="1">
      <alignment horizontal="left" vertical="center"/>
    </xf>
    <xf numFmtId="4" fontId="23" fillId="0" borderId="3" xfId="72" applyNumberFormat="1" applyFont="1" applyFill="1" applyBorder="1" applyAlignment="1">
      <alignment horizontal="right" vertical="center"/>
    </xf>
    <xf numFmtId="49" fontId="21" fillId="0" borderId="24" xfId="72" applyNumberFormat="1" applyFont="1" applyFill="1" applyBorder="1" applyAlignment="1">
      <alignment horizontal="center" vertical="center"/>
    </xf>
    <xf numFmtId="4" fontId="21" fillId="0" borderId="24" xfId="72" applyNumberFormat="1" applyFont="1" applyFill="1" applyBorder="1" applyAlignment="1">
      <alignment horizontal="left" vertical="center"/>
    </xf>
    <xf numFmtId="4" fontId="21" fillId="0" borderId="24" xfId="72" applyNumberFormat="1" applyFont="1" applyFill="1" applyBorder="1" applyAlignment="1">
      <alignment horizontal="center" vertical="center"/>
    </xf>
    <xf numFmtId="4" fontId="21" fillId="0" borderId="24" xfId="72" applyNumberFormat="1" applyFont="1" applyFill="1" applyBorder="1" applyAlignment="1">
      <alignment horizontal="right" vertical="center"/>
    </xf>
    <xf numFmtId="4" fontId="21" fillId="0" borderId="7" xfId="72" applyNumberFormat="1" applyFont="1" applyFill="1" applyBorder="1" applyAlignment="1">
      <alignment horizontal="left" vertical="center"/>
    </xf>
    <xf numFmtId="4" fontId="21" fillId="0" borderId="7" xfId="72" applyNumberFormat="1" applyFont="1" applyFill="1" applyBorder="1" applyAlignment="1">
      <alignment horizontal="right" vertical="center"/>
    </xf>
    <xf numFmtId="4" fontId="22" fillId="0" borderId="7" xfId="72" applyNumberFormat="1" applyFont="1" applyFill="1" applyBorder="1" applyAlignment="1">
      <alignment horizontal="left" vertical="center"/>
    </xf>
    <xf numFmtId="4" fontId="22" fillId="0" borderId="7" xfId="72" applyNumberFormat="1" applyFont="1" applyFill="1" applyBorder="1" applyAlignment="1">
      <alignment horizontal="right" vertical="center"/>
    </xf>
    <xf numFmtId="0" fontId="21" fillId="0" borderId="7" xfId="72" applyFont="1" applyFill="1" applyBorder="1" applyAlignment="1">
      <alignment vertical="center"/>
    </xf>
    <xf numFmtId="4" fontId="21" fillId="0" borderId="7" xfId="72" applyNumberFormat="1" applyFont="1" applyFill="1" applyBorder="1" applyAlignment="1">
      <alignment vertical="center"/>
    </xf>
    <xf numFmtId="4" fontId="22" fillId="0" borderId="7" xfId="72" applyNumberFormat="1" applyFont="1" applyFill="1" applyBorder="1" applyAlignment="1">
      <alignment vertical="center"/>
    </xf>
    <xf numFmtId="0" fontId="21" fillId="0" borderId="23" xfId="72" applyFont="1" applyFill="1" applyBorder="1" applyAlignment="1">
      <alignment vertical="center"/>
    </xf>
    <xf numFmtId="4" fontId="21" fillId="0" borderId="23" xfId="72" applyNumberFormat="1" applyFont="1" applyFill="1" applyBorder="1" applyAlignment="1">
      <alignment horizontal="right" vertical="center"/>
    </xf>
    <xf numFmtId="4" fontId="23" fillId="0" borderId="24" xfId="72" applyNumberFormat="1" applyFont="1" applyFill="1" applyBorder="1" applyAlignment="1">
      <alignment horizontal="right" vertical="center"/>
    </xf>
    <xf numFmtId="0" fontId="21" fillId="0" borderId="7" xfId="72" applyFont="1" applyFill="1" applyBorder="1" applyAlignment="1">
      <alignment horizontal="left" vertical="center"/>
    </xf>
    <xf numFmtId="4" fontId="21" fillId="0" borderId="23" xfId="72" applyNumberFormat="1" applyFont="1" applyFill="1" applyBorder="1" applyAlignment="1">
      <alignment horizontal="left" vertical="center"/>
    </xf>
    <xf numFmtId="49" fontId="17" fillId="0" borderId="3" xfId="72" applyNumberFormat="1" applyFont="1" applyFill="1" applyBorder="1" applyAlignment="1" quotePrefix="1">
      <alignment horizontal="center" vertical="center"/>
    </xf>
    <xf numFmtId="4" fontId="17" fillId="0" borderId="3" xfId="72" applyNumberFormat="1" applyFont="1" applyFill="1" applyBorder="1" applyAlignment="1" quotePrefix="1">
      <alignment horizontal="center" vertical="center"/>
    </xf>
    <xf numFmtId="4" fontId="22" fillId="0" borderId="7" xfId="72" applyNumberFormat="1" applyFont="1" applyFill="1" applyBorder="1" applyAlignment="1" quotePrefix="1">
      <alignment horizontal="left" vertical="center"/>
    </xf>
    <xf numFmtId="49" fontId="29" fillId="0" borderId="3" xfId="72" applyNumberFormat="1" applyFont="1" applyFill="1" applyBorder="1" applyAlignment="1" quotePrefix="1">
      <alignment horizontal="center" vertical="center" wrapText="1"/>
    </xf>
    <xf numFmtId="4" fontId="29" fillId="0" borderId="3" xfId="72" applyNumberFormat="1" applyFont="1" applyFill="1" applyBorder="1" applyAlignment="1" quotePrefix="1">
      <alignment horizontal="center" vertical="center" wrapText="1"/>
    </xf>
    <xf numFmtId="4" fontId="27" fillId="0" borderId="7" xfId="72" applyNumberFormat="1" applyFont="1" applyFill="1" applyBorder="1" applyAlignment="1" quotePrefix="1">
      <alignment horizontal="left" vertical="center" wrapText="1"/>
    </xf>
    <xf numFmtId="49" fontId="17" fillId="0" borderId="3" xfId="72" applyNumberFormat="1" applyFont="1" applyBorder="1" applyAlignment="1" quotePrefix="1">
      <alignment horizontal="center" vertical="center" wrapText="1"/>
    </xf>
    <xf numFmtId="4" fontId="17" fillId="0" borderId="3" xfId="72" applyNumberFormat="1" applyFont="1" applyBorder="1" applyAlignment="1" quotePrefix="1">
      <alignment horizontal="center" vertical="center" wrapText="1"/>
    </xf>
    <xf numFmtId="4" fontId="22" fillId="0" borderId="7" xfId="72" applyNumberFormat="1" applyFont="1" applyBorder="1" applyAlignment="1" quotePrefix="1">
      <alignment horizontal="left" vertical="center" wrapText="1"/>
    </xf>
    <xf numFmtId="49" fontId="17" fillId="0" borderId="3" xfId="72" applyNumberFormat="1" applyFont="1" applyBorder="1" applyAlignment="1" quotePrefix="1">
      <alignment horizontal="center" vertical="center"/>
    </xf>
    <xf numFmtId="4" fontId="17" fillId="0" borderId="3" xfId="72" applyNumberFormat="1" applyFont="1" applyBorder="1" applyAlignment="1" quotePrefix="1">
      <alignment horizontal="center" vertical="center"/>
    </xf>
    <xf numFmtId="4" fontId="17" fillId="0" borderId="3" xfId="72" applyNumberFormat="1" applyFont="1" applyFill="1" applyBorder="1" applyAlignment="1" quotePrefix="1">
      <alignment horizontal="center" vertical="center" wrapText="1"/>
    </xf>
    <xf numFmtId="4" fontId="36" fillId="0" borderId="7" xfId="72" applyNumberFormat="1" applyFont="1" applyFill="1" applyBorder="1" applyAlignment="1" quotePrefix="1">
      <alignment horizontal="left" vertical="center" wrapText="1"/>
    </xf>
    <xf numFmtId="49" fontId="31" fillId="0" borderId="3" xfId="72" applyNumberFormat="1" applyFont="1" applyBorder="1" applyAlignment="1" quotePrefix="1">
      <alignment horizontal="center" vertical="center"/>
    </xf>
    <xf numFmtId="0" fontId="31" fillId="0" borderId="3" xfId="72" applyFont="1" applyBorder="1" applyAlignment="1" quotePrefix="1">
      <alignment horizontal="center" vertical="center"/>
    </xf>
    <xf numFmtId="4" fontId="31" fillId="0" borderId="3" xfId="72" applyNumberFormat="1" applyFont="1" applyBorder="1" applyAlignment="1" quotePrefix="1">
      <alignment horizontal="center" vertical="center"/>
    </xf>
    <xf numFmtId="4" fontId="8" fillId="0" borderId="7" xfId="72" applyNumberFormat="1" applyFont="1" applyBorder="1" applyAlignment="1" quotePrefix="1">
      <alignment horizontal="left" vertical="center"/>
    </xf>
    <xf numFmtId="0" fontId="17" fillId="0" borderId="3" xfId="72" applyFont="1" applyFill="1" applyBorder="1" applyAlignment="1" quotePrefix="1">
      <alignment horizontal="center" vertical="center"/>
    </xf>
    <xf numFmtId="4" fontId="22" fillId="0" borderId="7" xfId="72" applyNumberFormat="1" applyFont="1" applyFill="1" applyBorder="1" applyAlignment="1" quotePrefix="1">
      <alignment horizontal="left" vertical="center" wrapText="1"/>
    </xf>
    <xf numFmtId="49" fontId="21" fillId="0" borderId="3" xfId="0" applyNumberFormat="1" applyFont="1" applyFill="1" applyBorder="1" applyAlignment="1" quotePrefix="1">
      <alignment horizontal="center" vertical="center" wrapText="1"/>
    </xf>
    <xf numFmtId="0" fontId="21" fillId="0" borderId="3" xfId="0" applyFont="1" applyFill="1" applyBorder="1" applyAlignment="1" quotePrefix="1">
      <alignment horizontal="left" vertical="center" wrapText="1"/>
    </xf>
    <xf numFmtId="0" fontId="22" fillId="0" borderId="3" xfId="0" applyFont="1" applyFill="1" applyBorder="1" applyAlignment="1" quotePrefix="1">
      <alignment horizontal="left" vertical="center" wrapText="1"/>
    </xf>
    <xf numFmtId="4" fontId="8" fillId="0" borderId="7" xfId="72" applyNumberFormat="1" applyFont="1" applyFill="1" applyBorder="1" applyAlignment="1" quotePrefix="1">
      <alignment horizontal="left" vertical="center" wrapText="1"/>
    </xf>
    <xf numFmtId="0" fontId="22" fillId="0" borderId="7" xfId="44" applyFont="1" applyFill="1" applyBorder="1" applyAlignment="1" quotePrefix="1">
      <alignment vertical="center"/>
    </xf>
    <xf numFmtId="0" fontId="17" fillId="0" borderId="3" xfId="64" applyFont="1" applyFill="1" applyBorder="1" applyAlignment="1" quotePrefix="1">
      <alignment horizontal="center" vertical="center" wrapText="1"/>
    </xf>
    <xf numFmtId="4" fontId="17" fillId="0" borderId="3" xfId="64" applyNumberFormat="1" applyFont="1" applyFill="1" applyBorder="1" applyAlignment="1" quotePrefix="1">
      <alignment horizontal="center" vertical="center" wrapText="1"/>
    </xf>
    <xf numFmtId="0" fontId="17" fillId="0" borderId="3" xfId="64" applyFont="1" applyFill="1" applyBorder="1" applyAlignment="1" quotePrefix="1">
      <alignment horizontal="left" vertical="center" wrapText="1"/>
    </xf>
    <xf numFmtId="3" fontId="17" fillId="0" borderId="3" xfId="64" applyNumberFormat="1" applyFont="1" applyFill="1" applyBorder="1" applyAlignment="1" quotePrefix="1">
      <alignment horizontal="right" vertical="center" wrapText="1"/>
    </xf>
    <xf numFmtId="3" fontId="17" fillId="0" borderId="3" xfId="64" applyNumberFormat="1" applyFont="1" applyFill="1" applyBorder="1" applyAlignment="1" quotePrefix="1">
      <alignment horizontal="center" vertical="center" wrapText="1"/>
    </xf>
    <xf numFmtId="4" fontId="8" fillId="5" borderId="3" xfId="72" applyNumberFormat="1" applyFont="1" applyFill="1" applyBorder="1" applyAlignment="1" quotePrefix="1">
      <alignment vertical="center"/>
    </xf>
  </cellXfs>
  <cellStyles count="104">
    <cellStyle name="Normal" xfId="0" builtinId="0"/>
    <cellStyle name="40% - Accent1" xfId="1" builtinId="31"/>
    <cellStyle name="Comma" xfId="2" builtinId="3"/>
    <cellStyle name="Normal_TK_2003_Tinh" xfId="3"/>
    <cellStyle name="Comma [0]" xfId="4" builtinId="6"/>
    <cellStyle name="Currency [0]" xfId="5" builtinId="7"/>
    <cellStyle name="Currency" xfId="6" builtinId="4"/>
    <cellStyle name="???? [0.00]_PRODUCT DETAIL Q1" xfId="7"/>
    <cellStyle name="Percent" xfId="8" builtinId="5"/>
    <cellStyle name="Hyperlink" xfId="9" builtinId="8"/>
    <cellStyle name="60% - Accent4" xfId="10" builtinId="44"/>
    <cellStyle name="Followed Hyperlink" xfId="11" builtinId="9"/>
    <cellStyle name="Date" xfId="12"/>
    <cellStyle name="Check Cell" xfId="13" builtinId="23"/>
    <cellStyle name="Heading 2" xfId="14" builtinId="17"/>
    <cellStyle name="Note" xfId="15" builtinId="10"/>
    <cellStyle name="40% - Accent3" xfId="16" builtinId="39"/>
    <cellStyle name="Warning Text" xfId="17" builtinId="11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Heading 4" xfId="23" builtinId="19"/>
    <cellStyle name="Input" xfId="24" builtinId="20"/>
    <cellStyle name="Comma0" xfId="25"/>
    <cellStyle name="60% - Accent3" xfId="26" builtinId="40"/>
    <cellStyle name="Good" xfId="27" builtinId="26"/>
    <cellStyle name="Output" xfId="28" builtinId="21"/>
    <cellStyle name="20% - Accent1" xfId="29" builtinId="30"/>
    <cellStyle name="Calculation" xfId="30" builtinId="22"/>
    <cellStyle name="Linked Cell" xfId="31" builtinId="24"/>
    <cellStyle name="Total" xfId="32" builtinId="25"/>
    <cellStyle name="Bad" xfId="33" builtinId="27"/>
    <cellStyle name="Neutral" xfId="34" builtinId="28"/>
    <cellStyle name="Accent1" xfId="35" builtinId="29"/>
    <cellStyle name="20% - Accent5" xfId="36" builtinId="46"/>
    <cellStyle name="60% - Accent1" xfId="37" builtinId="32"/>
    <cellStyle name="Fixed" xfId="38"/>
    <cellStyle name="Accent2" xfId="39" builtinId="33"/>
    <cellStyle name="20% - Accent2" xfId="40" builtinId="34"/>
    <cellStyle name="20% - Accent6" xfId="41" builtinId="50"/>
    <cellStyle name="60% - Accent2" xfId="42" builtinId="36"/>
    <cellStyle name="Accent3" xfId="43" builtinId="37"/>
    <cellStyle name="Normal_THop_Tinh(HaNoi)" xfId="44"/>
    <cellStyle name="????_PRODUCT DETAIL Q1" xfId="45"/>
    <cellStyle name="20% - Accent3" xfId="46" builtinId="38"/>
    <cellStyle name="Accent4" xfId="47" builtinId="41"/>
    <cellStyle name="20% - Accent4" xfId="48" builtinId="42"/>
    <cellStyle name="40% - Accent4" xfId="49" builtinId="43"/>
    <cellStyle name="Accent5" xfId="50" builtinId="45"/>
    <cellStyle name="40% - Accent5" xfId="51" builtinId="47"/>
    <cellStyle name="Currency0" xfId="52"/>
    <cellStyle name="60% - Accent5" xfId="53" builtinId="48"/>
    <cellStyle name="Accent6" xfId="54" builtinId="49"/>
    <cellStyle name="40% - Accent6" xfId="55" builtinId="51"/>
    <cellStyle name="60% - Accent6" xfId="56" builtinId="52"/>
    <cellStyle name="??" xfId="57"/>
    <cellStyle name="?? [0.00]_PRODUCT DETAIL Q1" xfId="58"/>
    <cellStyle name="?? [0]" xfId="59"/>
    <cellStyle name="???_HOBONG" xfId="60"/>
    <cellStyle name="??_(????)??????" xfId="61"/>
    <cellStyle name="Header1" xfId="62"/>
    <cellStyle name="Header2" xfId="63"/>
    <cellStyle name="Normal 10" xfId="64"/>
    <cellStyle name="Normal 11" xfId="65"/>
    <cellStyle name="Normal 12" xfId="66"/>
    <cellStyle name="Normal 20" xfId="67"/>
    <cellStyle name="Normal 15" xfId="68"/>
    <cellStyle name="Normal 16" xfId="69"/>
    <cellStyle name="Normal 18" xfId="70"/>
    <cellStyle name="Normal 19" xfId="71"/>
    <cellStyle name="Normal 2" xfId="72"/>
    <cellStyle name="Normal 2 2" xfId="73"/>
    <cellStyle name="Normal 2 2 2" xfId="74"/>
    <cellStyle name="Normal 2 3" xfId="75"/>
    <cellStyle name="Normal 22" xfId="76"/>
    <cellStyle name="Normal 30" xfId="77"/>
    <cellStyle name="Normal 25" xfId="78"/>
    <cellStyle name="통화_1202" xfId="79"/>
    <cellStyle name="Normal 31" xfId="80"/>
    <cellStyle name="Normal 26" xfId="81"/>
    <cellStyle name="Normal 32" xfId="82"/>
    <cellStyle name="Normal 27" xfId="83"/>
    <cellStyle name="Normal 33" xfId="84"/>
    <cellStyle name="Normal 28" xfId="85"/>
    <cellStyle name="Normal 3" xfId="86"/>
    <cellStyle name="Normal 34" xfId="87"/>
    <cellStyle name="Normal 35" xfId="88"/>
    <cellStyle name="Normal 4" xfId="89"/>
    <cellStyle name="Normal 5" xfId="90"/>
    <cellStyle name="Normal 6" xfId="91"/>
    <cellStyle name="Normal 7" xfId="92"/>
    <cellStyle name="Normal 8" xfId="93"/>
    <cellStyle name="똿뗦먛귟 [0.00]_PRODUCT DETAIL Q1" xfId="94"/>
    <cellStyle name="똿뗦먛귟_PRODUCT DETAIL Q1" xfId="95"/>
    <cellStyle name="믅됞 [0.00]_PRODUCT DETAIL Q1" xfId="96"/>
    <cellStyle name="믅됞_PRODUCT DETAIL Q1" xfId="97"/>
    <cellStyle name="백분율_HOBONG" xfId="98"/>
    <cellStyle name="뷭?_BOOKSHIP" xfId="99"/>
    <cellStyle name="콤마 [0]_1202" xfId="100"/>
    <cellStyle name="콤마_1202" xfId="101"/>
    <cellStyle name="통화 [0]_1202" xfId="102"/>
    <cellStyle name="표준_(정보부문)월별인원계획" xfId="103"/>
  </cellStyles>
  <tableStyles count="0" defaultTableStyle="TableStyleMedium9" defaultPivotStyle="PivotStyleLight16"/>
  <colors>
    <mruColors>
      <color rgb="00FFFF99"/>
      <color rgb="00FF99FF"/>
      <color rgb="00FFFFCC"/>
      <color rgb="00CCFFFF"/>
      <color rgb="000000FF"/>
      <color rgb="00FF00FF"/>
      <color rgb="00FFCC00"/>
      <color rgb="000099FF"/>
      <color rgb="00CCECFF"/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pivotCacheDefinition" Target="pivotCache/pivotCacheDefinition1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BINH PHUOC\HON QUAN\KE HOACH 2022\SO LIEU\HUYENHONQUA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refreshedDate="44345.143469213" refreshedBy="Thai" recordCount="602">
  <cacheSource type="worksheet">
    <worksheetSource ref="A2:FX1042" sheet="LAYDAT" r:id="rId2"/>
  </cacheSource>
  <cacheFields count="216">
    <cacheField name="STT" numFmtId="0"/>
    <cacheField name="Danh mục công trình" numFmtId="0"/>
    <cacheField name="Tên xã" numFmtId="0"/>
    <cacheField name="Mã Xã" numFmtId="0"/>
    <cacheField name="MA_HT" numFmtId="0">
      <sharedItems containsBlank="1" count="55">
        <s v="NNP"/>
        <s v="LUA"/>
        <s v="LUC"/>
        <m/>
        <s v="LUK"/>
        <s v="LUN"/>
        <s v="HNK"/>
        <s v="CLN"/>
        <s v="RSX"/>
        <s v="RPH"/>
        <s v="RDD"/>
        <s v="NTS"/>
        <s v="LMU"/>
        <s v="NKH"/>
        <s v="PNN"/>
        <s v="CQP"/>
        <s v="CAN"/>
        <s v="SKK"/>
        <s v="SKT"/>
        <s v="SKN"/>
        <s v="TMD"/>
        <s v="SKC"/>
        <s v="SKS"/>
        <s v="DHT"/>
        <s v="DGT"/>
        <s v="DTL"/>
        <s v="DBV"/>
        <s v="DNL"/>
        <s v="DVH"/>
        <s v="DYT"/>
        <s v="DGD"/>
        <s v="DTT"/>
        <s v="NCK"/>
        <s v="DXH"/>
        <s v="DCH"/>
        <s v="DKG"/>
        <s v="DDT"/>
        <s v="DDL"/>
        <s v="DRA"/>
        <s v="ONT"/>
        <s v="ODT"/>
        <s v="TSC"/>
        <s v="DTS"/>
        <s v="DNG"/>
        <s v="TON"/>
        <s v="NTD"/>
        <s v="SKX"/>
        <s v="DSH"/>
        <s v="DKV"/>
        <s v="TIN"/>
        <s v="SON"/>
        <s v="MNC"/>
        <s v="PNK"/>
        <s v="CSD"/>
        <s v="LNC" u="1"/>
      </sharedItems>
    </cacheField>
    <cacheField name="Diện tích HT" numFmtId="0"/>
    <cacheField name="MA_QH" numFmtId="0">
      <sharedItems containsBlank="1" count="54">
        <s v="NNP"/>
        <s v="LUA"/>
        <s v="LUC"/>
        <m/>
        <s v="LUK"/>
        <s v="LUN"/>
        <s v="HNK"/>
        <s v="CLN"/>
        <s v="RSX"/>
        <s v="RPH"/>
        <s v="RDD"/>
        <s v="NTS"/>
        <s v="LMU"/>
        <s v="NKH"/>
        <s v="PNN"/>
        <s v="CQP"/>
        <s v="CAN"/>
        <s v="SKK"/>
        <s v="SKT"/>
        <s v="SKN"/>
        <s v="TMD"/>
        <s v="SKC"/>
        <s v="SKS"/>
        <s v="DHT"/>
        <s v="DGT"/>
        <s v="DTL"/>
        <s v="DBV"/>
        <s v="DNL"/>
        <s v="DVH"/>
        <s v="DYT"/>
        <s v="DGD"/>
        <s v="DTT"/>
        <s v="NCK"/>
        <s v="DXH"/>
        <s v="DCH"/>
        <s v="DKG"/>
        <s v="DDT"/>
        <s v="DDL"/>
        <s v="DRA"/>
        <s v="ONT"/>
        <s v="ODT"/>
        <s v="TSC"/>
        <s v="DTS"/>
        <s v="DNG"/>
        <s v="TON"/>
        <s v="NTD"/>
        <s v="SKX"/>
        <s v="DSH"/>
        <s v="DKV"/>
        <s v="TIN"/>
        <s v="SON"/>
        <s v="MNC"/>
        <s v="PNK"/>
        <s v="CSD"/>
      </sharedItems>
    </cacheField>
    <cacheField name="Diện tích QH" numFmtId="0"/>
    <cacheField name="Chênh lệch" numFmtId="0"/>
    <cacheField name="Năm thực hiện" numFmtId="49"/>
    <cacheField name="Thu hồi" numFmtId="0"/>
    <cacheField name="chuyển mục đích" numFmtId="0"/>
    <cacheField name="TTK" numFmtId="0"/>
    <cacheField name="XAK" numFmtId="0"/>
    <cacheField name="XAP" numFmtId="0"/>
    <cacheField name="XDN" numFmtId="0"/>
    <cacheField name="XMD" numFmtId="0"/>
    <cacheField name="XMT" numFmtId="0"/>
    <cacheField name="XPA" numFmtId="0"/>
    <cacheField name="XTHp" numFmtId="0"/>
    <cacheField name="XTHg" numFmtId="0"/>
    <cacheField name="XTL" numFmtId="0"/>
    <cacheField name="XTQ" numFmtId="0"/>
    <cacheField name="XTA" numFmtId="0"/>
    <cacheField name="XTB" numFmtId="0"/>
    <cacheField name="#" numFmtId="0"/>
    <cacheField name="#2" numFmtId="0"/>
    <cacheField name="#3" numFmtId="0"/>
    <cacheField name="TTK2" numFmtId="0"/>
    <cacheField name="XAK2" numFmtId="0"/>
    <cacheField name="XAP2" numFmtId="0"/>
    <cacheField name="XDN2" numFmtId="0"/>
    <cacheField name="XMD2" numFmtId="0"/>
    <cacheField name="XMT2" numFmtId="0"/>
    <cacheField name="XPA2" numFmtId="0"/>
    <cacheField name="XTHp2" numFmtId="0"/>
    <cacheField name="XTHg2" numFmtId="0"/>
    <cacheField name="XTL2" numFmtId="0"/>
    <cacheField name="XTQ2" numFmtId="0"/>
    <cacheField name="XTA2" numFmtId="0"/>
    <cacheField name="XTB2" numFmtId="0"/>
    <cacheField name="#4" numFmtId="0"/>
    <cacheField name="#5" numFmtId="0"/>
    <cacheField name="#6" numFmtId="0"/>
    <cacheField name="TH 16" numFmtId="0"/>
    <cacheField name="CMD 16" numFmtId="0"/>
    <cacheField name="TTK3" numFmtId="0"/>
    <cacheField name="XAK3" numFmtId="0"/>
    <cacheField name="XAP3" numFmtId="0"/>
    <cacheField name="XDN3" numFmtId="0"/>
    <cacheField name="XMD3" numFmtId="0"/>
    <cacheField name="XMT3" numFmtId="0"/>
    <cacheField name="XPA3" numFmtId="0"/>
    <cacheField name="XTHp3" numFmtId="0"/>
    <cacheField name="XTHg3" numFmtId="0"/>
    <cacheField name="XTL3" numFmtId="0"/>
    <cacheField name="XTQ3" numFmtId="0"/>
    <cacheField name="XTA3" numFmtId="0"/>
    <cacheField name="XTB3" numFmtId="0"/>
    <cacheField name="#7" numFmtId="0"/>
    <cacheField name="#8" numFmtId="0"/>
    <cacheField name="#9" numFmtId="0"/>
    <cacheField name="TTK4" numFmtId="0"/>
    <cacheField name="XAK4" numFmtId="0"/>
    <cacheField name="XAP4" numFmtId="0"/>
    <cacheField name="XDN4" numFmtId="0"/>
    <cacheField name="XMD4" numFmtId="0"/>
    <cacheField name="XMT4" numFmtId="0"/>
    <cacheField name="XPA4" numFmtId="0"/>
    <cacheField name="XTHp4" numFmtId="0"/>
    <cacheField name="XTHg4" numFmtId="0"/>
    <cacheField name="XTL4" numFmtId="0"/>
    <cacheField name="XTQ4" numFmtId="0"/>
    <cacheField name="XTA4" numFmtId="0"/>
    <cacheField name="XTB4" numFmtId="0"/>
    <cacheField name="#10" numFmtId="0"/>
    <cacheField name="#11" numFmtId="0"/>
    <cacheField name="#12" numFmtId="0"/>
    <cacheField name="TH 17" numFmtId="0"/>
    <cacheField name="CMD 17" numFmtId="0"/>
    <cacheField name="TNG" numFmtId="0"/>
    <cacheField name="XBC" numFmtId="0"/>
    <cacheField name="XBB" numFmtId="0"/>
    <cacheField name="XBG" numFmtId="0"/>
    <cacheField name="XBT" numFmtId="0"/>
    <cacheField name="XCB" numFmtId="0"/>
    <cacheField name="XDB" numFmtId="0"/>
    <cacheField name="XKL" numFmtId="0"/>
    <cacheField name="XLL" numFmtId="0"/>
    <cacheField name="XNT" numFmtId="0"/>
    <cacheField name="XQT" numFmtId="0"/>
    <cacheField name="XSB" numFmtId="0"/>
    <cacheField name="XSN" numFmtId="0"/>
    <cacheField name="XSR" numFmtId="0"/>
    <cacheField name="XXB" numFmtId="0"/>
    <cacheField name="XXS" numFmtId="0"/>
    <cacheField name="TNG2" numFmtId="0"/>
    <cacheField name="XBC2" numFmtId="0"/>
    <cacheField name="XBB2" numFmtId="0"/>
    <cacheField name="XBG2" numFmtId="0"/>
    <cacheField name="XBT2" numFmtId="0"/>
    <cacheField name="XCB2" numFmtId="0"/>
    <cacheField name="XDB2" numFmtId="0"/>
    <cacheField name="XKL2" numFmtId="0"/>
    <cacheField name="XLL2" numFmtId="0"/>
    <cacheField name="XNT2" numFmtId="0"/>
    <cacheField name="XQT2" numFmtId="0"/>
    <cacheField name="XSB2" numFmtId="0"/>
    <cacheField name="XSN2" numFmtId="0"/>
    <cacheField name="XSR2" numFmtId="0"/>
    <cacheField name="XXB2" numFmtId="0"/>
    <cacheField name="XXS2" numFmtId="0"/>
    <cacheField name="TH 18" numFmtId="0"/>
    <cacheField name="CMD 18" numFmtId="0"/>
    <cacheField name="TNG3" numFmtId="0"/>
    <cacheField name="XBC3" numFmtId="0"/>
    <cacheField name="XBB3" numFmtId="0"/>
    <cacheField name="XBG3" numFmtId="0"/>
    <cacheField name="XBT3" numFmtId="0"/>
    <cacheField name="XCB3" numFmtId="0"/>
    <cacheField name="XDB3" numFmtId="0"/>
    <cacheField name="XKL3" numFmtId="0"/>
    <cacheField name="XLL3" numFmtId="0"/>
    <cacheField name="XNT3" numFmtId="0"/>
    <cacheField name="XQT3" numFmtId="0"/>
    <cacheField name="XSB3" numFmtId="0"/>
    <cacheField name="XSN3" numFmtId="0"/>
    <cacheField name="XSR3" numFmtId="0"/>
    <cacheField name="XXB3" numFmtId="0"/>
    <cacheField name="XXS3" numFmtId="0"/>
    <cacheField name="TNG4" numFmtId="0"/>
    <cacheField name="XBC4" numFmtId="0"/>
    <cacheField name="XBB4" numFmtId="0"/>
    <cacheField name="XBG4" numFmtId="0"/>
    <cacheField name="XBT4" numFmtId="0"/>
    <cacheField name="XCB4" numFmtId="0"/>
    <cacheField name="XDB4" numFmtId="0"/>
    <cacheField name="XKL4" numFmtId="0"/>
    <cacheField name="XLL4" numFmtId="0"/>
    <cacheField name="XNT4" numFmtId="0"/>
    <cacheField name="XQT4" numFmtId="0"/>
    <cacheField name="XSB4" numFmtId="0"/>
    <cacheField name="XSN4" numFmtId="0"/>
    <cacheField name="XSR4" numFmtId="0"/>
    <cacheField name="XXB4" numFmtId="0"/>
    <cacheField name="XXS4" numFmtId="0"/>
    <cacheField name="TH 19" numFmtId="0"/>
    <cacheField name="CMD 19" numFmtId="0"/>
    <cacheField name="TNG5" numFmtId="0"/>
    <cacheField name="XBC5" numFmtId="0"/>
    <cacheField name="XBB5" numFmtId="0"/>
    <cacheField name="XBG5" numFmtId="0"/>
    <cacheField name="XBT5" numFmtId="0"/>
    <cacheField name="XCB5" numFmtId="0"/>
    <cacheField name="XDB5" numFmtId="0"/>
    <cacheField name="XKL5" numFmtId="0"/>
    <cacheField name="XLL5" numFmtId="0"/>
    <cacheField name="XNT5" numFmtId="0"/>
    <cacheField name="XQT5" numFmtId="0"/>
    <cacheField name="XSB5" numFmtId="0"/>
    <cacheField name="XSN5" numFmtId="0"/>
    <cacheField name="XSR5" numFmtId="0"/>
    <cacheField name="XXB5" numFmtId="0"/>
    <cacheField name="XXS5" numFmtId="0"/>
    <cacheField name="TNG6" numFmtId="0"/>
    <cacheField name="XBC6" numFmtId="0"/>
    <cacheField name="XBB6" numFmtId="0"/>
    <cacheField name="XBG6" numFmtId="0"/>
    <cacheField name="XBT6" numFmtId="0"/>
    <cacheField name="XCB6" numFmtId="0"/>
    <cacheField name="XDB6" numFmtId="0"/>
    <cacheField name="XKL6" numFmtId="0"/>
    <cacheField name="XLL6" numFmtId="0"/>
    <cacheField name="XNT6" numFmtId="0"/>
    <cacheField name="XQT6" numFmtId="0"/>
    <cacheField name="XSB6" numFmtId="0"/>
    <cacheField name="XSN6" numFmtId="0"/>
    <cacheField name="XSR6" numFmtId="0"/>
    <cacheField name="XXB6" numFmtId="0"/>
    <cacheField name="XXS6" numFmtId="0"/>
    <cacheField name="TH 20" numFmtId="0"/>
    <cacheField name="CMD 20" numFmtId="0"/>
    <cacheField name="TNG7" numFmtId="0"/>
    <cacheField name="XBC7" numFmtId="0"/>
    <cacheField name="XBB7" numFmtId="0"/>
    <cacheField name="XBG7" numFmtId="0"/>
    <cacheField name="XBT7" numFmtId="0"/>
    <cacheField name="XCB7" numFmtId="0"/>
    <cacheField name="XDB7" numFmtId="0"/>
    <cacheField name="XKL7" numFmtId="0"/>
    <cacheField name="XLL7" numFmtId="0"/>
    <cacheField name="XNT7" numFmtId="0"/>
    <cacheField name="XQT7" numFmtId="0"/>
    <cacheField name="XSB7" numFmtId="0"/>
    <cacheField name="XSN7" numFmtId="0"/>
    <cacheField name="XSR7" numFmtId="0"/>
    <cacheField name="XXB7" numFmtId="0"/>
    <cacheField name="XXS7" numFmtId="0"/>
    <cacheField name="TNG8" numFmtId="0"/>
    <cacheField name="XBC8" numFmtId="0"/>
    <cacheField name="XBB8" numFmtId="0"/>
    <cacheField name="XBG8" numFmtId="0"/>
    <cacheField name="XBT8" numFmtId="0"/>
    <cacheField name="XCB8" numFmtId="0"/>
    <cacheField name="XDB8" numFmtId="0"/>
    <cacheField name="XKL8" numFmtId="0"/>
    <cacheField name="XLL8" numFmtId="0"/>
    <cacheField name="XNT8" numFmtId="0"/>
    <cacheField name="XQT8" numFmtId="0"/>
    <cacheField name="XSB8" numFmtId="0"/>
    <cacheField name="XSN8" numFmtId="0"/>
    <cacheField name="XSR8" numFmtId="0"/>
    <cacheField name="XXB8" numFmtId="0"/>
    <cacheField name="XXS8" numFmtId="0"/>
    <cacheField name="Thu hồi2" numFmtId="0"/>
    <cacheField name="Chuyển MD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">
  <r>
    <s v="I"/>
    <s v="ĐẤT NÔNG NGHIỆP"/>
    <m/>
    <n v="0"/>
    <x v="0"/>
    <m/>
    <x v="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"/>
    <m/>
    <n v="0"/>
    <x v="1"/>
    <m/>
    <x v="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- Đất chuyên trồng lúa nước"/>
    <m/>
    <n v="0"/>
    <x v="2"/>
    <m/>
    <x v="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Thị trấn Tân Khai"/>
    <s v="TTK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An Khương"/>
    <s v="XAK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An Phú"/>
    <s v="XAP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Đồng Nơ"/>
    <s v="XDN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Minh Đức"/>
    <s v="XMD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Minh Tâm"/>
    <s v="XMT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Phước An"/>
    <s v="XPA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ân Hiệp"/>
    <s v="XTHp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ân Hưng"/>
    <s v="XTHg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ân Lợi"/>
    <s v="XTL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ân Quan"/>
    <s v="XTQ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hanh An"/>
    <s v="XTA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s v="Xã Thanh Bình"/>
    <s v="XTB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uyên trồng lúa nướ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- Đất lúa còn lại"/>
    <m/>
    <n v="0"/>
    <x v="4"/>
    <m/>
    <x v="4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lúa nước còn lại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- Đất lúa nương"/>
    <m/>
    <n v="0"/>
    <x v="5"/>
    <m/>
    <x v="5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6"/>
    <m/>
    <x v="6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HÀNG NĂM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 "/>
    <m/>
    <n v="0"/>
    <x v="7"/>
    <m/>
    <x v="7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ồng cây lâu năm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8"/>
    <m/>
    <x v="8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SẢN XUẤT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9"/>
    <m/>
    <x v="9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PHÒNG HỘ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10"/>
    <m/>
    <x v="1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RỪNG ĐẶC DỤNG"/>
    <m/>
    <n v="0"/>
    <x v="3"/>
    <n v="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HỦY SẢN"/>
    <m/>
    <n v="0"/>
    <x v="11"/>
    <m/>
    <x v="1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uôi trồng thủy sản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LÀM MUỐI"/>
    <m/>
    <n v="0"/>
    <x v="12"/>
    <m/>
    <x v="1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13"/>
    <m/>
    <x v="1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ÔNG NGHIỆP KHÁC"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I"/>
    <s v="ĐẤT PHI NÔNG NGHIỆP"/>
    <m/>
    <n v="0"/>
    <x v="14"/>
    <m/>
    <x v="14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QUỐC PHÒNG"/>
    <m/>
    <n v="0"/>
    <x v="15"/>
    <m/>
    <x v="15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AN NINH"/>
    <m/>
    <n v="0"/>
    <x v="16"/>
    <m/>
    <x v="16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KHU CÔNG NGHIỆP"/>
    <m/>
    <n v="0"/>
    <x v="17"/>
    <n v="0"/>
    <x v="17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KHU CHẾ XUẤT"/>
    <m/>
    <n v="0"/>
    <x v="18"/>
    <n v="0"/>
    <x v="18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ỤM CÔNG NGHIỆP"/>
    <m/>
    <n v="0"/>
    <x v="19"/>
    <m/>
    <x v="19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HƯƠNG MẠI DỊCH VỤ"/>
    <m/>
    <n v="0"/>
    <x v="20"/>
    <m/>
    <x v="2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Ơ SỞ SẢN XUẤT PNN"/>
    <m/>
    <n v="0"/>
    <x v="21"/>
    <m/>
    <x v="2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HO HOẠT ĐỘNG KHAI THÁC KHOANG SẢN "/>
    <m/>
    <n v="0"/>
    <x v="22"/>
    <m/>
    <x v="2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PHÁT TRIỂN HẠ TẦNG"/>
    <m/>
    <n v="0"/>
    <x v="23"/>
    <m/>
    <x v="2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s v="Đất giao thông "/>
    <m/>
    <n v="0"/>
    <x v="24"/>
    <m/>
    <x v="24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"/>
    <s v="Đất thủy lợi "/>
    <m/>
    <n v="0"/>
    <x v="25"/>
    <m/>
    <x v="25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4"/>
    <s v="Đất bưu chính viễn thông "/>
    <m/>
    <n v="0"/>
    <x v="26"/>
    <m/>
    <x v="26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4"/>
    <s v="Đất công trình năng lượng"/>
    <m/>
    <n v="0"/>
    <x v="27"/>
    <m/>
    <x v="27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5"/>
    <s v="Đất văn hóa"/>
    <m/>
    <n v="0"/>
    <x v="28"/>
    <m/>
    <x v="28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"/>
    <s v="Đất y tế"/>
    <m/>
    <n v="0"/>
    <x v="29"/>
    <m/>
    <x v="29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7"/>
    <s v="Đất giáo dục, đào tạo"/>
    <m/>
    <n v="0"/>
    <x v="30"/>
    <m/>
    <x v="3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8"/>
    <s v="Đất thể dục thể thao"/>
    <m/>
    <n v="0"/>
    <x v="31"/>
    <m/>
    <x v="3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9"/>
    <s v="Đất nghiên cứu khoa học"/>
    <m/>
    <n v="0"/>
    <x v="32"/>
    <m/>
    <x v="3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"/>
    <s v="Đất dịch vụ xã hội"/>
    <m/>
    <n v="0"/>
    <x v="33"/>
    <m/>
    <x v="3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1"/>
    <s v="Đất chợ"/>
    <m/>
    <n v="0"/>
    <x v="34"/>
    <m/>
    <x v="34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xây dựng kho dự trữ quốc gia"/>
    <m/>
    <n v="0"/>
    <x v="35"/>
    <m/>
    <x v="35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DI TÍCH ỊCH SỬ - VĂN HÓA"/>
    <m/>
    <n v="0"/>
    <x v="36"/>
    <m/>
    <x v="36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DANH LAM THẮNG CẢNH"/>
    <m/>
    <n v="0"/>
    <x v="37"/>
    <m/>
    <x v="37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BÃI THẢI XỬ LÍ CHẤT THẢI"/>
    <m/>
    <n v="0"/>
    <x v="38"/>
    <m/>
    <x v="38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Ở  NÔNG THÔN"/>
    <m/>
    <n v="0"/>
    <x v="39"/>
    <m/>
    <x v="39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Ở ĐÔ THỊ"/>
    <m/>
    <n v="0"/>
    <x v="40"/>
    <m/>
    <x v="4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Ụ SỞ CƠ QUAN"/>
    <m/>
    <n v="0"/>
    <x v="41"/>
    <m/>
    <x v="4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TRỤ SỞ ĐƠN VỊ SỰ NGHIỆP"/>
    <m/>
    <n v="0"/>
    <x v="42"/>
    <m/>
    <x v="4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XÂY DỰNG TRỤ SỞ NGOẠI GIAO"/>
    <m/>
    <n v="0"/>
    <x v="43"/>
    <m/>
    <x v="4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Ơ SỞ TÔN GIÁO"/>
    <m/>
    <n v="0"/>
    <x v="44"/>
    <m/>
    <x v="44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NGHĨA TRANG, NGHĨA ĐỊA"/>
    <m/>
    <n v="0"/>
    <x v="45"/>
    <m/>
    <x v="45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VẬT LIỆU XÂY DỰNG, LÀM GỐM"/>
    <m/>
    <n v="0"/>
    <x v="46"/>
    <m/>
    <x v="46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n v="0"/>
    <x v="3"/>
    <m/>
    <x v="3"/>
    <m/>
    <n v="0"/>
    <m/>
    <m/>
    <n v="0"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SINH HOẠT CỘNG ĐỒNG"/>
    <m/>
    <n v="0"/>
    <x v="47"/>
    <m/>
    <x v="47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VUI CHƠI GIẢI TRÍ CÔNG CỘNG"/>
    <m/>
    <n v="0"/>
    <x v="48"/>
    <m/>
    <x v="48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CƠ SỞ TÍN NGƯỠNG"/>
    <m/>
    <n v="0"/>
    <x v="49"/>
    <m/>
    <x v="49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SÔNG SUỐI"/>
    <m/>
    <n v="0"/>
    <x v="50"/>
    <m/>
    <x v="50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MẶT NƯỚC CHUYÊN DÙNG"/>
    <m/>
    <n v="0"/>
    <x v="51"/>
    <m/>
    <x v="51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s v="ĐẤT PHI NÔNG NGHIỆP CÒN LẠI"/>
    <m/>
    <n v="0"/>
    <x v="52"/>
    <m/>
    <x v="52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II"/>
    <s v="ĐẤT CHƯA SỬ DỤNG "/>
    <m/>
    <n v="0"/>
    <x v="53"/>
    <m/>
    <x v="5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n v="0"/>
    <x v="3"/>
    <m/>
    <x v="3"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x v="3"/>
    <m/>
    <x v="3"/>
    <m/>
    <n v="182.5155"/>
    <m/>
    <n v="0"/>
    <n v="182.51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m/>
    <x v="3"/>
    <m/>
    <m/>
    <m/>
    <n v="12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m/>
    <x v="3"/>
    <m/>
    <m/>
    <m/>
    <n v="-12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TNG4" fld="130" baseField="4" baseItem="0"/>
  </dataFields>
  <pivotTableStyleInfo showRowHeaders="1" showColHeaders="1" showLastColumn="1"/>
</pivotTableDefinition>
</file>

<file path=xl/pivotTables/pivotTable10.xml><?xml version="1.0" encoding="utf-8"?>
<pivotTableDefinition xmlns="http://schemas.openxmlformats.org/spreadsheetml/2006/main" name="PivotTable8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NT4" fld="139" baseField="4" baseItem="0"/>
  </dataFields>
  <pivotTableStyleInfo showRowHeaders="1" showColHeaders="1" showLastColumn="1"/>
</pivotTableDefinition>
</file>

<file path=xl/pivotTables/pivotTable11.xml><?xml version="1.0" encoding="utf-8"?>
<pivotTableDefinition xmlns="http://schemas.openxmlformats.org/spreadsheetml/2006/main" name="PivotTable9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QT4" fld="140" baseField="4" baseItem="0"/>
  </dataFields>
  <pivotTableStyleInfo showRowHeaders="1" showColHeaders="1" showLastColumn="1"/>
</pivotTableDefinition>
</file>

<file path=xl/pivotTables/pivotTable12.xml><?xml version="1.0" encoding="utf-8"?>
<pivotTableDefinition xmlns="http://schemas.openxmlformats.org/spreadsheetml/2006/main" name="PivotTable10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SB4" fld="141" baseField="4" baseItem="0"/>
  </dataFields>
  <pivotTableStyleInfo showRowHeaders="1" showColHeaders="1" showLastColumn="1"/>
</pivotTableDefinition>
</file>

<file path=xl/pivotTables/pivotTable13.xml><?xml version="1.0" encoding="utf-8"?>
<pivotTableDefinition xmlns="http://schemas.openxmlformats.org/spreadsheetml/2006/main" name="PivotTable11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SN4" fld="142" baseField="4" baseItem="0"/>
  </dataFields>
  <pivotTableStyleInfo showRowHeaders="1" showColHeaders="1" showLastColumn="1"/>
</pivotTableDefinition>
</file>

<file path=xl/pivotTables/pivotTable14.xml><?xml version="1.0" encoding="utf-8"?>
<pivotTableDefinition xmlns="http://schemas.openxmlformats.org/spreadsheetml/2006/main" name="PivotTable12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SR4" fld="143" baseField="4" baseItem="0"/>
  </dataFields>
  <pivotTableStyleInfo showRowHeaders="1" showColHeaders="1" showLastColumn="1"/>
</pivotTableDefinition>
</file>

<file path=xl/pivotTables/pivotTable15.xml><?xml version="1.0" encoding="utf-8"?>
<pivotTableDefinition xmlns="http://schemas.openxmlformats.org/spreadsheetml/2006/main" name="PivotTable13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XB4" fld="144" baseField="4" baseItem="0"/>
  </dataFields>
  <pivotTableStyleInfo showRowHeaders="1" showColHeaders="1" showLastColumn="1"/>
</pivotTableDefinition>
</file>

<file path=xl/pivotTables/pivotTable16.xml><?xml version="1.0" encoding="utf-8"?>
<pivotTableDefinition xmlns="http://schemas.openxmlformats.org/spreadsheetml/2006/main" name="PivotTable14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XS4" fld="145" baseField="4" baseItem="0"/>
  </dataFields>
  <pivotTableStyleInfo showRowHeaders="1" showColHeaders="1" showLastColumn="1"/>
</pivotTableDefinition>
</file>

<file path=xl/pivotTables/pivotTable17.xml><?xml version="1.0" encoding="utf-8"?>
<pivotTableDefinition xmlns="http://schemas.openxmlformats.org/spreadsheetml/2006/main" name="PivotTable15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dataField="1"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CMD 16" fld="45" baseField="4" baseItem="0"/>
  </dataFields>
  <pivotTableStyleInfo showRowHeaders="1" showColHeaders="1" showLastColumn="1"/>
</pivotTableDefinition>
</file>

<file path=xl/pivotTables/pivotTable2.xml><?xml version="1.0" encoding="utf-8"?>
<pivotTableDefinition xmlns="http://schemas.openxmlformats.org/spreadsheetml/2006/main" name="PivotTable2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BC4" fld="131" baseField="4" baseItem="0"/>
  </dataFields>
  <pivotTableStyleInfo showRowHeaders="1" showColHeaders="1" showLastColumn="1"/>
</pivotTableDefinition>
</file>

<file path=xl/pivotTables/pivotTable3.xml><?xml version="1.0" encoding="utf-8"?>
<pivotTableDefinition xmlns="http://schemas.openxmlformats.org/spreadsheetml/2006/main" name="PivotTable3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BB4" fld="132" baseField="4" baseItem="0"/>
  </dataFields>
  <pivotTableStyleInfo showRowHeaders="1" showColHeaders="1" showLastColumn="1"/>
</pivotTableDefinition>
</file>

<file path=xl/pivotTables/pivotTable4.xml><?xml version="1.0" encoding="utf-8"?>
<pivotTableDefinition xmlns="http://schemas.openxmlformats.org/spreadsheetml/2006/main" name="PivotTable1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BG4" fld="133" baseField="4" baseItem="0"/>
  </dataFields>
  <pivotTableStyleInfo showRowHeaders="1" showColHeaders="1" showLastColumn="1"/>
</pivotTableDefinition>
</file>

<file path=xl/pivotTables/pivotTable5.xml><?xml version="1.0" encoding="utf-8"?>
<pivotTableDefinition xmlns="http://schemas.openxmlformats.org/spreadsheetml/2006/main" name="PivotTable2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BT4" fld="134" baseField="4" baseItem="0"/>
  </dataFields>
  <pivotTableStyleInfo showRowHeaders="1" showColHeaders="1" showLastColumn="1"/>
</pivotTableDefinition>
</file>

<file path=xl/pivotTables/pivotTable6.xml><?xml version="1.0" encoding="utf-8"?>
<pivotTableDefinition xmlns="http://schemas.openxmlformats.org/spreadsheetml/2006/main" name="PivotTable3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CB4" fld="135" baseField="4" baseItem="0"/>
  </dataFields>
  <pivotTableStyleInfo showRowHeaders="1" showColHeaders="1" showLastColumn="1"/>
</pivotTableDefinition>
</file>

<file path=xl/pivotTables/pivotTable7.xml><?xml version="1.0" encoding="utf-8"?>
<pivotTableDefinition xmlns="http://schemas.openxmlformats.org/spreadsheetml/2006/main" name="PivotTable5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DB4" fld="136" baseField="4" baseItem="0"/>
  </dataFields>
  <pivotTableStyleInfo showRowHeaders="1" showColHeaders="1" showLastColumn="1"/>
</pivotTableDefinition>
</file>

<file path=xl/pivotTables/pivotTable8.xml><?xml version="1.0" encoding="utf-8"?>
<pivotTableDefinition xmlns="http://schemas.openxmlformats.org/spreadsheetml/2006/main" name="PivotTable6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KL4" fld="137" baseField="4" baseItem="0"/>
  </dataFields>
  <pivotTableStyleInfo showRowHeaders="1" showColHeaders="1" showLastColumn="1"/>
</pivotTableDefinition>
</file>

<file path=xl/pivotTables/pivotTable9.xml><?xml version="1.0" encoding="utf-8"?>
<pivotTableDefinition xmlns="http://schemas.openxmlformats.org/spreadsheetml/2006/main" name="PivotTable7" cacheId="0" dataOnRows="1" autoFormatId="1" applyNumberFormats="0" applyBorderFormats="0" applyFontFormats="0" applyPatternFormats="0" applyAlignmentFormats="0" applyWidthHeightFormats="1" dataCaption="Data" updatedVersion="4" minRefreshableVersion="3" createdVersion="4" useAutoFormatting="1" compact="0" indent="0" compactData="0" gridDropZones="1" showDrill="0">
  <location ref="A3:BD59" firstHeaderRow="1" firstDataRow="2" firstDataCol="1"/>
  <pivotFields count="2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m="1" x="54"/>
        <item x="35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5">
        <item x="16"/>
        <item x="7"/>
        <item x="15"/>
        <item x="53"/>
        <item x="26"/>
        <item x="34"/>
        <item x="37"/>
        <item x="36"/>
        <item x="30"/>
        <item x="24"/>
        <item x="23"/>
        <item x="48"/>
        <item x="43"/>
        <item x="27"/>
        <item x="38"/>
        <item x="47"/>
        <item x="25"/>
        <item x="42"/>
        <item x="31"/>
        <item x="28"/>
        <item x="33"/>
        <item x="29"/>
        <item x="6"/>
        <item x="12"/>
        <item x="1"/>
        <item x="2"/>
        <item x="4"/>
        <item x="5"/>
        <item x="51"/>
        <item x="32"/>
        <item x="13"/>
        <item x="0"/>
        <item x="45"/>
        <item x="11"/>
        <item x="40"/>
        <item x="39"/>
        <item x="52"/>
        <item x="14"/>
        <item x="10"/>
        <item x="9"/>
        <item x="8"/>
        <item x="21"/>
        <item x="17"/>
        <item x="19"/>
        <item x="22"/>
        <item x="18"/>
        <item x="46"/>
        <item x="50"/>
        <item x="49"/>
        <item x="20"/>
        <item x="44"/>
        <item x="41"/>
        <item x="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6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XLL4" fld="138" baseField="4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FFFF00"/>
  </sheetPr>
  <dimension ref="A1:G61"/>
  <sheetViews>
    <sheetView workbookViewId="0">
      <selection activeCell="A1" sqref="$A1:$XFD1048576"/>
    </sheetView>
  </sheetViews>
  <sheetFormatPr defaultColWidth="9" defaultRowHeight="12.75" outlineLevelCol="6"/>
  <cols>
    <col min="1" max="1" width="4.2" style="608" customWidth="1"/>
    <col min="2" max="2" width="34.6" style="388" customWidth="1"/>
    <col min="3" max="3" width="4.1" style="386" customWidth="1"/>
    <col min="4" max="4" width="9.1" style="388" customWidth="1"/>
    <col min="5" max="5" width="10" style="388" customWidth="1"/>
    <col min="6" max="6" width="8.5" style="388" customWidth="1"/>
    <col min="7" max="7" width="8.7" style="388" customWidth="1"/>
    <col min="8" max="16384" width="9" style="388"/>
  </cols>
  <sheetData>
    <row r="1" s="603" customFormat="1" ht="15" spans="1:7">
      <c r="A1" s="609" t="s">
        <v>0</v>
      </c>
      <c r="B1" s="609"/>
      <c r="C1" s="609"/>
      <c r="D1" s="609"/>
      <c r="E1" s="609"/>
      <c r="F1" s="609"/>
      <c r="G1" s="609"/>
    </row>
    <row r="2" s="604" customFormat="1" ht="14.25" spans="1:7">
      <c r="A2" s="610" t="s">
        <v>1</v>
      </c>
      <c r="B2" s="610"/>
      <c r="C2" s="610"/>
      <c r="D2" s="610"/>
      <c r="E2" s="610"/>
      <c r="F2" s="610"/>
      <c r="G2" s="610"/>
    </row>
    <row r="3" s="605" customFormat="1" spans="1:7">
      <c r="A3" s="349" t="s">
        <v>2</v>
      </c>
      <c r="B3" s="351" t="s">
        <v>3</v>
      </c>
      <c r="C3" s="351" t="s">
        <v>4</v>
      </c>
      <c r="D3" s="611" t="s">
        <v>5</v>
      </c>
      <c r="E3" s="351" t="s">
        <v>6</v>
      </c>
      <c r="F3" s="351"/>
      <c r="G3" s="397" t="s">
        <v>7</v>
      </c>
    </row>
    <row r="4" s="606" customFormat="1" spans="1:7">
      <c r="A4" s="349"/>
      <c r="B4" s="351"/>
      <c r="C4" s="351"/>
      <c r="D4" s="612"/>
      <c r="E4" s="397" t="s">
        <v>8</v>
      </c>
      <c r="F4" s="397" t="s">
        <v>9</v>
      </c>
      <c r="G4" s="397"/>
    </row>
    <row r="5" s="386" customFormat="1" spans="1:7">
      <c r="A5" s="349"/>
      <c r="B5" s="351"/>
      <c r="C5" s="351"/>
      <c r="D5" s="613"/>
      <c r="E5" s="351"/>
      <c r="F5" s="397"/>
      <c r="G5" s="397"/>
    </row>
    <row r="6" s="387" customFormat="1" ht="11.25" spans="1:7">
      <c r="A6" s="633" t="s">
        <v>10</v>
      </c>
      <c r="B6" s="634" t="s">
        <v>11</v>
      </c>
      <c r="C6" s="634" t="s">
        <v>12</v>
      </c>
      <c r="D6" s="634" t="s">
        <v>13</v>
      </c>
      <c r="E6" s="634" t="s">
        <v>14</v>
      </c>
      <c r="F6" s="614">
        <v>-6</v>
      </c>
      <c r="G6" s="614" t="s">
        <v>15</v>
      </c>
    </row>
    <row r="7" s="606" customFormat="1" spans="1:7">
      <c r="A7" s="349"/>
      <c r="B7" s="615" t="s">
        <v>16</v>
      </c>
      <c r="C7" s="351"/>
      <c r="D7" s="616">
        <v>66414.220723</v>
      </c>
      <c r="E7" s="616">
        <v>66414.220723</v>
      </c>
      <c r="F7" s="616">
        <v>100</v>
      </c>
      <c r="G7" s="616">
        <v>0</v>
      </c>
    </row>
    <row r="8" s="605" customFormat="1" spans="1:7">
      <c r="A8" s="349">
        <v>1</v>
      </c>
      <c r="B8" s="615" t="s">
        <v>17</v>
      </c>
      <c r="C8" s="351" t="s">
        <v>18</v>
      </c>
      <c r="D8" s="616">
        <v>58557.3097831682</v>
      </c>
      <c r="E8" s="616">
        <v>56591.3692731682</v>
      </c>
      <c r="F8" s="616">
        <v>85.2097166195763</v>
      </c>
      <c r="G8" s="616">
        <v>-1965.94051</v>
      </c>
    </row>
    <row r="9" spans="1:7">
      <c r="A9" s="617"/>
      <c r="B9" s="618" t="s">
        <v>19</v>
      </c>
      <c r="C9" s="619"/>
      <c r="D9" s="620"/>
      <c r="E9" s="620">
        <v>0</v>
      </c>
      <c r="F9" s="620"/>
      <c r="G9" s="620"/>
    </row>
    <row r="10" spans="1:7">
      <c r="A10" s="357" t="s">
        <v>20</v>
      </c>
      <c r="B10" s="621" t="s">
        <v>21</v>
      </c>
      <c r="C10" s="359" t="s">
        <v>22</v>
      </c>
      <c r="D10" s="622">
        <v>1020.482</v>
      </c>
      <c r="E10" s="622">
        <v>1020.482</v>
      </c>
      <c r="F10" s="622">
        <v>1.53654140467328</v>
      </c>
      <c r="G10" s="622">
        <v>0</v>
      </c>
    </row>
    <row r="11" s="607" customFormat="1" spans="1:7">
      <c r="A11" s="361"/>
      <c r="B11" s="635" t="s">
        <v>23</v>
      </c>
      <c r="C11" s="363" t="s">
        <v>24</v>
      </c>
      <c r="D11" s="624">
        <v>74.08723</v>
      </c>
      <c r="E11" s="622">
        <v>74.08723</v>
      </c>
      <c r="F11" s="624">
        <v>0.111553262529425</v>
      </c>
      <c r="G11" s="624">
        <v>0</v>
      </c>
    </row>
    <row r="12" s="607" customFormat="1" spans="1:7">
      <c r="A12" s="357" t="s">
        <v>25</v>
      </c>
      <c r="B12" s="625" t="s">
        <v>26</v>
      </c>
      <c r="C12" s="359" t="s">
        <v>27</v>
      </c>
      <c r="D12" s="622">
        <v>235.541007</v>
      </c>
      <c r="E12" s="622">
        <v>231.259117</v>
      </c>
      <c r="F12" s="622">
        <v>0.348207228034089</v>
      </c>
      <c r="G12" s="622">
        <v>-4.28188999999998</v>
      </c>
    </row>
    <row r="13" spans="1:7">
      <c r="A13" s="357" t="s">
        <v>28</v>
      </c>
      <c r="B13" s="621" t="s">
        <v>29</v>
      </c>
      <c r="C13" s="359" t="s">
        <v>30</v>
      </c>
      <c r="D13" s="622">
        <v>50358.4742513232</v>
      </c>
      <c r="E13" s="622">
        <v>48238.2578313232</v>
      </c>
      <c r="F13" s="622">
        <v>72.6324231560512</v>
      </c>
      <c r="G13" s="622">
        <v>-2120.21642</v>
      </c>
    </row>
    <row r="14" spans="1:7">
      <c r="A14" s="357" t="s">
        <v>31</v>
      </c>
      <c r="B14" s="626" t="s">
        <v>32</v>
      </c>
      <c r="C14" s="359" t="s">
        <v>33</v>
      </c>
      <c r="D14" s="622">
        <v>512.886725</v>
      </c>
      <c r="E14" s="622">
        <v>512.886725</v>
      </c>
      <c r="F14" s="622">
        <v>0.772254374765827</v>
      </c>
      <c r="G14" s="622">
        <v>0</v>
      </c>
    </row>
    <row r="15" spans="1:7">
      <c r="A15" s="357" t="s">
        <v>34</v>
      </c>
      <c r="B15" s="626" t="s">
        <v>35</v>
      </c>
      <c r="C15" s="359" t="s">
        <v>33</v>
      </c>
      <c r="D15" s="622">
        <v>0</v>
      </c>
      <c r="E15" s="622">
        <v>0</v>
      </c>
      <c r="F15" s="622">
        <v>0</v>
      </c>
      <c r="G15" s="622">
        <v>0</v>
      </c>
    </row>
    <row r="16" spans="1:7">
      <c r="A16" s="357" t="s">
        <v>36</v>
      </c>
      <c r="B16" s="626" t="s">
        <v>37</v>
      </c>
      <c r="C16" s="359" t="s">
        <v>38</v>
      </c>
      <c r="D16" s="622">
        <v>5864.184375</v>
      </c>
      <c r="E16" s="622">
        <v>5864.184375</v>
      </c>
      <c r="F16" s="622">
        <v>8.82971193693336</v>
      </c>
      <c r="G16" s="622">
        <v>0</v>
      </c>
    </row>
    <row r="17" spans="1:7">
      <c r="A17" s="361"/>
      <c r="B17" s="627" t="s">
        <v>39</v>
      </c>
      <c r="C17" s="363" t="s">
        <v>40</v>
      </c>
      <c r="D17" s="624">
        <v>0</v>
      </c>
      <c r="E17" s="622">
        <v>0</v>
      </c>
      <c r="F17" s="624">
        <v>0</v>
      </c>
      <c r="G17" s="624"/>
    </row>
    <row r="18" spans="1:7">
      <c r="A18" s="357" t="s">
        <v>41</v>
      </c>
      <c r="B18" s="621" t="s">
        <v>42</v>
      </c>
      <c r="C18" s="359" t="s">
        <v>43</v>
      </c>
      <c r="D18" s="622">
        <v>44.7262838450067</v>
      </c>
      <c r="E18" s="622">
        <v>44.5040838450067</v>
      </c>
      <c r="F18" s="622">
        <v>0.0670098713205174</v>
      </c>
      <c r="G18" s="622">
        <v>-0.222199999999994</v>
      </c>
    </row>
    <row r="19" spans="1:7">
      <c r="A19" s="357" t="s">
        <v>44</v>
      </c>
      <c r="B19" s="621" t="s">
        <v>45</v>
      </c>
      <c r="C19" s="359" t="s">
        <v>46</v>
      </c>
      <c r="D19" s="622">
        <v>0</v>
      </c>
      <c r="E19" s="622">
        <v>0</v>
      </c>
      <c r="F19" s="622">
        <v>0</v>
      </c>
      <c r="G19" s="622">
        <v>0</v>
      </c>
    </row>
    <row r="20" spans="1:7">
      <c r="A20" s="411" t="s">
        <v>47</v>
      </c>
      <c r="B20" s="628" t="s">
        <v>48</v>
      </c>
      <c r="C20" s="413" t="s">
        <v>49</v>
      </c>
      <c r="D20" s="629">
        <v>521.015141</v>
      </c>
      <c r="E20" s="622">
        <v>679.795141</v>
      </c>
      <c r="F20" s="629">
        <v>1.02356864779801</v>
      </c>
      <c r="G20" s="629">
        <v>158.78</v>
      </c>
    </row>
    <row r="21" s="605" customFormat="1" spans="1:7">
      <c r="A21" s="349">
        <v>2</v>
      </c>
      <c r="B21" s="615" t="s">
        <v>50</v>
      </c>
      <c r="C21" s="351" t="s">
        <v>51</v>
      </c>
      <c r="D21" s="616">
        <v>7856.91093983179</v>
      </c>
      <c r="E21" s="616">
        <v>9822.85144983179</v>
      </c>
      <c r="F21" s="616">
        <v>14.7902833804237</v>
      </c>
      <c r="G21" s="616">
        <v>1965.94051</v>
      </c>
    </row>
    <row r="22" spans="1:7">
      <c r="A22" s="617"/>
      <c r="B22" s="618" t="s">
        <v>19</v>
      </c>
      <c r="C22" s="619"/>
      <c r="D22" s="620"/>
      <c r="E22" s="630">
        <v>0</v>
      </c>
      <c r="F22" s="620"/>
      <c r="G22" s="620"/>
    </row>
    <row r="23" spans="1:7">
      <c r="A23" s="357" t="s">
        <v>52</v>
      </c>
      <c r="B23" s="631" t="s">
        <v>53</v>
      </c>
      <c r="C23" s="359" t="s">
        <v>54</v>
      </c>
      <c r="D23" s="622">
        <v>374.661245970947</v>
      </c>
      <c r="E23" s="622">
        <v>455.191245970947</v>
      </c>
      <c r="F23" s="622">
        <v>0.68538219829373</v>
      </c>
      <c r="G23" s="622">
        <v>80.53</v>
      </c>
    </row>
    <row r="24" spans="1:7">
      <c r="A24" s="357" t="s">
        <v>55</v>
      </c>
      <c r="B24" s="631" t="s">
        <v>56</v>
      </c>
      <c r="C24" s="359" t="s">
        <v>57</v>
      </c>
      <c r="D24" s="622">
        <v>1080.133578</v>
      </c>
      <c r="E24" s="622">
        <v>1080.133578</v>
      </c>
      <c r="F24" s="622">
        <v>1.62635888254266</v>
      </c>
      <c r="G24" s="622">
        <v>0</v>
      </c>
    </row>
    <row r="25" spans="1:7">
      <c r="A25" s="357" t="s">
        <v>58</v>
      </c>
      <c r="B25" s="621" t="s">
        <v>59</v>
      </c>
      <c r="C25" s="359" t="s">
        <v>60</v>
      </c>
      <c r="D25" s="622">
        <v>863.088499</v>
      </c>
      <c r="E25" s="622">
        <v>863.088499</v>
      </c>
      <c r="F25" s="622">
        <v>1.29955375460892</v>
      </c>
      <c r="G25" s="622">
        <v>0</v>
      </c>
    </row>
    <row r="26" spans="1:7">
      <c r="A26" s="357" t="s">
        <v>61</v>
      </c>
      <c r="B26" s="621" t="s">
        <v>62</v>
      </c>
      <c r="C26" s="359" t="s">
        <v>63</v>
      </c>
      <c r="D26" s="622">
        <v>0</v>
      </c>
      <c r="E26" s="622">
        <v>515</v>
      </c>
      <c r="F26" s="622">
        <v>0.775436336365307</v>
      </c>
      <c r="G26" s="622">
        <v>515</v>
      </c>
    </row>
    <row r="27" spans="1:7">
      <c r="A27" s="357" t="s">
        <v>64</v>
      </c>
      <c r="B27" s="621" t="s">
        <v>65</v>
      </c>
      <c r="C27" s="359" t="s">
        <v>66</v>
      </c>
      <c r="D27" s="622">
        <v>9.755852</v>
      </c>
      <c r="E27" s="622">
        <v>13.720572</v>
      </c>
      <c r="F27" s="622">
        <v>0.0206590875427503</v>
      </c>
      <c r="G27" s="622">
        <v>3.96472</v>
      </c>
    </row>
    <row r="28" spans="1:7">
      <c r="A28" s="357" t="s">
        <v>67</v>
      </c>
      <c r="B28" s="621" t="s">
        <v>68</v>
      </c>
      <c r="C28" s="359" t="s">
        <v>69</v>
      </c>
      <c r="D28" s="622">
        <v>459.010793</v>
      </c>
      <c r="E28" s="622">
        <v>472.140793</v>
      </c>
      <c r="F28" s="622">
        <v>0.710903158781613</v>
      </c>
      <c r="G28" s="622">
        <v>13.1299999999999</v>
      </c>
    </row>
    <row r="29" spans="1:7">
      <c r="A29" s="357" t="s">
        <v>70</v>
      </c>
      <c r="B29" s="621" t="s">
        <v>71</v>
      </c>
      <c r="C29" s="359" t="s">
        <v>72</v>
      </c>
      <c r="D29" s="622">
        <v>318.938372</v>
      </c>
      <c r="E29" s="622">
        <v>421.018372</v>
      </c>
      <c r="F29" s="622">
        <v>0.633928046458575</v>
      </c>
      <c r="G29" s="622">
        <v>102.08</v>
      </c>
    </row>
    <row r="30" spans="1:7">
      <c r="A30" s="357" t="s">
        <v>73</v>
      </c>
      <c r="B30" s="358" t="s">
        <v>74</v>
      </c>
      <c r="C30" s="359" t="s">
        <v>75</v>
      </c>
      <c r="D30" s="622">
        <v>52.113983</v>
      </c>
      <c r="E30" s="622">
        <v>70.263983</v>
      </c>
      <c r="F30" s="622">
        <v>0.105796593312532</v>
      </c>
      <c r="G30" s="622">
        <v>18.15</v>
      </c>
    </row>
    <row r="31" spans="1:7">
      <c r="A31" s="357" t="s">
        <v>76</v>
      </c>
      <c r="B31" s="621" t="s">
        <v>77</v>
      </c>
      <c r="C31" s="359" t="s">
        <v>78</v>
      </c>
      <c r="D31" s="622">
        <v>2209.54918470585</v>
      </c>
      <c r="E31" s="622">
        <v>2952.32918470585</v>
      </c>
      <c r="F31" s="622">
        <v>4.44532684802462</v>
      </c>
      <c r="G31" s="622">
        <v>742.78</v>
      </c>
    </row>
    <row r="32" s="607" customFormat="1" spans="1:7">
      <c r="A32" s="361"/>
      <c r="B32" s="623" t="s">
        <v>19</v>
      </c>
      <c r="C32" s="363"/>
      <c r="D32" s="624"/>
      <c r="E32" s="624"/>
      <c r="F32" s="624"/>
      <c r="G32" s="624"/>
    </row>
    <row r="33" s="607" customFormat="1" spans="1:7">
      <c r="A33" s="361" t="s">
        <v>79</v>
      </c>
      <c r="B33" s="623" t="s">
        <v>80</v>
      </c>
      <c r="C33" s="363" t="s">
        <v>81</v>
      </c>
      <c r="D33" s="624">
        <v>1589.484629</v>
      </c>
      <c r="E33" s="624">
        <v>1872.044629</v>
      </c>
      <c r="F33" s="624">
        <v>2.81874063810507</v>
      </c>
      <c r="G33" s="624">
        <v>282.56</v>
      </c>
    </row>
    <row r="34" s="607" customFormat="1" spans="1:7">
      <c r="A34" s="361" t="s">
        <v>79</v>
      </c>
      <c r="B34" s="623" t="s">
        <v>82</v>
      </c>
      <c r="C34" s="363" t="s">
        <v>83</v>
      </c>
      <c r="D34" s="624">
        <v>108.314269</v>
      </c>
      <c r="E34" s="624">
        <v>135.764269</v>
      </c>
      <c r="F34" s="624">
        <v>0.204420480315872</v>
      </c>
      <c r="G34" s="624">
        <v>27.45</v>
      </c>
    </row>
    <row r="35" s="607" customFormat="1" spans="1:7">
      <c r="A35" s="361" t="s">
        <v>79</v>
      </c>
      <c r="B35" s="623" t="s">
        <v>84</v>
      </c>
      <c r="C35" s="363" t="s">
        <v>85</v>
      </c>
      <c r="D35" s="624">
        <v>27.312509</v>
      </c>
      <c r="E35" s="624">
        <v>30.332509</v>
      </c>
      <c r="F35" s="624">
        <v>0.0456717080616072</v>
      </c>
      <c r="G35" s="624">
        <v>3.02</v>
      </c>
    </row>
    <row r="36" s="607" customFormat="1" spans="1:7">
      <c r="A36" s="361" t="s">
        <v>79</v>
      </c>
      <c r="B36" s="623" t="s">
        <v>86</v>
      </c>
      <c r="C36" s="363" t="s">
        <v>87</v>
      </c>
      <c r="D36" s="624">
        <v>32.223338</v>
      </c>
      <c r="E36" s="624">
        <v>32.223338</v>
      </c>
      <c r="F36" s="624">
        <v>0.048518732357633</v>
      </c>
      <c r="G36" s="624">
        <v>0</v>
      </c>
    </row>
    <row r="37" s="607" customFormat="1" spans="1:7">
      <c r="A37" s="361" t="s">
        <v>79</v>
      </c>
      <c r="B37" s="623" t="s">
        <v>88</v>
      </c>
      <c r="C37" s="363" t="s">
        <v>89</v>
      </c>
      <c r="D37" s="624">
        <v>65.7621557058477</v>
      </c>
      <c r="E37" s="624">
        <v>69.4621557058477</v>
      </c>
      <c r="F37" s="624">
        <v>0.104589280653552</v>
      </c>
      <c r="G37" s="624">
        <v>3.69999999999999</v>
      </c>
    </row>
    <row r="38" s="607" customFormat="1" spans="1:7">
      <c r="A38" s="361" t="s">
        <v>79</v>
      </c>
      <c r="B38" s="623" t="s">
        <v>90</v>
      </c>
      <c r="C38" s="363" t="s">
        <v>91</v>
      </c>
      <c r="D38" s="624">
        <v>22.222181</v>
      </c>
      <c r="E38" s="624">
        <v>22.222181</v>
      </c>
      <c r="F38" s="624">
        <v>0.033459974020751</v>
      </c>
      <c r="G38" s="624">
        <v>0</v>
      </c>
    </row>
    <row r="39" s="607" customFormat="1" spans="1:7">
      <c r="A39" s="361" t="s">
        <v>79</v>
      </c>
      <c r="B39" s="623" t="s">
        <v>92</v>
      </c>
      <c r="C39" s="363" t="s">
        <v>93</v>
      </c>
      <c r="D39" s="624">
        <v>221.216113</v>
      </c>
      <c r="E39" s="624">
        <v>643.576113</v>
      </c>
      <c r="F39" s="624">
        <v>0.96903359851834</v>
      </c>
      <c r="G39" s="624">
        <v>422.36</v>
      </c>
    </row>
    <row r="40" s="607" customFormat="1" spans="1:7">
      <c r="A40" s="361" t="s">
        <v>79</v>
      </c>
      <c r="B40" s="623" t="s">
        <v>94</v>
      </c>
      <c r="C40" s="363" t="s">
        <v>95</v>
      </c>
      <c r="D40" s="624">
        <v>1.645676</v>
      </c>
      <c r="E40" s="624">
        <v>1.645676</v>
      </c>
      <c r="F40" s="624">
        <v>0.00247789702579478</v>
      </c>
      <c r="G40" s="624">
        <v>0</v>
      </c>
    </row>
    <row r="41" s="607" customFormat="1" spans="1:7">
      <c r="A41" s="361" t="s">
        <v>79</v>
      </c>
      <c r="B41" s="623" t="s">
        <v>96</v>
      </c>
      <c r="C41" s="363" t="s">
        <v>97</v>
      </c>
      <c r="D41" s="624">
        <v>0</v>
      </c>
      <c r="E41" s="624">
        <v>0</v>
      </c>
      <c r="F41" s="624">
        <v>0</v>
      </c>
      <c r="G41" s="624">
        <v>0</v>
      </c>
    </row>
    <row r="42" s="607" customFormat="1" spans="1:7">
      <c r="A42" s="361" t="s">
        <v>79</v>
      </c>
      <c r="B42" s="623" t="s">
        <v>98</v>
      </c>
      <c r="C42" s="363" t="s">
        <v>99</v>
      </c>
      <c r="D42" s="624">
        <v>1.572659</v>
      </c>
      <c r="E42" s="624">
        <v>1.572659</v>
      </c>
      <c r="F42" s="624">
        <v>0.00236795521031442</v>
      </c>
      <c r="G42" s="624">
        <v>0</v>
      </c>
    </row>
    <row r="43" s="607" customFormat="1" spans="1:7">
      <c r="A43" s="361" t="s">
        <v>79</v>
      </c>
      <c r="B43" s="623" t="s">
        <v>100</v>
      </c>
      <c r="C43" s="363" t="s">
        <v>101</v>
      </c>
      <c r="D43" s="624">
        <v>24.573335</v>
      </c>
      <c r="E43" s="624">
        <v>24.573335</v>
      </c>
      <c r="F43" s="624">
        <v>0.0370001104168493</v>
      </c>
      <c r="G43" s="624">
        <v>0</v>
      </c>
    </row>
    <row r="44" s="607" customFormat="1" spans="1:7">
      <c r="A44" s="361" t="s">
        <v>79</v>
      </c>
      <c r="B44" s="623" t="s">
        <v>102</v>
      </c>
      <c r="C44" s="363" t="s">
        <v>103</v>
      </c>
      <c r="D44" s="624">
        <v>13.322334</v>
      </c>
      <c r="E44" s="624">
        <v>13.322334</v>
      </c>
      <c r="F44" s="624">
        <v>0.0200594599394077</v>
      </c>
      <c r="G44" s="624">
        <v>0</v>
      </c>
    </row>
    <row r="45" s="607" customFormat="1" spans="1:7">
      <c r="A45" s="361" t="s">
        <v>79</v>
      </c>
      <c r="B45" s="623" t="s">
        <v>104</v>
      </c>
      <c r="C45" s="363" t="s">
        <v>105</v>
      </c>
      <c r="D45" s="624">
        <v>97.492464</v>
      </c>
      <c r="E45" s="624">
        <v>98.492464</v>
      </c>
      <c r="F45" s="624">
        <v>0.148300262997577</v>
      </c>
      <c r="G45" s="624">
        <v>1</v>
      </c>
    </row>
    <row r="46" s="607" customFormat="1" spans="1:7">
      <c r="A46" s="361" t="s">
        <v>79</v>
      </c>
      <c r="B46" s="623" t="s">
        <v>106</v>
      </c>
      <c r="C46" s="363" t="s">
        <v>107</v>
      </c>
      <c r="D46" s="624">
        <v>0</v>
      </c>
      <c r="E46" s="624">
        <v>0</v>
      </c>
      <c r="F46" s="624">
        <v>0</v>
      </c>
      <c r="G46" s="624">
        <v>0</v>
      </c>
    </row>
    <row r="47" s="607" customFormat="1" spans="1:7">
      <c r="A47" s="361" t="s">
        <v>79</v>
      </c>
      <c r="B47" s="623" t="s">
        <v>108</v>
      </c>
      <c r="C47" s="363" t="s">
        <v>109</v>
      </c>
      <c r="D47" s="624">
        <v>0</v>
      </c>
      <c r="E47" s="624">
        <v>0</v>
      </c>
      <c r="F47" s="624">
        <v>0</v>
      </c>
      <c r="G47" s="624">
        <v>0</v>
      </c>
    </row>
    <row r="48" s="607" customFormat="1" spans="1:7">
      <c r="A48" s="361" t="s">
        <v>79</v>
      </c>
      <c r="B48" s="623" t="s">
        <v>110</v>
      </c>
      <c r="C48" s="363" t="s">
        <v>111</v>
      </c>
      <c r="D48" s="624">
        <v>4.407522</v>
      </c>
      <c r="E48" s="624">
        <v>7.097522</v>
      </c>
      <c r="F48" s="624">
        <v>0.0106867504018489</v>
      </c>
      <c r="G48" s="624">
        <v>2.69</v>
      </c>
    </row>
    <row r="49" spans="1:7">
      <c r="A49" s="357" t="s">
        <v>112</v>
      </c>
      <c r="B49" s="621" t="s">
        <v>113</v>
      </c>
      <c r="C49" s="359" t="s">
        <v>114</v>
      </c>
      <c r="D49" s="622">
        <v>0</v>
      </c>
      <c r="E49" s="622">
        <v>0</v>
      </c>
      <c r="F49" s="622">
        <v>0</v>
      </c>
      <c r="G49" s="622">
        <v>0</v>
      </c>
    </row>
    <row r="50" spans="1:7">
      <c r="A50" s="357" t="s">
        <v>115</v>
      </c>
      <c r="B50" s="621" t="s">
        <v>116</v>
      </c>
      <c r="C50" s="359" t="s">
        <v>117</v>
      </c>
      <c r="D50" s="622">
        <v>12.401898</v>
      </c>
      <c r="E50" s="622">
        <v>13.051898</v>
      </c>
      <c r="F50" s="622">
        <v>0.0196522640150169</v>
      </c>
      <c r="G50" s="622">
        <v>0.650000000000002</v>
      </c>
    </row>
    <row r="51" spans="1:7">
      <c r="A51" s="357" t="s">
        <v>118</v>
      </c>
      <c r="B51" s="621" t="s">
        <v>119</v>
      </c>
      <c r="C51" s="359" t="s">
        <v>120</v>
      </c>
      <c r="D51" s="622">
        <v>10.963878</v>
      </c>
      <c r="E51" s="622">
        <v>10.963878</v>
      </c>
      <c r="F51" s="622">
        <v>0.0165083289100509</v>
      </c>
      <c r="G51" s="622">
        <v>0</v>
      </c>
    </row>
    <row r="52" spans="1:7">
      <c r="A52" s="357" t="s">
        <v>121</v>
      </c>
      <c r="B52" s="621" t="s">
        <v>122</v>
      </c>
      <c r="C52" s="359" t="s">
        <v>123</v>
      </c>
      <c r="D52" s="622">
        <v>610.954627</v>
      </c>
      <c r="E52" s="622">
        <v>999.732417</v>
      </c>
      <c r="F52" s="622">
        <v>1.50529872385265</v>
      </c>
      <c r="G52" s="622">
        <v>388.77779</v>
      </c>
    </row>
    <row r="53" spans="1:7">
      <c r="A53" s="357" t="s">
        <v>124</v>
      </c>
      <c r="B53" s="621" t="s">
        <v>125</v>
      </c>
      <c r="C53" s="359" t="s">
        <v>126</v>
      </c>
      <c r="D53" s="622">
        <v>134.973837</v>
      </c>
      <c r="E53" s="622">
        <v>192.111837</v>
      </c>
      <c r="F53" s="622">
        <v>0.289263104962503</v>
      </c>
      <c r="G53" s="622">
        <v>57.138</v>
      </c>
    </row>
    <row r="54" spans="1:7">
      <c r="A54" s="357" t="s">
        <v>127</v>
      </c>
      <c r="B54" s="621" t="s">
        <v>128</v>
      </c>
      <c r="C54" s="359" t="s">
        <v>129</v>
      </c>
      <c r="D54" s="622">
        <v>36.096492</v>
      </c>
      <c r="E54" s="622">
        <v>35.856492</v>
      </c>
      <c r="F54" s="622">
        <v>0.0539891782357125</v>
      </c>
      <c r="G54" s="622">
        <v>-0.239999999999995</v>
      </c>
    </row>
    <row r="55" spans="1:7">
      <c r="A55" s="357" t="s">
        <v>130</v>
      </c>
      <c r="B55" s="621" t="s">
        <v>131</v>
      </c>
      <c r="C55" s="359" t="s">
        <v>132</v>
      </c>
      <c r="D55" s="622">
        <v>0.489296</v>
      </c>
      <c r="E55" s="622">
        <v>0.489296</v>
      </c>
      <c r="F55" s="622">
        <v>0.000736733781821746</v>
      </c>
      <c r="G55" s="622">
        <v>0</v>
      </c>
    </row>
    <row r="56" spans="1:7">
      <c r="A56" s="357" t="s">
        <v>133</v>
      </c>
      <c r="B56" s="621" t="s">
        <v>134</v>
      </c>
      <c r="C56" s="359" t="s">
        <v>135</v>
      </c>
      <c r="D56" s="622">
        <v>0</v>
      </c>
      <c r="E56" s="622">
        <v>0</v>
      </c>
      <c r="F56" s="622">
        <v>0</v>
      </c>
      <c r="G56" s="622">
        <v>0</v>
      </c>
    </row>
    <row r="57" spans="1:7">
      <c r="A57" s="357" t="s">
        <v>136</v>
      </c>
      <c r="B57" s="621" t="s">
        <v>137</v>
      </c>
      <c r="C57" s="359" t="s">
        <v>138</v>
      </c>
      <c r="D57" s="622">
        <v>0.270477</v>
      </c>
      <c r="E57" s="622">
        <v>0.270477</v>
      </c>
      <c r="F57" s="622">
        <v>0.000407257658157435</v>
      </c>
      <c r="G57" s="622">
        <v>0</v>
      </c>
    </row>
    <row r="58" spans="1:7">
      <c r="A58" s="357" t="s">
        <v>139</v>
      </c>
      <c r="B58" s="621" t="s">
        <v>140</v>
      </c>
      <c r="C58" s="359" t="s">
        <v>141</v>
      </c>
      <c r="D58" s="622">
        <v>1342.45341</v>
      </c>
      <c r="E58" s="622">
        <v>1332.12341</v>
      </c>
      <c r="F58" s="622">
        <v>2.00578038181915</v>
      </c>
      <c r="G58" s="622">
        <v>-10.3299999999999</v>
      </c>
    </row>
    <row r="59" spans="1:7">
      <c r="A59" s="357" t="s">
        <v>142</v>
      </c>
      <c r="B59" s="621" t="s">
        <v>143</v>
      </c>
      <c r="C59" s="359" t="s">
        <v>144</v>
      </c>
      <c r="D59" s="622">
        <v>323.385116154993</v>
      </c>
      <c r="E59" s="622">
        <v>323.385116154993</v>
      </c>
      <c r="F59" s="622">
        <v>0.486921494575335</v>
      </c>
      <c r="G59" s="622">
        <v>0</v>
      </c>
    </row>
    <row r="60" spans="1:7">
      <c r="A60" s="411" t="s">
        <v>145</v>
      </c>
      <c r="B60" s="632" t="s">
        <v>146</v>
      </c>
      <c r="C60" s="413" t="s">
        <v>147</v>
      </c>
      <c r="D60" s="629">
        <v>17.670401</v>
      </c>
      <c r="E60" s="629">
        <v>71.980401</v>
      </c>
      <c r="F60" s="629">
        <v>0.108381006682613</v>
      </c>
      <c r="G60" s="629">
        <v>54.31</v>
      </c>
    </row>
    <row r="61" s="605" customFormat="1" spans="1:7">
      <c r="A61" s="349" t="s">
        <v>148</v>
      </c>
      <c r="B61" s="615" t="s">
        <v>149</v>
      </c>
      <c r="C61" s="351" t="s">
        <v>150</v>
      </c>
      <c r="D61" s="616">
        <v>0</v>
      </c>
      <c r="E61" s="616">
        <v>0</v>
      </c>
      <c r="F61" s="616">
        <v>0</v>
      </c>
      <c r="G61" s="616">
        <v>0</v>
      </c>
    </row>
  </sheetData>
  <mergeCells count="10">
    <mergeCell ref="A1:G1"/>
    <mergeCell ref="A2:G2"/>
    <mergeCell ref="E3:F3"/>
    <mergeCell ref="A3:A5"/>
    <mergeCell ref="B3:B5"/>
    <mergeCell ref="C3:C5"/>
    <mergeCell ref="D3:D5"/>
    <mergeCell ref="E4:E5"/>
    <mergeCell ref="F4:F5"/>
    <mergeCell ref="G3:G5"/>
  </mergeCells>
  <printOptions horizontalCentered="1"/>
  <pageMargins left="0.78740157480315" right="0.393700787401575" top="0.78740157480315" bottom="0.78740157480315" header="0" footer="0"/>
  <pageSetup paperSize="9"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G62"/>
  <sheetViews>
    <sheetView workbookViewId="0">
      <pane xSplit="3" ySplit="8" topLeftCell="D9" activePane="bottomRight" state="frozen"/>
      <selection/>
      <selection pane="topRight"/>
      <selection pane="bottomLeft"/>
      <selection pane="bottomRight" activeCell="G29" sqref="G29:G35"/>
    </sheetView>
  </sheetViews>
  <sheetFormatPr defaultColWidth="8.7" defaultRowHeight="12.75"/>
  <cols>
    <col min="1" max="1" width="37.2" style="194" customWidth="1"/>
    <col min="2" max="2" width="8.7" style="195"/>
    <col min="3" max="4" width="9.2" style="196" customWidth="1"/>
    <col min="5" max="7" width="8.9" style="196" customWidth="1"/>
    <col min="8" max="8" width="9.2" style="196" customWidth="1"/>
    <col min="9" max="15" width="8.9" style="196" customWidth="1"/>
    <col min="16" max="16" width="9.2" style="196" customWidth="1"/>
    <col min="17" max="55" width="8.9" style="196" customWidth="1"/>
    <col min="56" max="56" width="8.9" style="197" customWidth="1"/>
    <col min="57" max="57" width="9.2" style="197" customWidth="1"/>
    <col min="58" max="59" width="8.7" style="197"/>
    <col min="60" max="16384" width="8.7" style="196"/>
  </cols>
  <sheetData>
    <row r="1" s="190" customFormat="1" ht="14.25" spans="1:59">
      <c r="A1" s="198" t="s">
        <v>579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267"/>
      <c r="BG1" s="267"/>
    </row>
    <row r="2" s="190" customFormat="1" ht="14.25" spans="1:59">
      <c r="A2" s="199" t="s">
        <v>580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267"/>
      <c r="BG2" s="267"/>
    </row>
    <row r="3" s="190" customFormat="1" ht="14.25" spans="1:59">
      <c r="A3" s="200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267"/>
      <c r="BG3" s="267"/>
    </row>
    <row r="4" spans="1:57">
      <c r="A4" s="201" t="s">
        <v>153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</row>
    <row r="5" s="191" customFormat="1" spans="1:59">
      <c r="A5" s="202" t="s">
        <v>188</v>
      </c>
      <c r="B5" s="203" t="s">
        <v>4</v>
      </c>
      <c r="C5" s="202" t="s">
        <v>581</v>
      </c>
      <c r="D5" s="204" t="s">
        <v>582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58" t="s">
        <v>583</v>
      </c>
      <c r="BD5" s="259" t="s">
        <v>584</v>
      </c>
      <c r="BE5" s="268" t="s">
        <v>585</v>
      </c>
      <c r="BF5" s="269"/>
      <c r="BG5" s="269"/>
    </row>
    <row r="6" s="191" customFormat="1" spans="1:59">
      <c r="A6" s="206"/>
      <c r="B6" s="207"/>
      <c r="C6" s="206"/>
      <c r="D6" s="208" t="s">
        <v>18</v>
      </c>
      <c r="E6" s="209" t="s">
        <v>22</v>
      </c>
      <c r="F6" s="210" t="s">
        <v>24</v>
      </c>
      <c r="G6" s="211" t="s">
        <v>27</v>
      </c>
      <c r="H6" s="212" t="s">
        <v>30</v>
      </c>
      <c r="I6" s="208" t="s">
        <v>33</v>
      </c>
      <c r="J6" s="208" t="s">
        <v>182</v>
      </c>
      <c r="K6" s="209" t="s">
        <v>38</v>
      </c>
      <c r="L6" s="208" t="s">
        <v>40</v>
      </c>
      <c r="M6" s="208" t="s">
        <v>43</v>
      </c>
      <c r="N6" s="208" t="s">
        <v>46</v>
      </c>
      <c r="O6" s="248" t="s">
        <v>49</v>
      </c>
      <c r="P6" s="215" t="s">
        <v>51</v>
      </c>
      <c r="Q6" s="255" t="s">
        <v>54</v>
      </c>
      <c r="R6" s="255" t="s">
        <v>57</v>
      </c>
      <c r="S6" s="255" t="s">
        <v>60</v>
      </c>
      <c r="T6" s="255" t="s">
        <v>63</v>
      </c>
      <c r="U6" s="255" t="s">
        <v>66</v>
      </c>
      <c r="V6" s="255" t="s">
        <v>69</v>
      </c>
      <c r="W6" s="255" t="s">
        <v>72</v>
      </c>
      <c r="X6" s="208" t="s">
        <v>75</v>
      </c>
      <c r="Y6" s="256" t="s">
        <v>78</v>
      </c>
      <c r="Z6" s="215" t="s">
        <v>81</v>
      </c>
      <c r="AA6" s="215" t="s">
        <v>83</v>
      </c>
      <c r="AB6" s="255" t="s">
        <v>85</v>
      </c>
      <c r="AC6" s="255" t="s">
        <v>87</v>
      </c>
      <c r="AD6" s="255" t="s">
        <v>89</v>
      </c>
      <c r="AE6" s="255" t="s">
        <v>91</v>
      </c>
      <c r="AF6" s="208" t="s">
        <v>93</v>
      </c>
      <c r="AG6" s="208" t="s">
        <v>95</v>
      </c>
      <c r="AH6" s="208" t="s">
        <v>97</v>
      </c>
      <c r="AI6" s="208" t="s">
        <v>99</v>
      </c>
      <c r="AJ6" s="208" t="s">
        <v>101</v>
      </c>
      <c r="AK6" s="208" t="s">
        <v>103</v>
      </c>
      <c r="AL6" s="208" t="s">
        <v>105</v>
      </c>
      <c r="AM6" s="255" t="s">
        <v>107</v>
      </c>
      <c r="AN6" s="255" t="s">
        <v>109</v>
      </c>
      <c r="AO6" s="255" t="s">
        <v>111</v>
      </c>
      <c r="AP6" s="255" t="s">
        <v>114</v>
      </c>
      <c r="AQ6" s="208" t="s">
        <v>117</v>
      </c>
      <c r="AR6" s="208" t="s">
        <v>120</v>
      </c>
      <c r="AS6" s="255" t="s">
        <v>123</v>
      </c>
      <c r="AT6" s="255" t="s">
        <v>126</v>
      </c>
      <c r="AU6" s="255" t="s">
        <v>129</v>
      </c>
      <c r="AV6" s="255" t="s">
        <v>132</v>
      </c>
      <c r="AW6" s="255" t="s">
        <v>135</v>
      </c>
      <c r="AX6" s="255" t="s">
        <v>138</v>
      </c>
      <c r="AY6" s="255" t="s">
        <v>141</v>
      </c>
      <c r="AZ6" s="255" t="s">
        <v>144</v>
      </c>
      <c r="BA6" s="255" t="s">
        <v>147</v>
      </c>
      <c r="BB6" s="208" t="s">
        <v>150</v>
      </c>
      <c r="BC6" s="260"/>
      <c r="BD6" s="261"/>
      <c r="BE6" s="270"/>
      <c r="BF6" s="269"/>
      <c r="BG6" s="269"/>
    </row>
    <row r="7" s="191" customFormat="1" spans="1:59">
      <c r="A7" s="206"/>
      <c r="B7" s="213"/>
      <c r="C7" s="206"/>
      <c r="D7" s="208"/>
      <c r="E7" s="208"/>
      <c r="F7" s="214"/>
      <c r="G7" s="215"/>
      <c r="H7" s="212"/>
      <c r="I7" s="249"/>
      <c r="J7" s="208"/>
      <c r="K7" s="249"/>
      <c r="L7" s="208"/>
      <c r="M7" s="208"/>
      <c r="N7" s="208"/>
      <c r="O7" s="248"/>
      <c r="P7" s="215"/>
      <c r="Q7" s="209"/>
      <c r="R7" s="209"/>
      <c r="S7" s="209"/>
      <c r="T7" s="209"/>
      <c r="U7" s="209"/>
      <c r="V7" s="209"/>
      <c r="W7" s="209"/>
      <c r="X7" s="249"/>
      <c r="Y7" s="211"/>
      <c r="Z7" s="257" t="s">
        <v>81</v>
      </c>
      <c r="AA7" s="257" t="s">
        <v>83</v>
      </c>
      <c r="AB7" s="209" t="s">
        <v>85</v>
      </c>
      <c r="AC7" s="209" t="s">
        <v>87</v>
      </c>
      <c r="AD7" s="209" t="s">
        <v>89</v>
      </c>
      <c r="AE7" s="209" t="s">
        <v>91</v>
      </c>
      <c r="AF7" s="249" t="s">
        <v>93</v>
      </c>
      <c r="AG7" s="249" t="s">
        <v>95</v>
      </c>
      <c r="AH7" s="249" t="s">
        <v>97</v>
      </c>
      <c r="AI7" s="249" t="s">
        <v>99</v>
      </c>
      <c r="AJ7" s="249" t="s">
        <v>101</v>
      </c>
      <c r="AK7" s="249" t="s">
        <v>103</v>
      </c>
      <c r="AL7" s="249" t="s">
        <v>105</v>
      </c>
      <c r="AM7" s="209" t="s">
        <v>107</v>
      </c>
      <c r="AN7" s="209" t="s">
        <v>109</v>
      </c>
      <c r="AO7" s="209" t="s">
        <v>111</v>
      </c>
      <c r="AP7" s="209" t="s">
        <v>114</v>
      </c>
      <c r="AQ7" s="249" t="s">
        <v>117</v>
      </c>
      <c r="AR7" s="249" t="s">
        <v>120</v>
      </c>
      <c r="AS7" s="209" t="s">
        <v>123</v>
      </c>
      <c r="AT7" s="209" t="s">
        <v>126</v>
      </c>
      <c r="AU7" s="209" t="s">
        <v>129</v>
      </c>
      <c r="AV7" s="209" t="s">
        <v>132</v>
      </c>
      <c r="AW7" s="209" t="s">
        <v>135</v>
      </c>
      <c r="AX7" s="209" t="s">
        <v>138</v>
      </c>
      <c r="AY7" s="209" t="s">
        <v>141</v>
      </c>
      <c r="AZ7" s="209" t="s">
        <v>144</v>
      </c>
      <c r="BA7" s="209" t="s">
        <v>147</v>
      </c>
      <c r="BB7" s="208" t="s">
        <v>150</v>
      </c>
      <c r="BC7" s="260"/>
      <c r="BD7" s="261"/>
      <c r="BE7" s="270"/>
      <c r="BF7" s="269"/>
      <c r="BG7" s="269"/>
    </row>
    <row r="8" s="191" customFormat="1" spans="1:59">
      <c r="A8" s="216" t="s">
        <v>586</v>
      </c>
      <c r="B8" s="217"/>
      <c r="C8" s="218">
        <v>66414.220723</v>
      </c>
      <c r="D8" s="218">
        <v>58557.3097831682</v>
      </c>
      <c r="E8" s="218">
        <v>1020.482</v>
      </c>
      <c r="F8" s="218">
        <v>74.08723</v>
      </c>
      <c r="G8" s="218">
        <v>235.541007</v>
      </c>
      <c r="H8" s="218">
        <v>50358.4742513232</v>
      </c>
      <c r="I8" s="218">
        <v>512.886725</v>
      </c>
      <c r="J8" s="218">
        <v>0</v>
      </c>
      <c r="K8" s="218">
        <v>5864.184375</v>
      </c>
      <c r="L8" s="218">
        <v>0</v>
      </c>
      <c r="M8" s="218">
        <v>44.7262838450067</v>
      </c>
      <c r="N8" s="218">
        <v>0</v>
      </c>
      <c r="O8" s="218">
        <v>521.015141</v>
      </c>
      <c r="P8" s="218">
        <v>7856.91093983179</v>
      </c>
      <c r="Q8" s="218">
        <v>374.661245970947</v>
      </c>
      <c r="R8" s="218">
        <v>1080.133578</v>
      </c>
      <c r="S8" s="218">
        <v>863.088499</v>
      </c>
      <c r="T8" s="218">
        <v>0</v>
      </c>
      <c r="U8" s="218">
        <v>9.755852</v>
      </c>
      <c r="V8" s="218">
        <v>459.010793</v>
      </c>
      <c r="W8" s="218">
        <v>318.938372</v>
      </c>
      <c r="X8" s="218">
        <v>52.113983</v>
      </c>
      <c r="Y8" s="218">
        <v>2209.54918470585</v>
      </c>
      <c r="Z8" s="218">
        <v>1589.484629</v>
      </c>
      <c r="AA8" s="218">
        <v>108.314269</v>
      </c>
      <c r="AB8" s="218">
        <v>27.312509</v>
      </c>
      <c r="AC8" s="218">
        <v>32.223338</v>
      </c>
      <c r="AD8" s="218">
        <v>65.7621557058477</v>
      </c>
      <c r="AE8" s="218">
        <v>22.222181</v>
      </c>
      <c r="AF8" s="218">
        <v>221.216113</v>
      </c>
      <c r="AG8" s="218">
        <v>1.645676</v>
      </c>
      <c r="AH8" s="218">
        <v>0</v>
      </c>
      <c r="AI8" s="218">
        <v>1.572659</v>
      </c>
      <c r="AJ8" s="218">
        <v>24.573335</v>
      </c>
      <c r="AK8" s="218">
        <v>13.322334</v>
      </c>
      <c r="AL8" s="218">
        <v>97.492464</v>
      </c>
      <c r="AM8" s="218">
        <v>0</v>
      </c>
      <c r="AN8" s="218">
        <v>0</v>
      </c>
      <c r="AO8" s="218">
        <v>4.407522</v>
      </c>
      <c r="AP8" s="218">
        <v>0</v>
      </c>
      <c r="AQ8" s="218">
        <v>12.401898</v>
      </c>
      <c r="AR8" s="218">
        <v>10.963878</v>
      </c>
      <c r="AS8" s="218">
        <v>610.954627</v>
      </c>
      <c r="AT8" s="218">
        <v>134.973837</v>
      </c>
      <c r="AU8" s="218">
        <v>36.096492</v>
      </c>
      <c r="AV8" s="218">
        <v>0.489296</v>
      </c>
      <c r="AW8" s="218">
        <v>0</v>
      </c>
      <c r="AX8" s="218">
        <v>0.270477</v>
      </c>
      <c r="AY8" s="218">
        <v>1342.45341</v>
      </c>
      <c r="AZ8" s="218">
        <v>323.385116154993</v>
      </c>
      <c r="BA8" s="218">
        <v>17.670401</v>
      </c>
      <c r="BB8" s="218">
        <v>0</v>
      </c>
      <c r="BC8" s="218"/>
      <c r="BD8" s="262"/>
      <c r="BE8" s="262">
        <v>66414.220723</v>
      </c>
      <c r="BF8" s="269"/>
      <c r="BG8" s="269"/>
    </row>
    <row r="9" s="191" customFormat="1" spans="1:59">
      <c r="A9" s="219" t="s">
        <v>587</v>
      </c>
      <c r="B9" s="220" t="s">
        <v>18</v>
      </c>
      <c r="C9" s="218">
        <v>58557.3097831682</v>
      </c>
      <c r="D9" s="221">
        <v>56589.3262731682</v>
      </c>
      <c r="E9" s="218">
        <v>0</v>
      </c>
      <c r="F9" s="218">
        <v>0</v>
      </c>
      <c r="G9" s="218">
        <v>0</v>
      </c>
      <c r="H9" s="218">
        <v>3.23409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158.78</v>
      </c>
      <c r="P9" s="218">
        <v>1967.98351</v>
      </c>
      <c r="Q9" s="218">
        <v>80.53</v>
      </c>
      <c r="R9" s="218">
        <v>0</v>
      </c>
      <c r="S9" s="218">
        <v>0</v>
      </c>
      <c r="T9" s="218">
        <v>515</v>
      </c>
      <c r="U9" s="218">
        <v>3.58472</v>
      </c>
      <c r="V9" s="218">
        <v>20.473</v>
      </c>
      <c r="W9" s="218">
        <v>102.08</v>
      </c>
      <c r="X9" s="218">
        <v>18.15</v>
      </c>
      <c r="Y9" s="218">
        <v>718.77</v>
      </c>
      <c r="Z9" s="218">
        <v>271.04</v>
      </c>
      <c r="AA9" s="218">
        <v>14.96</v>
      </c>
      <c r="AB9" s="218">
        <v>3.02</v>
      </c>
      <c r="AC9" s="218">
        <v>0</v>
      </c>
      <c r="AD9" s="218">
        <v>3.7</v>
      </c>
      <c r="AE9" s="218">
        <v>0</v>
      </c>
      <c r="AF9" s="218">
        <v>422.36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  <c r="AL9" s="218">
        <v>1</v>
      </c>
      <c r="AM9" s="218">
        <v>0</v>
      </c>
      <c r="AN9" s="218">
        <v>0</v>
      </c>
      <c r="AO9" s="218">
        <v>2.69</v>
      </c>
      <c r="AP9" s="218">
        <v>0</v>
      </c>
      <c r="AQ9" s="218">
        <v>0.65</v>
      </c>
      <c r="AR9" s="218">
        <v>0</v>
      </c>
      <c r="AS9" s="218">
        <v>401.24779</v>
      </c>
      <c r="AT9" s="218">
        <v>53.188</v>
      </c>
      <c r="AU9" s="218">
        <v>0</v>
      </c>
      <c r="AV9" s="218">
        <v>0</v>
      </c>
      <c r="AW9" s="218">
        <v>0</v>
      </c>
      <c r="AX9" s="218">
        <v>0</v>
      </c>
      <c r="AY9" s="218">
        <v>0</v>
      </c>
      <c r="AZ9" s="218">
        <v>0</v>
      </c>
      <c r="BA9" s="218">
        <v>54.31</v>
      </c>
      <c r="BB9" s="218">
        <v>0</v>
      </c>
      <c r="BC9" s="218">
        <v>1967.98351</v>
      </c>
      <c r="BD9" s="262">
        <v>-1965.94051</v>
      </c>
      <c r="BE9" s="262">
        <v>56591.3692731682</v>
      </c>
      <c r="BF9" s="269"/>
      <c r="BG9" s="269"/>
    </row>
    <row r="10" s="191" customFormat="1" spans="1:59">
      <c r="A10" s="222" t="s">
        <v>588</v>
      </c>
      <c r="B10" s="223" t="s">
        <v>22</v>
      </c>
      <c r="C10" s="224">
        <v>1020.482</v>
      </c>
      <c r="D10" s="224">
        <v>0</v>
      </c>
      <c r="E10" s="221">
        <v>1020.482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31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24"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0</v>
      </c>
      <c r="BB10" s="224">
        <v>0</v>
      </c>
      <c r="BC10" s="250">
        <v>0</v>
      </c>
      <c r="BD10" s="263">
        <v>0</v>
      </c>
      <c r="BE10" s="263">
        <v>1020.482</v>
      </c>
      <c r="BF10" s="269"/>
      <c r="BG10" s="269"/>
    </row>
    <row r="11" s="192" customFormat="1" spans="1:59">
      <c r="A11" s="656" t="s">
        <v>589</v>
      </c>
      <c r="B11" s="226" t="s">
        <v>24</v>
      </c>
      <c r="C11" s="227">
        <v>74.08723</v>
      </c>
      <c r="D11" s="227">
        <v>0</v>
      </c>
      <c r="E11" s="227">
        <v>0</v>
      </c>
      <c r="F11" s="228">
        <v>74.08723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242">
        <v>0</v>
      </c>
      <c r="Z11" s="252">
        <v>0</v>
      </c>
      <c r="AA11" s="252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>
        <v>0</v>
      </c>
      <c r="AK11" s="227">
        <v>0</v>
      </c>
      <c r="AL11" s="227">
        <v>0</v>
      </c>
      <c r="AM11" s="227">
        <v>0</v>
      </c>
      <c r="AN11" s="227">
        <v>0</v>
      </c>
      <c r="AO11" s="227">
        <v>0</v>
      </c>
      <c r="AP11" s="227">
        <v>0</v>
      </c>
      <c r="AQ11" s="227">
        <v>0</v>
      </c>
      <c r="AR11" s="227">
        <v>0</v>
      </c>
      <c r="AS11" s="227">
        <v>0</v>
      </c>
      <c r="AT11" s="227"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52">
        <v>0</v>
      </c>
      <c r="BD11" s="264">
        <v>0</v>
      </c>
      <c r="BE11" s="264">
        <v>74.08723</v>
      </c>
      <c r="BF11" s="271"/>
      <c r="BG11" s="271"/>
    </row>
    <row r="12" s="191" customFormat="1" spans="1:59">
      <c r="A12" s="229" t="s">
        <v>590</v>
      </c>
      <c r="B12" s="230" t="s">
        <v>27</v>
      </c>
      <c r="C12" s="231">
        <v>235.541007</v>
      </c>
      <c r="D12" s="231">
        <v>3.01189</v>
      </c>
      <c r="E12" s="231">
        <v>0</v>
      </c>
      <c r="F12" s="231">
        <v>0</v>
      </c>
      <c r="G12" s="221">
        <v>231.259117</v>
      </c>
      <c r="H12" s="231">
        <v>3.01189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1.27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24">
        <v>1</v>
      </c>
      <c r="Z12" s="231">
        <v>0</v>
      </c>
      <c r="AA12" s="231">
        <v>1</v>
      </c>
      <c r="AB12" s="231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0</v>
      </c>
      <c r="AP12" s="231">
        <v>0</v>
      </c>
      <c r="AQ12" s="231">
        <v>0</v>
      </c>
      <c r="AR12" s="231">
        <v>0</v>
      </c>
      <c r="AS12" s="231">
        <v>0.1</v>
      </c>
      <c r="AT12" s="231">
        <v>0.17</v>
      </c>
      <c r="AU12" s="231">
        <v>0</v>
      </c>
      <c r="AV12" s="231">
        <v>0</v>
      </c>
      <c r="AW12" s="231">
        <v>0</v>
      </c>
      <c r="AX12" s="231">
        <v>0</v>
      </c>
      <c r="AY12" s="231">
        <v>0</v>
      </c>
      <c r="AZ12" s="231">
        <v>0</v>
      </c>
      <c r="BA12" s="231">
        <v>0</v>
      </c>
      <c r="BB12" s="231">
        <v>0</v>
      </c>
      <c r="BC12" s="251">
        <v>4.28189</v>
      </c>
      <c r="BD12" s="265">
        <v>-4.28189</v>
      </c>
      <c r="BE12" s="265">
        <v>231.259117</v>
      </c>
      <c r="BF12" s="269"/>
      <c r="BG12" s="269"/>
    </row>
    <row r="13" s="191" customFormat="1" spans="1:59">
      <c r="A13" s="229" t="s">
        <v>591</v>
      </c>
      <c r="B13" s="232" t="s">
        <v>30</v>
      </c>
      <c r="C13" s="231">
        <v>50358.4742513232</v>
      </c>
      <c r="D13" s="231">
        <v>158.78</v>
      </c>
      <c r="E13" s="231">
        <v>0</v>
      </c>
      <c r="F13" s="231">
        <v>0</v>
      </c>
      <c r="G13" s="231">
        <v>0</v>
      </c>
      <c r="H13" s="221">
        <v>48232.9807413232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158.78</v>
      </c>
      <c r="P13" s="231">
        <v>1966.71351</v>
      </c>
      <c r="Q13" s="231">
        <v>80.53</v>
      </c>
      <c r="R13" s="231">
        <v>0</v>
      </c>
      <c r="S13" s="231">
        <v>0</v>
      </c>
      <c r="T13" s="231">
        <v>515</v>
      </c>
      <c r="U13" s="231">
        <v>3.58472</v>
      </c>
      <c r="V13" s="231">
        <v>20.473</v>
      </c>
      <c r="W13" s="231">
        <v>102.08</v>
      </c>
      <c r="X13" s="231">
        <v>18.15</v>
      </c>
      <c r="Y13" s="224">
        <v>717.77</v>
      </c>
      <c r="Z13" s="231">
        <v>271.04</v>
      </c>
      <c r="AA13" s="231">
        <v>13.96</v>
      </c>
      <c r="AB13" s="231">
        <v>3.02</v>
      </c>
      <c r="AC13" s="231">
        <v>0</v>
      </c>
      <c r="AD13" s="231">
        <v>3.7</v>
      </c>
      <c r="AE13" s="231">
        <v>0</v>
      </c>
      <c r="AF13" s="231">
        <v>422.36</v>
      </c>
      <c r="AG13" s="231">
        <v>0</v>
      </c>
      <c r="AH13" s="231">
        <v>0</v>
      </c>
      <c r="AI13" s="231">
        <v>0</v>
      </c>
      <c r="AJ13" s="231">
        <v>0</v>
      </c>
      <c r="AK13" s="231">
        <v>0</v>
      </c>
      <c r="AL13" s="231">
        <v>1</v>
      </c>
      <c r="AM13" s="231">
        <v>0</v>
      </c>
      <c r="AN13" s="231">
        <v>0</v>
      </c>
      <c r="AO13" s="231">
        <v>2.69</v>
      </c>
      <c r="AP13" s="231">
        <v>0</v>
      </c>
      <c r="AQ13" s="231">
        <v>0.65</v>
      </c>
      <c r="AR13" s="231">
        <v>0</v>
      </c>
      <c r="AS13" s="231">
        <v>401.14779</v>
      </c>
      <c r="AT13" s="231">
        <v>53.018</v>
      </c>
      <c r="AU13" s="231">
        <v>0</v>
      </c>
      <c r="AV13" s="231">
        <v>0</v>
      </c>
      <c r="AW13" s="231">
        <v>0</v>
      </c>
      <c r="AX13" s="231">
        <v>0</v>
      </c>
      <c r="AY13" s="231">
        <v>0</v>
      </c>
      <c r="AZ13" s="231">
        <v>0</v>
      </c>
      <c r="BA13" s="231">
        <v>54.31</v>
      </c>
      <c r="BB13" s="231">
        <v>0</v>
      </c>
      <c r="BC13" s="251">
        <v>2125.49351</v>
      </c>
      <c r="BD13" s="265">
        <v>-2120.21642</v>
      </c>
      <c r="BE13" s="265">
        <v>48238.2578313232</v>
      </c>
      <c r="BF13" s="269"/>
      <c r="BG13" s="269"/>
    </row>
    <row r="14" s="191" customFormat="1" spans="1:59">
      <c r="A14" s="233" t="s">
        <v>592</v>
      </c>
      <c r="B14" s="234" t="s">
        <v>33</v>
      </c>
      <c r="C14" s="231">
        <v>512.886725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21">
        <v>512.886725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1">
        <v>0</v>
      </c>
      <c r="Y14" s="224">
        <v>0</v>
      </c>
      <c r="Z14" s="231">
        <v>0</v>
      </c>
      <c r="AA14" s="231"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</v>
      </c>
      <c r="AV14" s="231">
        <v>0</v>
      </c>
      <c r="AW14" s="231">
        <v>0</v>
      </c>
      <c r="AX14" s="231">
        <v>0</v>
      </c>
      <c r="AY14" s="231">
        <v>0</v>
      </c>
      <c r="AZ14" s="231">
        <v>0</v>
      </c>
      <c r="BA14" s="231">
        <v>0</v>
      </c>
      <c r="BB14" s="231">
        <v>0</v>
      </c>
      <c r="BC14" s="251">
        <v>0</v>
      </c>
      <c r="BD14" s="265">
        <v>0</v>
      </c>
      <c r="BE14" s="265">
        <v>512.886725</v>
      </c>
      <c r="BF14" s="269"/>
      <c r="BG14" s="269"/>
    </row>
    <row r="15" s="191" customFormat="1" spans="1:59">
      <c r="A15" s="233" t="s">
        <v>593</v>
      </c>
      <c r="B15" s="234" t="s">
        <v>182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2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1">
        <v>0</v>
      </c>
      <c r="Y15" s="224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1">
        <v>0</v>
      </c>
      <c r="AX15" s="231">
        <v>0</v>
      </c>
      <c r="AY15" s="231">
        <v>0</v>
      </c>
      <c r="AZ15" s="231">
        <v>0</v>
      </c>
      <c r="BA15" s="231">
        <v>0</v>
      </c>
      <c r="BB15" s="231">
        <v>0</v>
      </c>
      <c r="BC15" s="251">
        <v>0</v>
      </c>
      <c r="BD15" s="265">
        <v>0</v>
      </c>
      <c r="BE15" s="265">
        <v>0</v>
      </c>
      <c r="BF15" s="269"/>
      <c r="BG15" s="269"/>
    </row>
    <row r="16" s="191" customFormat="1" spans="1:59">
      <c r="A16" s="233" t="s">
        <v>594</v>
      </c>
      <c r="B16" s="234" t="s">
        <v>38</v>
      </c>
      <c r="C16" s="231">
        <v>5864.184375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21">
        <v>5864.184375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1">
        <v>0</v>
      </c>
      <c r="Y16" s="224">
        <v>0</v>
      </c>
      <c r="Z16" s="231">
        <v>0</v>
      </c>
      <c r="AA16" s="231">
        <v>0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  <c r="AL16" s="231">
        <v>0</v>
      </c>
      <c r="AM16" s="231">
        <v>0</v>
      </c>
      <c r="AN16" s="231">
        <v>0</v>
      </c>
      <c r="AO16" s="231">
        <v>0</v>
      </c>
      <c r="AP16" s="231">
        <v>0</v>
      </c>
      <c r="AQ16" s="231">
        <v>0</v>
      </c>
      <c r="AR16" s="231">
        <v>0</v>
      </c>
      <c r="AS16" s="231">
        <v>0</v>
      </c>
      <c r="AT16" s="231">
        <v>0</v>
      </c>
      <c r="AU16" s="231">
        <v>0</v>
      </c>
      <c r="AV16" s="231">
        <v>0</v>
      </c>
      <c r="AW16" s="231">
        <v>0</v>
      </c>
      <c r="AX16" s="231">
        <v>0</v>
      </c>
      <c r="AY16" s="231">
        <v>0</v>
      </c>
      <c r="AZ16" s="231">
        <v>0</v>
      </c>
      <c r="BA16" s="231">
        <v>0</v>
      </c>
      <c r="BB16" s="231">
        <v>0</v>
      </c>
      <c r="BC16" s="251">
        <v>0</v>
      </c>
      <c r="BD16" s="265">
        <v>0</v>
      </c>
      <c r="BE16" s="265">
        <v>5864.184375</v>
      </c>
      <c r="BF16" s="269"/>
      <c r="BG16" s="269"/>
    </row>
    <row r="17" s="192" customFormat="1" spans="1:59">
      <c r="A17" s="225" t="s">
        <v>595</v>
      </c>
      <c r="B17" s="235" t="s">
        <v>40</v>
      </c>
      <c r="C17" s="227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227">
        <v>0</v>
      </c>
      <c r="L17" s="228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42">
        <v>0</v>
      </c>
      <c r="Z17" s="252">
        <v>0</v>
      </c>
      <c r="AA17" s="252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>
        <v>0</v>
      </c>
      <c r="AK17" s="227">
        <v>0</v>
      </c>
      <c r="AL17" s="227">
        <v>0</v>
      </c>
      <c r="AM17" s="227">
        <v>0</v>
      </c>
      <c r="AN17" s="227">
        <v>0</v>
      </c>
      <c r="AO17" s="227">
        <v>0</v>
      </c>
      <c r="AP17" s="227">
        <v>0</v>
      </c>
      <c r="AQ17" s="227">
        <v>0</v>
      </c>
      <c r="AR17" s="227">
        <v>0</v>
      </c>
      <c r="AS17" s="227">
        <v>0</v>
      </c>
      <c r="AT17" s="227">
        <v>0</v>
      </c>
      <c r="AU17" s="227">
        <v>0</v>
      </c>
      <c r="AV17" s="227">
        <v>0</v>
      </c>
      <c r="AW17" s="227">
        <v>0</v>
      </c>
      <c r="AX17" s="227">
        <v>0</v>
      </c>
      <c r="AY17" s="227">
        <v>0</v>
      </c>
      <c r="AZ17" s="227">
        <v>0</v>
      </c>
      <c r="BA17" s="227">
        <v>0</v>
      </c>
      <c r="BB17" s="252">
        <v>0</v>
      </c>
      <c r="BC17" s="252">
        <v>0</v>
      </c>
      <c r="BD17" s="264">
        <v>0</v>
      </c>
      <c r="BE17" s="264">
        <v>0</v>
      </c>
      <c r="BF17" s="271"/>
      <c r="BG17" s="271"/>
    </row>
    <row r="18" s="191" customFormat="1" spans="1:59">
      <c r="A18" s="233" t="s">
        <v>596</v>
      </c>
      <c r="B18" s="234" t="s">
        <v>43</v>
      </c>
      <c r="C18" s="231">
        <v>44.7262838450067</v>
      </c>
      <c r="D18" s="231">
        <v>0.2222</v>
      </c>
      <c r="E18" s="231">
        <v>0</v>
      </c>
      <c r="F18" s="231">
        <v>0</v>
      </c>
      <c r="G18" s="231">
        <v>0</v>
      </c>
      <c r="H18" s="231">
        <v>0.2222</v>
      </c>
      <c r="I18" s="231">
        <v>0</v>
      </c>
      <c r="J18" s="231">
        <v>0</v>
      </c>
      <c r="K18" s="231">
        <v>0</v>
      </c>
      <c r="L18" s="231">
        <v>0</v>
      </c>
      <c r="M18" s="221">
        <v>44.5040838450067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24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0</v>
      </c>
      <c r="AJ18" s="231">
        <v>0</v>
      </c>
      <c r="AK18" s="231">
        <v>0</v>
      </c>
      <c r="AL18" s="231">
        <v>0</v>
      </c>
      <c r="AM18" s="231">
        <v>0</v>
      </c>
      <c r="AN18" s="231">
        <v>0</v>
      </c>
      <c r="AO18" s="231">
        <v>0</v>
      </c>
      <c r="AP18" s="231">
        <v>0</v>
      </c>
      <c r="AQ18" s="231">
        <v>0</v>
      </c>
      <c r="AR18" s="231">
        <v>0</v>
      </c>
      <c r="AS18" s="231">
        <v>0</v>
      </c>
      <c r="AT18" s="231">
        <v>0</v>
      </c>
      <c r="AU18" s="231">
        <v>0</v>
      </c>
      <c r="AV18" s="231">
        <v>0</v>
      </c>
      <c r="AW18" s="231">
        <v>0</v>
      </c>
      <c r="AX18" s="231">
        <v>0</v>
      </c>
      <c r="AY18" s="231">
        <v>0</v>
      </c>
      <c r="AZ18" s="231">
        <v>0</v>
      </c>
      <c r="BA18" s="231">
        <v>0</v>
      </c>
      <c r="BB18" s="231">
        <v>0</v>
      </c>
      <c r="BC18" s="251">
        <v>0.2222</v>
      </c>
      <c r="BD18" s="265">
        <v>-0.2222</v>
      </c>
      <c r="BE18" s="265">
        <v>44.5040838450067</v>
      </c>
      <c r="BF18" s="269"/>
      <c r="BG18" s="269"/>
    </row>
    <row r="19" s="191" customFormat="1" spans="1:59">
      <c r="A19" s="233" t="s">
        <v>597</v>
      </c>
      <c r="B19" s="234" t="s">
        <v>46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2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1">
        <v>0</v>
      </c>
      <c r="Y19" s="224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1">
        <v>0</v>
      </c>
      <c r="AY19" s="231">
        <v>0</v>
      </c>
      <c r="AZ19" s="231">
        <v>0</v>
      </c>
      <c r="BA19" s="231">
        <v>0</v>
      </c>
      <c r="BB19" s="231">
        <v>0</v>
      </c>
      <c r="BC19" s="251">
        <v>0</v>
      </c>
      <c r="BD19" s="265">
        <v>0</v>
      </c>
      <c r="BE19" s="265">
        <v>0</v>
      </c>
      <c r="BF19" s="269"/>
      <c r="BG19" s="269"/>
    </row>
    <row r="20" s="191" customFormat="1" spans="1:59">
      <c r="A20" s="236" t="s">
        <v>598</v>
      </c>
      <c r="B20" s="237" t="s">
        <v>49</v>
      </c>
      <c r="C20" s="238">
        <v>521.015141</v>
      </c>
      <c r="D20" s="238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1">
        <v>0</v>
      </c>
      <c r="L20" s="238">
        <v>0</v>
      </c>
      <c r="M20" s="238">
        <v>0</v>
      </c>
      <c r="N20" s="238">
        <v>0</v>
      </c>
      <c r="O20" s="221">
        <v>521.015141</v>
      </c>
      <c r="P20" s="231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24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53">
        <v>0</v>
      </c>
      <c r="BD20" s="266">
        <v>158.78</v>
      </c>
      <c r="BE20" s="266">
        <v>679.795141</v>
      </c>
      <c r="BF20" s="269"/>
      <c r="BG20" s="269"/>
    </row>
    <row r="21" s="191" customFormat="1" spans="1:59">
      <c r="A21" s="219" t="s">
        <v>599</v>
      </c>
      <c r="B21" s="239" t="s">
        <v>51</v>
      </c>
      <c r="C21" s="218">
        <v>7856.91093983179</v>
      </c>
      <c r="D21" s="218">
        <v>2.043</v>
      </c>
      <c r="E21" s="218">
        <v>0</v>
      </c>
      <c r="F21" s="218">
        <v>0</v>
      </c>
      <c r="G21" s="218">
        <v>0</v>
      </c>
      <c r="H21" s="218">
        <v>2.043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21">
        <v>7854.86793983179</v>
      </c>
      <c r="Q21" s="218">
        <v>0</v>
      </c>
      <c r="R21" s="218">
        <v>0</v>
      </c>
      <c r="S21" s="218">
        <v>0</v>
      </c>
      <c r="T21" s="218">
        <v>0</v>
      </c>
      <c r="U21" s="218">
        <v>0.38</v>
      </c>
      <c r="V21" s="218">
        <v>0</v>
      </c>
      <c r="W21" s="218">
        <v>0</v>
      </c>
      <c r="X21" s="218">
        <v>0</v>
      </c>
      <c r="Y21" s="218">
        <v>26</v>
      </c>
      <c r="Z21" s="218">
        <v>13.41</v>
      </c>
      <c r="AA21" s="218">
        <v>12.59</v>
      </c>
      <c r="AB21" s="218">
        <v>0</v>
      </c>
      <c r="AC21" s="218">
        <v>0</v>
      </c>
      <c r="AD21" s="218">
        <v>0</v>
      </c>
      <c r="AE21" s="218">
        <v>0</v>
      </c>
      <c r="AF21" s="218">
        <v>0</v>
      </c>
      <c r="AG21" s="218">
        <v>0</v>
      </c>
      <c r="AH21" s="218">
        <v>0</v>
      </c>
      <c r="AI21" s="218">
        <v>0</v>
      </c>
      <c r="AJ21" s="218">
        <v>0</v>
      </c>
      <c r="AK21" s="218">
        <v>0</v>
      </c>
      <c r="AL21" s="218">
        <v>0</v>
      </c>
      <c r="AM21" s="218">
        <v>0</v>
      </c>
      <c r="AN21" s="218">
        <v>0</v>
      </c>
      <c r="AO21" s="218">
        <v>0</v>
      </c>
      <c r="AP21" s="218">
        <v>0</v>
      </c>
      <c r="AQ21" s="218">
        <v>0</v>
      </c>
      <c r="AR21" s="218">
        <v>0</v>
      </c>
      <c r="AS21" s="218">
        <v>0</v>
      </c>
      <c r="AT21" s="218">
        <v>5.3</v>
      </c>
      <c r="AU21" s="218">
        <v>0</v>
      </c>
      <c r="AV21" s="218">
        <v>0</v>
      </c>
      <c r="AW21" s="218">
        <v>0</v>
      </c>
      <c r="AX21" s="218">
        <v>0</v>
      </c>
      <c r="AY21" s="218">
        <v>0</v>
      </c>
      <c r="AZ21" s="218">
        <v>0</v>
      </c>
      <c r="BA21" s="218">
        <v>0</v>
      </c>
      <c r="BB21" s="218">
        <v>0</v>
      </c>
      <c r="BC21" s="218">
        <v>2.043</v>
      </c>
      <c r="BD21" s="262">
        <v>1965.94051</v>
      </c>
      <c r="BE21" s="262">
        <v>9822.85144983179</v>
      </c>
      <c r="BF21" s="269"/>
      <c r="BG21" s="269"/>
    </row>
    <row r="22" s="191" customFormat="1" spans="1:59">
      <c r="A22" s="240" t="s">
        <v>600</v>
      </c>
      <c r="B22" s="241" t="s">
        <v>54</v>
      </c>
      <c r="C22" s="224">
        <v>374.661245970947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50">
        <v>0</v>
      </c>
      <c r="Q22" s="221">
        <v>374.661245970947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50">
        <v>0</v>
      </c>
      <c r="Z22" s="250">
        <v>0</v>
      </c>
      <c r="AA22" s="250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24">
        <v>0</v>
      </c>
      <c r="AV22" s="224">
        <v>0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50">
        <v>0</v>
      </c>
      <c r="BD22" s="263">
        <v>80.53</v>
      </c>
      <c r="BE22" s="263">
        <v>455.191245970947</v>
      </c>
      <c r="BF22" s="269"/>
      <c r="BG22" s="269"/>
    </row>
    <row r="23" s="191" customFormat="1" spans="1:59">
      <c r="A23" s="233" t="s">
        <v>601</v>
      </c>
      <c r="B23" s="234" t="s">
        <v>57</v>
      </c>
      <c r="C23" s="231">
        <v>1080.133578</v>
      </c>
      <c r="D23" s="224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24">
        <v>0</v>
      </c>
      <c r="L23" s="231">
        <v>0</v>
      </c>
      <c r="M23" s="231">
        <v>0</v>
      </c>
      <c r="N23" s="231">
        <v>0</v>
      </c>
      <c r="O23" s="231">
        <v>0</v>
      </c>
      <c r="P23" s="251">
        <v>0</v>
      </c>
      <c r="Q23" s="231">
        <v>0</v>
      </c>
      <c r="R23" s="221">
        <v>1080.133578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251">
        <v>0</v>
      </c>
      <c r="Z23" s="251">
        <v>0</v>
      </c>
      <c r="AA23" s="25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1">
        <v>0</v>
      </c>
      <c r="AX23" s="231">
        <v>0</v>
      </c>
      <c r="AY23" s="231">
        <v>0</v>
      </c>
      <c r="AZ23" s="231">
        <v>0</v>
      </c>
      <c r="BA23" s="231">
        <v>0</v>
      </c>
      <c r="BB23" s="231">
        <v>0</v>
      </c>
      <c r="BC23" s="251">
        <v>0</v>
      </c>
      <c r="BD23" s="265">
        <v>0</v>
      </c>
      <c r="BE23" s="265">
        <v>1080.133578</v>
      </c>
      <c r="BF23" s="269"/>
      <c r="BG23" s="269"/>
    </row>
    <row r="24" s="191" customFormat="1" spans="1:59">
      <c r="A24" s="233" t="s">
        <v>602</v>
      </c>
      <c r="B24" s="234" t="s">
        <v>60</v>
      </c>
      <c r="C24" s="231">
        <v>863.088499</v>
      </c>
      <c r="D24" s="224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24">
        <v>0</v>
      </c>
      <c r="L24" s="231">
        <v>0</v>
      </c>
      <c r="M24" s="231">
        <v>0</v>
      </c>
      <c r="N24" s="231">
        <v>0</v>
      </c>
      <c r="O24" s="231">
        <v>0</v>
      </c>
      <c r="P24" s="251">
        <v>0</v>
      </c>
      <c r="Q24" s="231">
        <v>0</v>
      </c>
      <c r="R24" s="231">
        <v>0</v>
      </c>
      <c r="S24" s="221">
        <v>863.088499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51">
        <v>0</v>
      </c>
      <c r="Z24" s="251">
        <v>0</v>
      </c>
      <c r="AA24" s="25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  <c r="AX24" s="231">
        <v>0</v>
      </c>
      <c r="AY24" s="231">
        <v>0</v>
      </c>
      <c r="AZ24" s="231">
        <v>0</v>
      </c>
      <c r="BA24" s="231">
        <v>0</v>
      </c>
      <c r="BB24" s="231">
        <v>0</v>
      </c>
      <c r="BC24" s="251">
        <v>0</v>
      </c>
      <c r="BD24" s="265">
        <v>0</v>
      </c>
      <c r="BE24" s="265">
        <v>863.088499</v>
      </c>
      <c r="BF24" s="269"/>
      <c r="BG24" s="269"/>
    </row>
    <row r="25" s="191" customFormat="1" spans="1:59">
      <c r="A25" s="233" t="s">
        <v>603</v>
      </c>
      <c r="B25" s="234" t="s">
        <v>63</v>
      </c>
      <c r="C25" s="231">
        <v>0</v>
      </c>
      <c r="D25" s="224">
        <v>0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24">
        <v>0</v>
      </c>
      <c r="L25" s="231">
        <v>0</v>
      </c>
      <c r="M25" s="231">
        <v>0</v>
      </c>
      <c r="N25" s="231">
        <v>0</v>
      </c>
      <c r="O25" s="231">
        <v>0</v>
      </c>
      <c r="P25" s="251">
        <v>0</v>
      </c>
      <c r="Q25" s="231">
        <v>0</v>
      </c>
      <c r="R25" s="231">
        <v>0</v>
      </c>
      <c r="S25" s="231">
        <v>0</v>
      </c>
      <c r="T25" s="221">
        <v>0</v>
      </c>
      <c r="U25" s="231">
        <v>0</v>
      </c>
      <c r="V25" s="231">
        <v>0</v>
      </c>
      <c r="W25" s="231">
        <v>0</v>
      </c>
      <c r="X25" s="231">
        <v>0</v>
      </c>
      <c r="Y25" s="251">
        <v>0</v>
      </c>
      <c r="Z25" s="251">
        <v>0</v>
      </c>
      <c r="AA25" s="25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  <c r="AX25" s="231">
        <v>0</v>
      </c>
      <c r="AY25" s="231">
        <v>0</v>
      </c>
      <c r="AZ25" s="231">
        <v>0</v>
      </c>
      <c r="BA25" s="231">
        <v>0</v>
      </c>
      <c r="BB25" s="231">
        <v>0</v>
      </c>
      <c r="BC25" s="251">
        <v>0</v>
      </c>
      <c r="BD25" s="265">
        <v>515</v>
      </c>
      <c r="BE25" s="265">
        <v>515</v>
      </c>
      <c r="BF25" s="269"/>
      <c r="BG25" s="269"/>
    </row>
    <row r="26" s="191" customFormat="1" spans="1:59">
      <c r="A26" s="233" t="s">
        <v>604</v>
      </c>
      <c r="B26" s="234" t="s">
        <v>66</v>
      </c>
      <c r="C26" s="231">
        <v>9.755852</v>
      </c>
      <c r="D26" s="224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24">
        <v>0</v>
      </c>
      <c r="L26" s="231">
        <v>0</v>
      </c>
      <c r="M26" s="231">
        <v>0</v>
      </c>
      <c r="N26" s="231">
        <v>0</v>
      </c>
      <c r="O26" s="231">
        <v>0</v>
      </c>
      <c r="P26" s="251">
        <v>0</v>
      </c>
      <c r="Q26" s="231">
        <v>0</v>
      </c>
      <c r="R26" s="231">
        <v>0</v>
      </c>
      <c r="S26" s="231">
        <v>0</v>
      </c>
      <c r="T26" s="231">
        <v>0</v>
      </c>
      <c r="U26" s="221">
        <v>9.755852</v>
      </c>
      <c r="V26" s="231">
        <v>0</v>
      </c>
      <c r="W26" s="231">
        <v>0</v>
      </c>
      <c r="X26" s="231">
        <v>0</v>
      </c>
      <c r="Y26" s="251">
        <v>0</v>
      </c>
      <c r="Z26" s="251">
        <v>0</v>
      </c>
      <c r="AA26" s="25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  <c r="AX26" s="231">
        <v>0</v>
      </c>
      <c r="AY26" s="231">
        <v>0</v>
      </c>
      <c r="AZ26" s="231">
        <v>0</v>
      </c>
      <c r="BA26" s="231">
        <v>0</v>
      </c>
      <c r="BB26" s="231">
        <v>0</v>
      </c>
      <c r="BC26" s="251">
        <v>0</v>
      </c>
      <c r="BD26" s="265">
        <v>3.96472</v>
      </c>
      <c r="BE26" s="265">
        <v>13.720572</v>
      </c>
      <c r="BF26" s="269"/>
      <c r="BG26" s="269"/>
    </row>
    <row r="27" s="191" customFormat="1" spans="1:59">
      <c r="A27" s="233" t="s">
        <v>605</v>
      </c>
      <c r="B27" s="234" t="s">
        <v>69</v>
      </c>
      <c r="C27" s="231">
        <v>459.010793</v>
      </c>
      <c r="D27" s="224">
        <v>2.043</v>
      </c>
      <c r="E27" s="231">
        <v>0</v>
      </c>
      <c r="F27" s="231">
        <v>0</v>
      </c>
      <c r="G27" s="231">
        <v>0</v>
      </c>
      <c r="H27" s="231">
        <v>2.043</v>
      </c>
      <c r="I27" s="231">
        <v>0</v>
      </c>
      <c r="J27" s="231">
        <v>0</v>
      </c>
      <c r="K27" s="224">
        <v>0</v>
      </c>
      <c r="L27" s="231">
        <v>0</v>
      </c>
      <c r="M27" s="231">
        <v>0</v>
      </c>
      <c r="N27" s="231">
        <v>0</v>
      </c>
      <c r="O27" s="231">
        <v>0</v>
      </c>
      <c r="P27" s="251">
        <v>5.3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21">
        <v>451.667793</v>
      </c>
      <c r="W27" s="231">
        <v>0</v>
      </c>
      <c r="X27" s="231">
        <v>0</v>
      </c>
      <c r="Y27" s="251">
        <v>0</v>
      </c>
      <c r="Z27" s="251">
        <v>0</v>
      </c>
      <c r="AA27" s="25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5.3</v>
      </c>
      <c r="AU27" s="231">
        <v>0</v>
      </c>
      <c r="AV27" s="231">
        <v>0</v>
      </c>
      <c r="AW27" s="231">
        <v>0</v>
      </c>
      <c r="AX27" s="231">
        <v>0</v>
      </c>
      <c r="AY27" s="231">
        <v>0</v>
      </c>
      <c r="AZ27" s="231">
        <v>0</v>
      </c>
      <c r="BA27" s="231">
        <v>0</v>
      </c>
      <c r="BB27" s="231">
        <v>0</v>
      </c>
      <c r="BC27" s="251">
        <v>7.343</v>
      </c>
      <c r="BD27" s="265">
        <v>13.13</v>
      </c>
      <c r="BE27" s="265">
        <v>472.140793</v>
      </c>
      <c r="BF27" s="269"/>
      <c r="BG27" s="269"/>
    </row>
    <row r="28" s="191" customFormat="1" spans="1:59">
      <c r="A28" s="233" t="s">
        <v>606</v>
      </c>
      <c r="B28" s="234" t="s">
        <v>72</v>
      </c>
      <c r="C28" s="231">
        <v>318.938372</v>
      </c>
      <c r="D28" s="224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24">
        <v>0</v>
      </c>
      <c r="L28" s="231">
        <v>0</v>
      </c>
      <c r="M28" s="231">
        <v>0</v>
      </c>
      <c r="N28" s="231">
        <v>0</v>
      </c>
      <c r="O28" s="231">
        <v>0</v>
      </c>
      <c r="P28" s="251">
        <v>0</v>
      </c>
      <c r="Q28" s="231">
        <v>0</v>
      </c>
      <c r="R28" s="231">
        <v>0</v>
      </c>
      <c r="S28" s="231">
        <v>0</v>
      </c>
      <c r="T28" s="231">
        <v>0</v>
      </c>
      <c r="U28" s="231">
        <v>0</v>
      </c>
      <c r="V28" s="231">
        <v>0</v>
      </c>
      <c r="W28" s="221">
        <v>318.938372</v>
      </c>
      <c r="X28" s="251">
        <v>0</v>
      </c>
      <c r="Y28" s="251">
        <v>0</v>
      </c>
      <c r="Z28" s="251">
        <v>0</v>
      </c>
      <c r="AA28" s="251">
        <v>0</v>
      </c>
      <c r="AB28" s="231">
        <v>0</v>
      </c>
      <c r="AC28" s="231">
        <v>0</v>
      </c>
      <c r="AD28" s="231">
        <v>0</v>
      </c>
      <c r="AE28" s="231">
        <v>0</v>
      </c>
      <c r="AF28" s="231">
        <v>0</v>
      </c>
      <c r="AG28" s="231">
        <v>0</v>
      </c>
      <c r="AH28" s="231">
        <v>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0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1">
        <v>0</v>
      </c>
      <c r="AX28" s="231">
        <v>0</v>
      </c>
      <c r="AY28" s="231">
        <v>0</v>
      </c>
      <c r="AZ28" s="231">
        <v>0</v>
      </c>
      <c r="BA28" s="231">
        <v>0</v>
      </c>
      <c r="BB28" s="231">
        <v>0</v>
      </c>
      <c r="BC28" s="251">
        <v>0</v>
      </c>
      <c r="BD28" s="265">
        <v>102.08</v>
      </c>
      <c r="BE28" s="265">
        <v>421.018372</v>
      </c>
      <c r="BF28" s="269"/>
      <c r="BG28" s="269"/>
    </row>
    <row r="29" s="191" customFormat="1" spans="1:59">
      <c r="A29" s="233" t="s">
        <v>607</v>
      </c>
      <c r="B29" s="234" t="s">
        <v>75</v>
      </c>
      <c r="C29" s="231">
        <v>52.113983</v>
      </c>
      <c r="D29" s="224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24">
        <v>0</v>
      </c>
      <c r="L29" s="231">
        <v>0</v>
      </c>
      <c r="M29" s="231">
        <v>0</v>
      </c>
      <c r="N29" s="231">
        <v>0</v>
      </c>
      <c r="O29" s="231">
        <v>0</v>
      </c>
      <c r="P29" s="25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51">
        <v>0</v>
      </c>
      <c r="X29" s="221">
        <v>52.113983</v>
      </c>
      <c r="Y29" s="251">
        <v>0</v>
      </c>
      <c r="Z29" s="251">
        <v>0</v>
      </c>
      <c r="AA29" s="251">
        <v>0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0</v>
      </c>
      <c r="AJ29" s="231">
        <v>0</v>
      </c>
      <c r="AK29" s="231">
        <v>0</v>
      </c>
      <c r="AL29" s="231">
        <v>0</v>
      </c>
      <c r="AM29" s="231">
        <v>0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  <c r="AT29" s="231">
        <v>0</v>
      </c>
      <c r="AU29" s="231">
        <v>0</v>
      </c>
      <c r="AV29" s="231">
        <v>0</v>
      </c>
      <c r="AW29" s="231">
        <v>0</v>
      </c>
      <c r="AX29" s="231">
        <v>0</v>
      </c>
      <c r="AY29" s="231">
        <v>0</v>
      </c>
      <c r="AZ29" s="231">
        <v>0</v>
      </c>
      <c r="BA29" s="231">
        <v>0</v>
      </c>
      <c r="BB29" s="231">
        <v>0</v>
      </c>
      <c r="BC29" s="251">
        <v>0</v>
      </c>
      <c r="BD29" s="265">
        <v>18.15</v>
      </c>
      <c r="BE29" s="265">
        <v>70.263983</v>
      </c>
      <c r="BF29" s="269"/>
      <c r="BG29" s="269"/>
    </row>
    <row r="30" s="191" customFormat="1" spans="1:59">
      <c r="A30" s="233" t="s">
        <v>608</v>
      </c>
      <c r="B30" s="234" t="s">
        <v>78</v>
      </c>
      <c r="C30" s="231">
        <v>2209.54918470585</v>
      </c>
      <c r="D30" s="224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51">
        <v>1.99</v>
      </c>
      <c r="Q30" s="231">
        <v>0</v>
      </c>
      <c r="R30" s="231">
        <v>0</v>
      </c>
      <c r="S30" s="231">
        <v>0</v>
      </c>
      <c r="T30" s="231">
        <v>0</v>
      </c>
      <c r="U30" s="231">
        <v>0</v>
      </c>
      <c r="V30" s="231">
        <v>0</v>
      </c>
      <c r="W30" s="231">
        <v>0</v>
      </c>
      <c r="X30" s="231">
        <v>0</v>
      </c>
      <c r="Y30" s="221">
        <v>2207.55918470585</v>
      </c>
      <c r="Z30" s="251">
        <v>0.1</v>
      </c>
      <c r="AA30" s="251">
        <v>1.89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1">
        <v>0</v>
      </c>
      <c r="AY30" s="231">
        <v>0</v>
      </c>
      <c r="AZ30" s="231">
        <v>0</v>
      </c>
      <c r="BA30" s="231">
        <v>0</v>
      </c>
      <c r="BB30" s="231">
        <v>0</v>
      </c>
      <c r="BC30" s="251">
        <v>1.99</v>
      </c>
      <c r="BD30" s="265">
        <v>742.78</v>
      </c>
      <c r="BE30" s="265">
        <v>2952.32918470585</v>
      </c>
      <c r="BF30" s="269"/>
      <c r="BG30" s="269"/>
    </row>
    <row r="31" s="192" customFormat="1" spans="1:59">
      <c r="A31" s="225" t="s">
        <v>609</v>
      </c>
      <c r="B31" s="235" t="s">
        <v>81</v>
      </c>
      <c r="C31" s="227">
        <v>1589.484629</v>
      </c>
      <c r="D31" s="242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52">
        <v>1.89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52">
        <v>1.89</v>
      </c>
      <c r="Z31" s="228">
        <v>1587.594629</v>
      </c>
      <c r="AA31" s="252">
        <v>1.89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>
        <v>0</v>
      </c>
      <c r="AK31" s="227">
        <v>0</v>
      </c>
      <c r="AL31" s="227">
        <v>0</v>
      </c>
      <c r="AM31" s="227">
        <v>0</v>
      </c>
      <c r="AN31" s="227">
        <v>0</v>
      </c>
      <c r="AO31" s="227">
        <v>0</v>
      </c>
      <c r="AP31" s="227">
        <v>0</v>
      </c>
      <c r="AQ31" s="227">
        <v>0</v>
      </c>
      <c r="AR31" s="227">
        <v>0</v>
      </c>
      <c r="AS31" s="227">
        <v>0</v>
      </c>
      <c r="AT31" s="227">
        <v>0</v>
      </c>
      <c r="AU31" s="227">
        <v>0</v>
      </c>
      <c r="AV31" s="227">
        <v>0</v>
      </c>
      <c r="AW31" s="227">
        <v>0</v>
      </c>
      <c r="AX31" s="227">
        <v>0</v>
      </c>
      <c r="AY31" s="227">
        <v>0</v>
      </c>
      <c r="AZ31" s="227">
        <v>0</v>
      </c>
      <c r="BA31" s="227">
        <v>0</v>
      </c>
      <c r="BB31" s="227">
        <v>0</v>
      </c>
      <c r="BC31" s="252">
        <v>1.89</v>
      </c>
      <c r="BD31" s="264">
        <v>282.56</v>
      </c>
      <c r="BE31" s="264">
        <v>1872.044629</v>
      </c>
      <c r="BF31" s="271"/>
      <c r="BG31" s="271"/>
    </row>
    <row r="32" s="192" customFormat="1" spans="1:59">
      <c r="A32" s="225" t="s">
        <v>610</v>
      </c>
      <c r="B32" s="235" t="s">
        <v>83</v>
      </c>
      <c r="C32" s="227">
        <v>108.314269</v>
      </c>
      <c r="D32" s="242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52">
        <v>0.1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52">
        <v>0.1</v>
      </c>
      <c r="Z32" s="252">
        <v>0.1</v>
      </c>
      <c r="AA32" s="228">
        <v>108.214269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>
        <v>0</v>
      </c>
      <c r="AK32" s="227">
        <v>0</v>
      </c>
      <c r="AL32" s="227">
        <v>0</v>
      </c>
      <c r="AM32" s="227">
        <v>0</v>
      </c>
      <c r="AN32" s="227">
        <v>0</v>
      </c>
      <c r="AO32" s="227">
        <v>0</v>
      </c>
      <c r="AP32" s="227">
        <v>0</v>
      </c>
      <c r="AQ32" s="227">
        <v>0</v>
      </c>
      <c r="AR32" s="227">
        <v>0</v>
      </c>
      <c r="AS32" s="227">
        <v>0</v>
      </c>
      <c r="AT32" s="227">
        <v>0</v>
      </c>
      <c r="AU32" s="227">
        <v>0</v>
      </c>
      <c r="AV32" s="227">
        <v>0</v>
      </c>
      <c r="AW32" s="227">
        <v>0</v>
      </c>
      <c r="AX32" s="227">
        <v>0</v>
      </c>
      <c r="AY32" s="227">
        <v>0</v>
      </c>
      <c r="AZ32" s="227">
        <v>0</v>
      </c>
      <c r="BA32" s="227">
        <v>0</v>
      </c>
      <c r="BB32" s="227">
        <v>0</v>
      </c>
      <c r="BC32" s="252">
        <v>0.1</v>
      </c>
      <c r="BD32" s="264">
        <v>27.45</v>
      </c>
      <c r="BE32" s="264">
        <v>135.764269</v>
      </c>
      <c r="BF32" s="271"/>
      <c r="BG32" s="271"/>
    </row>
    <row r="33" s="192" customFormat="1" spans="1:59">
      <c r="A33" s="225" t="s">
        <v>611</v>
      </c>
      <c r="B33" s="243" t="s">
        <v>85</v>
      </c>
      <c r="C33" s="227">
        <v>27.312509</v>
      </c>
      <c r="D33" s="242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52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52">
        <v>0</v>
      </c>
      <c r="Z33" s="252">
        <v>0</v>
      </c>
      <c r="AA33" s="252">
        <v>0</v>
      </c>
      <c r="AB33" s="228">
        <v>27.312509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27">
        <v>0</v>
      </c>
      <c r="AJ33" s="227">
        <v>0</v>
      </c>
      <c r="AK33" s="227">
        <v>0</v>
      </c>
      <c r="AL33" s="227">
        <v>0</v>
      </c>
      <c r="AM33" s="227">
        <v>0</v>
      </c>
      <c r="AN33" s="227">
        <v>0</v>
      </c>
      <c r="AO33" s="227">
        <v>0</v>
      </c>
      <c r="AP33" s="227">
        <v>0</v>
      </c>
      <c r="AQ33" s="227">
        <v>0</v>
      </c>
      <c r="AR33" s="227">
        <v>0</v>
      </c>
      <c r="AS33" s="227">
        <v>0</v>
      </c>
      <c r="AT33" s="227">
        <v>0</v>
      </c>
      <c r="AU33" s="227">
        <v>0</v>
      </c>
      <c r="AV33" s="227">
        <v>0</v>
      </c>
      <c r="AW33" s="227">
        <v>0</v>
      </c>
      <c r="AX33" s="227">
        <v>0</v>
      </c>
      <c r="AY33" s="227">
        <v>0</v>
      </c>
      <c r="AZ33" s="227">
        <v>0</v>
      </c>
      <c r="BA33" s="227">
        <v>0</v>
      </c>
      <c r="BB33" s="227">
        <v>0</v>
      </c>
      <c r="BC33" s="252">
        <v>0</v>
      </c>
      <c r="BD33" s="264">
        <v>3.02</v>
      </c>
      <c r="BE33" s="264">
        <v>30.332509</v>
      </c>
      <c r="BF33" s="271"/>
      <c r="BG33" s="271"/>
    </row>
    <row r="34" s="192" customFormat="1" spans="1:59">
      <c r="A34" s="225" t="s">
        <v>612</v>
      </c>
      <c r="B34" s="243" t="s">
        <v>87</v>
      </c>
      <c r="C34" s="227">
        <v>32.223338</v>
      </c>
      <c r="D34" s="242">
        <v>0</v>
      </c>
      <c r="E34" s="227"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52">
        <v>0</v>
      </c>
      <c r="Q34" s="227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52">
        <v>0</v>
      </c>
      <c r="Z34" s="252">
        <v>0</v>
      </c>
      <c r="AA34" s="252">
        <v>0</v>
      </c>
      <c r="AB34" s="227">
        <v>0</v>
      </c>
      <c r="AC34" s="228">
        <v>32.223338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>
        <v>0</v>
      </c>
      <c r="AK34" s="227">
        <v>0</v>
      </c>
      <c r="AL34" s="227">
        <v>0</v>
      </c>
      <c r="AM34" s="227">
        <v>0</v>
      </c>
      <c r="AN34" s="227">
        <v>0</v>
      </c>
      <c r="AO34" s="227">
        <v>0</v>
      </c>
      <c r="AP34" s="227">
        <v>0</v>
      </c>
      <c r="AQ34" s="227">
        <v>0</v>
      </c>
      <c r="AR34" s="227">
        <v>0</v>
      </c>
      <c r="AS34" s="227">
        <v>0</v>
      </c>
      <c r="AT34" s="227">
        <v>0</v>
      </c>
      <c r="AU34" s="227">
        <v>0</v>
      </c>
      <c r="AV34" s="227">
        <v>0</v>
      </c>
      <c r="AW34" s="227">
        <v>0</v>
      </c>
      <c r="AX34" s="227">
        <v>0</v>
      </c>
      <c r="AY34" s="227">
        <v>0</v>
      </c>
      <c r="AZ34" s="227">
        <v>0</v>
      </c>
      <c r="BA34" s="227">
        <v>0</v>
      </c>
      <c r="BB34" s="227">
        <v>0</v>
      </c>
      <c r="BC34" s="252">
        <v>0</v>
      </c>
      <c r="BD34" s="264">
        <v>0</v>
      </c>
      <c r="BE34" s="264">
        <v>32.223338</v>
      </c>
      <c r="BF34" s="271"/>
      <c r="BG34" s="271"/>
    </row>
    <row r="35" s="192" customFormat="1" spans="1:59">
      <c r="A35" s="225" t="s">
        <v>613</v>
      </c>
      <c r="B35" s="243" t="s">
        <v>89</v>
      </c>
      <c r="C35" s="227">
        <v>65.7621557058477</v>
      </c>
      <c r="D35" s="242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27">
        <v>0</v>
      </c>
      <c r="P35" s="252">
        <v>0</v>
      </c>
      <c r="Q35" s="227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252">
        <v>0</v>
      </c>
      <c r="Z35" s="252">
        <v>0</v>
      </c>
      <c r="AA35" s="252">
        <v>0</v>
      </c>
      <c r="AB35" s="227">
        <v>0</v>
      </c>
      <c r="AC35" s="227">
        <v>0</v>
      </c>
      <c r="AD35" s="228">
        <v>65.7621557058477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>
        <v>0</v>
      </c>
      <c r="AK35" s="227">
        <v>0</v>
      </c>
      <c r="AL35" s="227">
        <v>0</v>
      </c>
      <c r="AM35" s="227">
        <v>0</v>
      </c>
      <c r="AN35" s="227">
        <v>0</v>
      </c>
      <c r="AO35" s="227">
        <v>0</v>
      </c>
      <c r="AP35" s="227">
        <v>0</v>
      </c>
      <c r="AQ35" s="227">
        <v>0</v>
      </c>
      <c r="AR35" s="227">
        <v>0</v>
      </c>
      <c r="AS35" s="227">
        <v>0</v>
      </c>
      <c r="AT35" s="227">
        <v>0</v>
      </c>
      <c r="AU35" s="227">
        <v>0</v>
      </c>
      <c r="AV35" s="227">
        <v>0</v>
      </c>
      <c r="AW35" s="227">
        <v>0</v>
      </c>
      <c r="AX35" s="227">
        <v>0</v>
      </c>
      <c r="AY35" s="227">
        <v>0</v>
      </c>
      <c r="AZ35" s="227">
        <v>0</v>
      </c>
      <c r="BA35" s="227">
        <v>0</v>
      </c>
      <c r="BB35" s="227">
        <v>0</v>
      </c>
      <c r="BC35" s="252">
        <v>0</v>
      </c>
      <c r="BD35" s="264">
        <v>3.7</v>
      </c>
      <c r="BE35" s="264">
        <v>69.4621557058477</v>
      </c>
      <c r="BF35" s="271"/>
      <c r="BG35" s="271"/>
    </row>
    <row r="36" s="192" customFormat="1" spans="1:59">
      <c r="A36" s="225" t="s">
        <v>614</v>
      </c>
      <c r="B36" s="243" t="s">
        <v>91</v>
      </c>
      <c r="C36" s="227">
        <v>22.222181</v>
      </c>
      <c r="D36" s="242">
        <v>0</v>
      </c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52">
        <v>0</v>
      </c>
      <c r="Q36" s="227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252">
        <v>0</v>
      </c>
      <c r="Z36" s="252">
        <v>0</v>
      </c>
      <c r="AA36" s="252">
        <v>0</v>
      </c>
      <c r="AB36" s="227">
        <v>0</v>
      </c>
      <c r="AC36" s="227">
        <v>0</v>
      </c>
      <c r="AD36" s="227">
        <v>0</v>
      </c>
      <c r="AE36" s="228">
        <v>22.222181</v>
      </c>
      <c r="AF36" s="252">
        <v>0</v>
      </c>
      <c r="AG36" s="252">
        <v>0</v>
      </c>
      <c r="AH36" s="252">
        <v>0</v>
      </c>
      <c r="AI36" s="252">
        <v>0</v>
      </c>
      <c r="AJ36" s="252">
        <v>0</v>
      </c>
      <c r="AK36" s="252">
        <v>0</v>
      </c>
      <c r="AL36" s="252">
        <v>0</v>
      </c>
      <c r="AM36" s="227">
        <v>0</v>
      </c>
      <c r="AN36" s="227">
        <v>0</v>
      </c>
      <c r="AO36" s="227">
        <v>0</v>
      </c>
      <c r="AP36" s="227">
        <v>0</v>
      </c>
      <c r="AQ36" s="227">
        <v>0</v>
      </c>
      <c r="AR36" s="227">
        <v>0</v>
      </c>
      <c r="AS36" s="227">
        <v>0</v>
      </c>
      <c r="AT36" s="227">
        <v>0</v>
      </c>
      <c r="AU36" s="227">
        <v>0</v>
      </c>
      <c r="AV36" s="227">
        <v>0</v>
      </c>
      <c r="AW36" s="227">
        <v>0</v>
      </c>
      <c r="AX36" s="227">
        <v>0</v>
      </c>
      <c r="AY36" s="227">
        <v>0</v>
      </c>
      <c r="AZ36" s="227">
        <v>0</v>
      </c>
      <c r="BA36" s="227">
        <v>0</v>
      </c>
      <c r="BB36" s="227">
        <v>0</v>
      </c>
      <c r="BC36" s="252">
        <v>0</v>
      </c>
      <c r="BD36" s="264">
        <v>0</v>
      </c>
      <c r="BE36" s="264">
        <v>22.222181</v>
      </c>
      <c r="BF36" s="271"/>
      <c r="BG36" s="271"/>
    </row>
    <row r="37" s="192" customFormat="1" spans="1:59">
      <c r="A37" s="244" t="s">
        <v>615</v>
      </c>
      <c r="B37" s="243" t="s">
        <v>93</v>
      </c>
      <c r="C37" s="227">
        <v>221.216113</v>
      </c>
      <c r="D37" s="242">
        <v>0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7">
        <v>0</v>
      </c>
      <c r="N37" s="227">
        <v>0</v>
      </c>
      <c r="O37" s="227">
        <v>0</v>
      </c>
      <c r="P37" s="252">
        <v>0</v>
      </c>
      <c r="Q37" s="227">
        <v>0</v>
      </c>
      <c r="R37" s="227">
        <v>0</v>
      </c>
      <c r="S37" s="227">
        <v>0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252">
        <v>0</v>
      </c>
      <c r="Z37" s="252">
        <v>0</v>
      </c>
      <c r="AA37" s="252">
        <v>0</v>
      </c>
      <c r="AB37" s="227">
        <v>0</v>
      </c>
      <c r="AC37" s="227">
        <v>0</v>
      </c>
      <c r="AD37" s="227">
        <v>0</v>
      </c>
      <c r="AE37" s="252">
        <v>0</v>
      </c>
      <c r="AF37" s="228">
        <v>221.216113</v>
      </c>
      <c r="AG37" s="252">
        <v>0</v>
      </c>
      <c r="AH37" s="252">
        <v>0</v>
      </c>
      <c r="AI37" s="252">
        <v>0</v>
      </c>
      <c r="AJ37" s="252">
        <v>0</v>
      </c>
      <c r="AK37" s="252">
        <v>0</v>
      </c>
      <c r="AL37" s="252">
        <v>0</v>
      </c>
      <c r="AM37" s="227">
        <v>0</v>
      </c>
      <c r="AN37" s="227">
        <v>0</v>
      </c>
      <c r="AO37" s="227">
        <v>0</v>
      </c>
      <c r="AP37" s="227">
        <v>0</v>
      </c>
      <c r="AQ37" s="227">
        <v>0</v>
      </c>
      <c r="AR37" s="227">
        <v>0</v>
      </c>
      <c r="AS37" s="227">
        <v>0</v>
      </c>
      <c r="AT37" s="227">
        <v>0</v>
      </c>
      <c r="AU37" s="227">
        <v>0</v>
      </c>
      <c r="AV37" s="227">
        <v>0</v>
      </c>
      <c r="AW37" s="227">
        <v>0</v>
      </c>
      <c r="AX37" s="227">
        <v>0</v>
      </c>
      <c r="AY37" s="227">
        <v>0</v>
      </c>
      <c r="AZ37" s="227">
        <v>0</v>
      </c>
      <c r="BA37" s="227">
        <v>0</v>
      </c>
      <c r="BB37" s="227">
        <v>0</v>
      </c>
      <c r="BC37" s="252">
        <v>0</v>
      </c>
      <c r="BD37" s="264">
        <v>422.36</v>
      </c>
      <c r="BE37" s="264">
        <v>643.576113</v>
      </c>
      <c r="BF37" s="271"/>
      <c r="BG37" s="271"/>
    </row>
    <row r="38" s="192" customFormat="1" spans="1:59">
      <c r="A38" s="244" t="s">
        <v>616</v>
      </c>
      <c r="B38" s="243" t="s">
        <v>95</v>
      </c>
      <c r="C38" s="227">
        <v>1.645676</v>
      </c>
      <c r="D38" s="242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227">
        <v>0</v>
      </c>
      <c r="P38" s="252">
        <v>0</v>
      </c>
      <c r="Q38" s="227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227">
        <v>0</v>
      </c>
      <c r="X38" s="227">
        <v>0</v>
      </c>
      <c r="Y38" s="252">
        <v>0</v>
      </c>
      <c r="Z38" s="252">
        <v>0</v>
      </c>
      <c r="AA38" s="252">
        <v>0</v>
      </c>
      <c r="AB38" s="227">
        <v>0</v>
      </c>
      <c r="AC38" s="227">
        <v>0</v>
      </c>
      <c r="AD38" s="227">
        <v>0</v>
      </c>
      <c r="AE38" s="252">
        <v>0</v>
      </c>
      <c r="AF38" s="252">
        <v>0</v>
      </c>
      <c r="AG38" s="228">
        <v>1.645676</v>
      </c>
      <c r="AH38" s="252">
        <v>0</v>
      </c>
      <c r="AI38" s="252">
        <v>0</v>
      </c>
      <c r="AJ38" s="252">
        <v>0</v>
      </c>
      <c r="AK38" s="252">
        <v>0</v>
      </c>
      <c r="AL38" s="252">
        <v>0</v>
      </c>
      <c r="AM38" s="227">
        <v>0</v>
      </c>
      <c r="AN38" s="227">
        <v>0</v>
      </c>
      <c r="AO38" s="227">
        <v>0</v>
      </c>
      <c r="AP38" s="227">
        <v>0</v>
      </c>
      <c r="AQ38" s="227">
        <v>0</v>
      </c>
      <c r="AR38" s="227">
        <v>0</v>
      </c>
      <c r="AS38" s="227">
        <v>0</v>
      </c>
      <c r="AT38" s="227">
        <v>0</v>
      </c>
      <c r="AU38" s="227">
        <v>0</v>
      </c>
      <c r="AV38" s="227">
        <v>0</v>
      </c>
      <c r="AW38" s="227">
        <v>0</v>
      </c>
      <c r="AX38" s="227">
        <v>0</v>
      </c>
      <c r="AY38" s="227">
        <v>0</v>
      </c>
      <c r="AZ38" s="227">
        <v>0</v>
      </c>
      <c r="BA38" s="227">
        <v>0</v>
      </c>
      <c r="BB38" s="227">
        <v>0</v>
      </c>
      <c r="BC38" s="252">
        <v>0</v>
      </c>
      <c r="BD38" s="264">
        <v>0</v>
      </c>
      <c r="BE38" s="264">
        <v>1.645676</v>
      </c>
      <c r="BF38" s="271"/>
      <c r="BG38" s="271"/>
    </row>
    <row r="39" s="192" customFormat="1" spans="1:59">
      <c r="A39" s="244" t="s">
        <v>617</v>
      </c>
      <c r="B39" s="243" t="s">
        <v>97</v>
      </c>
      <c r="C39" s="227">
        <v>0</v>
      </c>
      <c r="D39" s="242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227">
        <v>0</v>
      </c>
      <c r="P39" s="252">
        <v>0</v>
      </c>
      <c r="Q39" s="227">
        <v>0</v>
      </c>
      <c r="R39" s="227">
        <v>0</v>
      </c>
      <c r="S39" s="227">
        <v>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252">
        <v>0</v>
      </c>
      <c r="Z39" s="252">
        <v>0</v>
      </c>
      <c r="AA39" s="252">
        <v>0</v>
      </c>
      <c r="AB39" s="227">
        <v>0</v>
      </c>
      <c r="AC39" s="227">
        <v>0</v>
      </c>
      <c r="AD39" s="227">
        <v>0</v>
      </c>
      <c r="AE39" s="252">
        <v>0</v>
      </c>
      <c r="AF39" s="252">
        <v>0</v>
      </c>
      <c r="AG39" s="252">
        <v>0</v>
      </c>
      <c r="AH39" s="228">
        <v>0</v>
      </c>
      <c r="AI39" s="252">
        <v>0</v>
      </c>
      <c r="AJ39" s="252">
        <v>0</v>
      </c>
      <c r="AK39" s="252">
        <v>0</v>
      </c>
      <c r="AL39" s="252">
        <v>0</v>
      </c>
      <c r="AM39" s="227">
        <v>0</v>
      </c>
      <c r="AN39" s="227">
        <v>0</v>
      </c>
      <c r="AO39" s="227">
        <v>0</v>
      </c>
      <c r="AP39" s="227">
        <v>0</v>
      </c>
      <c r="AQ39" s="227">
        <v>0</v>
      </c>
      <c r="AR39" s="227">
        <v>0</v>
      </c>
      <c r="AS39" s="227">
        <v>0</v>
      </c>
      <c r="AT39" s="227">
        <v>0</v>
      </c>
      <c r="AU39" s="227">
        <v>0</v>
      </c>
      <c r="AV39" s="227">
        <v>0</v>
      </c>
      <c r="AW39" s="227">
        <v>0</v>
      </c>
      <c r="AX39" s="227">
        <v>0</v>
      </c>
      <c r="AY39" s="227">
        <v>0</v>
      </c>
      <c r="AZ39" s="227">
        <v>0</v>
      </c>
      <c r="BA39" s="227">
        <v>0</v>
      </c>
      <c r="BB39" s="227">
        <v>0</v>
      </c>
      <c r="BC39" s="252">
        <v>0</v>
      </c>
      <c r="BD39" s="264">
        <v>0</v>
      </c>
      <c r="BE39" s="264">
        <v>0</v>
      </c>
      <c r="BF39" s="271"/>
      <c r="BG39" s="271"/>
    </row>
    <row r="40" s="192" customFormat="1" spans="1:59">
      <c r="A40" s="244" t="s">
        <v>618</v>
      </c>
      <c r="B40" s="243" t="s">
        <v>99</v>
      </c>
      <c r="C40" s="227">
        <v>1.572659</v>
      </c>
      <c r="D40" s="242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>
        <v>0</v>
      </c>
      <c r="P40" s="252">
        <v>0</v>
      </c>
      <c r="Q40" s="227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252">
        <v>0</v>
      </c>
      <c r="Z40" s="252">
        <v>0</v>
      </c>
      <c r="AA40" s="252">
        <v>0</v>
      </c>
      <c r="AB40" s="227">
        <v>0</v>
      </c>
      <c r="AC40" s="227">
        <v>0</v>
      </c>
      <c r="AD40" s="227">
        <v>0</v>
      </c>
      <c r="AE40" s="252">
        <v>0</v>
      </c>
      <c r="AF40" s="252">
        <v>0</v>
      </c>
      <c r="AG40" s="252">
        <v>0</v>
      </c>
      <c r="AH40" s="252">
        <v>0</v>
      </c>
      <c r="AI40" s="228">
        <v>1.572659</v>
      </c>
      <c r="AJ40" s="252">
        <v>0</v>
      </c>
      <c r="AK40" s="252">
        <v>0</v>
      </c>
      <c r="AL40" s="252">
        <v>0</v>
      </c>
      <c r="AM40" s="227">
        <v>0</v>
      </c>
      <c r="AN40" s="227">
        <v>0</v>
      </c>
      <c r="AO40" s="227">
        <v>0</v>
      </c>
      <c r="AP40" s="227">
        <v>0</v>
      </c>
      <c r="AQ40" s="227">
        <v>0</v>
      </c>
      <c r="AR40" s="227">
        <v>0</v>
      </c>
      <c r="AS40" s="227">
        <v>0</v>
      </c>
      <c r="AT40" s="227">
        <v>0</v>
      </c>
      <c r="AU40" s="227">
        <v>0</v>
      </c>
      <c r="AV40" s="227">
        <v>0</v>
      </c>
      <c r="AW40" s="227">
        <v>0</v>
      </c>
      <c r="AX40" s="227">
        <v>0</v>
      </c>
      <c r="AY40" s="227">
        <v>0</v>
      </c>
      <c r="AZ40" s="227">
        <v>0</v>
      </c>
      <c r="BA40" s="227">
        <v>0</v>
      </c>
      <c r="BB40" s="227">
        <v>0</v>
      </c>
      <c r="BC40" s="252">
        <v>0</v>
      </c>
      <c r="BD40" s="264">
        <v>0</v>
      </c>
      <c r="BE40" s="264">
        <v>1.572659</v>
      </c>
      <c r="BF40" s="271"/>
      <c r="BG40" s="271"/>
    </row>
    <row r="41" s="192" customFormat="1" spans="1:59">
      <c r="A41" s="244" t="s">
        <v>619</v>
      </c>
      <c r="B41" s="243" t="s">
        <v>101</v>
      </c>
      <c r="C41" s="227">
        <v>24.573335</v>
      </c>
      <c r="D41" s="242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227">
        <v>0</v>
      </c>
      <c r="P41" s="252">
        <v>0</v>
      </c>
      <c r="Q41" s="227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52">
        <v>0</v>
      </c>
      <c r="Z41" s="252">
        <v>0</v>
      </c>
      <c r="AA41" s="252">
        <v>0</v>
      </c>
      <c r="AB41" s="227">
        <v>0</v>
      </c>
      <c r="AC41" s="227">
        <v>0</v>
      </c>
      <c r="AD41" s="227">
        <v>0</v>
      </c>
      <c r="AE41" s="252">
        <v>0</v>
      </c>
      <c r="AF41" s="252">
        <v>0</v>
      </c>
      <c r="AG41" s="252">
        <v>0</v>
      </c>
      <c r="AH41" s="252">
        <v>0</v>
      </c>
      <c r="AI41" s="252">
        <v>0</v>
      </c>
      <c r="AJ41" s="228">
        <v>24.573335</v>
      </c>
      <c r="AK41" s="252">
        <v>0</v>
      </c>
      <c r="AL41" s="252">
        <v>0</v>
      </c>
      <c r="AM41" s="227">
        <v>0</v>
      </c>
      <c r="AN41" s="227">
        <v>0</v>
      </c>
      <c r="AO41" s="227">
        <v>0</v>
      </c>
      <c r="AP41" s="227">
        <v>0</v>
      </c>
      <c r="AQ41" s="227">
        <v>0</v>
      </c>
      <c r="AR41" s="227">
        <v>0</v>
      </c>
      <c r="AS41" s="227">
        <v>0</v>
      </c>
      <c r="AT41" s="227">
        <v>0</v>
      </c>
      <c r="AU41" s="227">
        <v>0</v>
      </c>
      <c r="AV41" s="227">
        <v>0</v>
      </c>
      <c r="AW41" s="227">
        <v>0</v>
      </c>
      <c r="AX41" s="227">
        <v>0</v>
      </c>
      <c r="AY41" s="227">
        <v>0</v>
      </c>
      <c r="AZ41" s="227">
        <v>0</v>
      </c>
      <c r="BA41" s="227">
        <v>0</v>
      </c>
      <c r="BB41" s="227">
        <v>0</v>
      </c>
      <c r="BC41" s="252">
        <v>0</v>
      </c>
      <c r="BD41" s="264">
        <v>0</v>
      </c>
      <c r="BE41" s="264">
        <v>24.573335</v>
      </c>
      <c r="BF41" s="271"/>
      <c r="BG41" s="271"/>
    </row>
    <row r="42" s="192" customFormat="1" spans="1:59">
      <c r="A42" s="244" t="s">
        <v>620</v>
      </c>
      <c r="B42" s="243" t="s">
        <v>103</v>
      </c>
      <c r="C42" s="227">
        <v>13.322334</v>
      </c>
      <c r="D42" s="242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52">
        <v>0</v>
      </c>
      <c r="Q42" s="227">
        <v>0</v>
      </c>
      <c r="R42" s="227">
        <v>0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52">
        <v>0</v>
      </c>
      <c r="Z42" s="252">
        <v>0</v>
      </c>
      <c r="AA42" s="252">
        <v>0</v>
      </c>
      <c r="AB42" s="227">
        <v>0</v>
      </c>
      <c r="AC42" s="227">
        <v>0</v>
      </c>
      <c r="AD42" s="227">
        <v>0</v>
      </c>
      <c r="AE42" s="252">
        <v>0</v>
      </c>
      <c r="AF42" s="252">
        <v>0</v>
      </c>
      <c r="AG42" s="252">
        <v>0</v>
      </c>
      <c r="AH42" s="252">
        <v>0</v>
      </c>
      <c r="AI42" s="252">
        <v>0</v>
      </c>
      <c r="AJ42" s="252">
        <v>0</v>
      </c>
      <c r="AK42" s="228">
        <v>13.322334</v>
      </c>
      <c r="AL42" s="252">
        <v>0</v>
      </c>
      <c r="AM42" s="227">
        <v>0</v>
      </c>
      <c r="AN42" s="227">
        <v>0</v>
      </c>
      <c r="AO42" s="227">
        <v>0</v>
      </c>
      <c r="AP42" s="227">
        <v>0</v>
      </c>
      <c r="AQ42" s="227">
        <v>0</v>
      </c>
      <c r="AR42" s="227">
        <v>0</v>
      </c>
      <c r="AS42" s="227">
        <v>0</v>
      </c>
      <c r="AT42" s="227">
        <v>0</v>
      </c>
      <c r="AU42" s="227">
        <v>0</v>
      </c>
      <c r="AV42" s="227">
        <v>0</v>
      </c>
      <c r="AW42" s="227">
        <v>0</v>
      </c>
      <c r="AX42" s="227">
        <v>0</v>
      </c>
      <c r="AY42" s="227">
        <v>0</v>
      </c>
      <c r="AZ42" s="227">
        <v>0</v>
      </c>
      <c r="BA42" s="227">
        <v>0</v>
      </c>
      <c r="BB42" s="227">
        <v>0</v>
      </c>
      <c r="BC42" s="252">
        <v>0</v>
      </c>
      <c r="BD42" s="264">
        <v>0</v>
      </c>
      <c r="BE42" s="264">
        <v>13.322334</v>
      </c>
      <c r="BF42" s="271"/>
      <c r="BG42" s="271"/>
    </row>
    <row r="43" s="192" customFormat="1" spans="1:59">
      <c r="A43" s="244" t="s">
        <v>621</v>
      </c>
      <c r="B43" s="243" t="s">
        <v>105</v>
      </c>
      <c r="C43" s="227">
        <v>97.492464</v>
      </c>
      <c r="D43" s="242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52">
        <v>0</v>
      </c>
      <c r="Q43" s="227">
        <v>0</v>
      </c>
      <c r="R43" s="227">
        <v>0</v>
      </c>
      <c r="S43" s="227">
        <v>0</v>
      </c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252">
        <v>0</v>
      </c>
      <c r="Z43" s="252">
        <v>0</v>
      </c>
      <c r="AA43" s="252">
        <v>0</v>
      </c>
      <c r="AB43" s="227">
        <v>0</v>
      </c>
      <c r="AC43" s="227">
        <v>0</v>
      </c>
      <c r="AD43" s="227">
        <v>0</v>
      </c>
      <c r="AE43" s="252">
        <v>0</v>
      </c>
      <c r="AF43" s="252">
        <v>0</v>
      </c>
      <c r="AG43" s="252">
        <v>0</v>
      </c>
      <c r="AH43" s="252">
        <v>0</v>
      </c>
      <c r="AI43" s="252">
        <v>0</v>
      </c>
      <c r="AJ43" s="252">
        <v>0</v>
      </c>
      <c r="AK43" s="252">
        <v>0</v>
      </c>
      <c r="AL43" s="228">
        <v>97.492464</v>
      </c>
      <c r="AM43" s="227">
        <v>0</v>
      </c>
      <c r="AN43" s="227">
        <v>0</v>
      </c>
      <c r="AO43" s="227">
        <v>0</v>
      </c>
      <c r="AP43" s="227">
        <v>0</v>
      </c>
      <c r="AQ43" s="227">
        <v>0</v>
      </c>
      <c r="AR43" s="227">
        <v>0</v>
      </c>
      <c r="AS43" s="227">
        <v>0</v>
      </c>
      <c r="AT43" s="227">
        <v>0</v>
      </c>
      <c r="AU43" s="227">
        <v>0</v>
      </c>
      <c r="AV43" s="227">
        <v>0</v>
      </c>
      <c r="AW43" s="227">
        <v>0</v>
      </c>
      <c r="AX43" s="227">
        <v>0</v>
      </c>
      <c r="AY43" s="227">
        <v>0</v>
      </c>
      <c r="AZ43" s="227">
        <v>0</v>
      </c>
      <c r="BA43" s="227">
        <v>0</v>
      </c>
      <c r="BB43" s="227">
        <v>0</v>
      </c>
      <c r="BC43" s="252">
        <v>0</v>
      </c>
      <c r="BD43" s="264">
        <v>1</v>
      </c>
      <c r="BE43" s="264">
        <v>98.492464</v>
      </c>
      <c r="BF43" s="271"/>
      <c r="BG43" s="271"/>
    </row>
    <row r="44" s="192" customFormat="1" spans="1:59">
      <c r="A44" s="225" t="s">
        <v>622</v>
      </c>
      <c r="B44" s="243" t="s">
        <v>107</v>
      </c>
      <c r="C44" s="227">
        <v>0</v>
      </c>
      <c r="D44" s="242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52">
        <v>0</v>
      </c>
      <c r="Q44" s="227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v>0</v>
      </c>
      <c r="W44" s="227">
        <v>0</v>
      </c>
      <c r="X44" s="227">
        <v>0</v>
      </c>
      <c r="Y44" s="252">
        <v>0</v>
      </c>
      <c r="Z44" s="252">
        <v>0</v>
      </c>
      <c r="AA44" s="252">
        <v>0</v>
      </c>
      <c r="AB44" s="227">
        <v>0</v>
      </c>
      <c r="AC44" s="227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227">
        <v>0</v>
      </c>
      <c r="AJ44" s="227">
        <v>0</v>
      </c>
      <c r="AK44" s="227">
        <v>0</v>
      </c>
      <c r="AL44" s="227">
        <v>0</v>
      </c>
      <c r="AM44" s="228">
        <v>0</v>
      </c>
      <c r="AN44" s="227">
        <v>0</v>
      </c>
      <c r="AO44" s="227">
        <v>0</v>
      </c>
      <c r="AP44" s="227">
        <v>0</v>
      </c>
      <c r="AQ44" s="227">
        <v>0</v>
      </c>
      <c r="AR44" s="227">
        <v>0</v>
      </c>
      <c r="AS44" s="227">
        <v>0</v>
      </c>
      <c r="AT44" s="227">
        <v>0</v>
      </c>
      <c r="AU44" s="227">
        <v>0</v>
      </c>
      <c r="AV44" s="227">
        <v>0</v>
      </c>
      <c r="AW44" s="227">
        <v>0</v>
      </c>
      <c r="AX44" s="227">
        <v>0</v>
      </c>
      <c r="AY44" s="227">
        <v>0</v>
      </c>
      <c r="AZ44" s="227">
        <v>0</v>
      </c>
      <c r="BA44" s="227">
        <v>0</v>
      </c>
      <c r="BB44" s="227">
        <v>0</v>
      </c>
      <c r="BC44" s="252">
        <v>0</v>
      </c>
      <c r="BD44" s="264">
        <v>0</v>
      </c>
      <c r="BE44" s="264">
        <v>0</v>
      </c>
      <c r="BF44" s="271"/>
      <c r="BG44" s="271"/>
    </row>
    <row r="45" s="192" customFormat="1" spans="1:59">
      <c r="A45" s="225" t="s">
        <v>623</v>
      </c>
      <c r="B45" s="243" t="s">
        <v>109</v>
      </c>
      <c r="C45" s="227">
        <v>0</v>
      </c>
      <c r="D45" s="242">
        <v>0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52">
        <v>0</v>
      </c>
      <c r="Q45" s="227">
        <v>0</v>
      </c>
      <c r="R45" s="227">
        <v>0</v>
      </c>
      <c r="S45" s="227">
        <v>0</v>
      </c>
      <c r="T45" s="227">
        <v>0</v>
      </c>
      <c r="U45" s="227">
        <v>0</v>
      </c>
      <c r="V45" s="227">
        <v>0</v>
      </c>
      <c r="W45" s="227">
        <v>0</v>
      </c>
      <c r="X45" s="227">
        <v>0</v>
      </c>
      <c r="Y45" s="252">
        <v>0</v>
      </c>
      <c r="Z45" s="252">
        <v>0</v>
      </c>
      <c r="AA45" s="252">
        <v>0</v>
      </c>
      <c r="AB45" s="227">
        <v>0</v>
      </c>
      <c r="AC45" s="227">
        <v>0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227">
        <v>0</v>
      </c>
      <c r="AJ45" s="227">
        <v>0</v>
      </c>
      <c r="AK45" s="227">
        <v>0</v>
      </c>
      <c r="AL45" s="227">
        <v>0</v>
      </c>
      <c r="AM45" s="227">
        <v>0</v>
      </c>
      <c r="AN45" s="228">
        <v>0</v>
      </c>
      <c r="AO45" s="227">
        <v>0</v>
      </c>
      <c r="AP45" s="227">
        <v>0</v>
      </c>
      <c r="AQ45" s="227">
        <v>0</v>
      </c>
      <c r="AR45" s="227">
        <v>0</v>
      </c>
      <c r="AS45" s="227">
        <v>0</v>
      </c>
      <c r="AT45" s="227">
        <v>0</v>
      </c>
      <c r="AU45" s="227">
        <v>0</v>
      </c>
      <c r="AV45" s="227">
        <v>0</v>
      </c>
      <c r="AW45" s="227">
        <v>0</v>
      </c>
      <c r="AX45" s="227">
        <v>0</v>
      </c>
      <c r="AY45" s="227">
        <v>0</v>
      </c>
      <c r="AZ45" s="227">
        <v>0</v>
      </c>
      <c r="BA45" s="227">
        <v>0</v>
      </c>
      <c r="BB45" s="227">
        <v>0</v>
      </c>
      <c r="BC45" s="252">
        <v>0</v>
      </c>
      <c r="BD45" s="264">
        <v>0</v>
      </c>
      <c r="BE45" s="264">
        <v>0</v>
      </c>
      <c r="BF45" s="271"/>
      <c r="BG45" s="271"/>
    </row>
    <row r="46" s="192" customFormat="1" spans="1:59">
      <c r="A46" s="225" t="s">
        <v>624</v>
      </c>
      <c r="B46" s="243" t="s">
        <v>111</v>
      </c>
      <c r="C46" s="227">
        <v>4.407522</v>
      </c>
      <c r="D46" s="242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0</v>
      </c>
      <c r="M46" s="227">
        <v>0</v>
      </c>
      <c r="N46" s="227">
        <v>0</v>
      </c>
      <c r="O46" s="227">
        <v>0</v>
      </c>
      <c r="P46" s="252">
        <v>0</v>
      </c>
      <c r="Q46" s="227">
        <v>0</v>
      </c>
      <c r="R46" s="227">
        <v>0</v>
      </c>
      <c r="S46" s="227">
        <v>0</v>
      </c>
      <c r="T46" s="227">
        <v>0</v>
      </c>
      <c r="U46" s="227">
        <v>0</v>
      </c>
      <c r="V46" s="227">
        <v>0</v>
      </c>
      <c r="W46" s="227">
        <v>0</v>
      </c>
      <c r="X46" s="227">
        <v>0</v>
      </c>
      <c r="Y46" s="252">
        <v>0</v>
      </c>
      <c r="Z46" s="252">
        <v>0</v>
      </c>
      <c r="AA46" s="252">
        <v>0</v>
      </c>
      <c r="AB46" s="227">
        <v>0</v>
      </c>
      <c r="AC46" s="227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>
        <v>0</v>
      </c>
      <c r="AK46" s="227">
        <v>0</v>
      </c>
      <c r="AL46" s="227">
        <v>0</v>
      </c>
      <c r="AM46" s="227">
        <v>0</v>
      </c>
      <c r="AN46" s="227">
        <v>0</v>
      </c>
      <c r="AO46" s="228">
        <v>4.407522</v>
      </c>
      <c r="AP46" s="227">
        <v>0</v>
      </c>
      <c r="AQ46" s="227">
        <v>0</v>
      </c>
      <c r="AR46" s="227">
        <v>0</v>
      </c>
      <c r="AS46" s="227">
        <v>0</v>
      </c>
      <c r="AT46" s="227">
        <v>0</v>
      </c>
      <c r="AU46" s="227">
        <v>0</v>
      </c>
      <c r="AV46" s="227">
        <v>0</v>
      </c>
      <c r="AW46" s="227">
        <v>0</v>
      </c>
      <c r="AX46" s="227">
        <v>0</v>
      </c>
      <c r="AY46" s="227">
        <v>0</v>
      </c>
      <c r="AZ46" s="227">
        <v>0</v>
      </c>
      <c r="BA46" s="227">
        <v>0</v>
      </c>
      <c r="BB46" s="227">
        <v>0</v>
      </c>
      <c r="BC46" s="252">
        <v>0</v>
      </c>
      <c r="BD46" s="264">
        <v>2.69</v>
      </c>
      <c r="BE46" s="264">
        <v>7.097522</v>
      </c>
      <c r="BF46" s="271"/>
      <c r="BG46" s="271"/>
    </row>
    <row r="47" s="191" customFormat="1" spans="1:59">
      <c r="A47" s="233" t="s">
        <v>625</v>
      </c>
      <c r="B47" s="245" t="s">
        <v>114</v>
      </c>
      <c r="C47" s="231">
        <v>0</v>
      </c>
      <c r="D47" s="224">
        <v>0</v>
      </c>
      <c r="E47" s="231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51">
        <v>0</v>
      </c>
      <c r="Q47" s="231">
        <v>0</v>
      </c>
      <c r="R47" s="231">
        <v>0</v>
      </c>
      <c r="S47" s="231">
        <v>0</v>
      </c>
      <c r="T47" s="231">
        <v>0</v>
      </c>
      <c r="U47" s="231">
        <v>0</v>
      </c>
      <c r="V47" s="231">
        <v>0</v>
      </c>
      <c r="W47" s="231">
        <v>0</v>
      </c>
      <c r="X47" s="231">
        <v>0</v>
      </c>
      <c r="Y47" s="251">
        <v>0</v>
      </c>
      <c r="Z47" s="251">
        <v>0</v>
      </c>
      <c r="AA47" s="251">
        <v>0</v>
      </c>
      <c r="AB47" s="231">
        <v>0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1">
        <v>0</v>
      </c>
      <c r="AJ47" s="231">
        <v>0</v>
      </c>
      <c r="AK47" s="231">
        <v>0</v>
      </c>
      <c r="AL47" s="231">
        <v>0</v>
      </c>
      <c r="AM47" s="231">
        <v>0</v>
      </c>
      <c r="AN47" s="231">
        <v>0</v>
      </c>
      <c r="AO47" s="231">
        <v>0</v>
      </c>
      <c r="AP47" s="221">
        <v>0</v>
      </c>
      <c r="AQ47" s="251">
        <v>0</v>
      </c>
      <c r="AR47" s="251">
        <v>0</v>
      </c>
      <c r="AS47" s="231">
        <v>0</v>
      </c>
      <c r="AT47" s="231">
        <v>0</v>
      </c>
      <c r="AU47" s="231">
        <v>0</v>
      </c>
      <c r="AV47" s="231">
        <v>0</v>
      </c>
      <c r="AW47" s="231">
        <v>0</v>
      </c>
      <c r="AX47" s="231">
        <v>0</v>
      </c>
      <c r="AY47" s="231">
        <v>0</v>
      </c>
      <c r="AZ47" s="231">
        <v>0</v>
      </c>
      <c r="BA47" s="231">
        <v>0</v>
      </c>
      <c r="BB47" s="231">
        <v>0</v>
      </c>
      <c r="BC47" s="251">
        <v>0</v>
      </c>
      <c r="BD47" s="265">
        <v>0</v>
      </c>
      <c r="BE47" s="265">
        <v>0</v>
      </c>
      <c r="BF47" s="269"/>
      <c r="BG47" s="269"/>
    </row>
    <row r="48" s="191" customFormat="1" spans="1:59">
      <c r="A48" s="233" t="s">
        <v>626</v>
      </c>
      <c r="B48" s="245" t="s">
        <v>117</v>
      </c>
      <c r="C48" s="231">
        <v>12.401898</v>
      </c>
      <c r="D48" s="224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251">
        <v>0</v>
      </c>
      <c r="Q48" s="231">
        <v>0</v>
      </c>
      <c r="R48" s="231">
        <v>0</v>
      </c>
      <c r="S48" s="231">
        <v>0</v>
      </c>
      <c r="T48" s="231">
        <v>0</v>
      </c>
      <c r="U48" s="231">
        <v>0</v>
      </c>
      <c r="V48" s="231">
        <v>0</v>
      </c>
      <c r="W48" s="231">
        <v>0</v>
      </c>
      <c r="X48" s="231">
        <v>0</v>
      </c>
      <c r="Y48" s="251">
        <v>0</v>
      </c>
      <c r="Z48" s="251">
        <v>0</v>
      </c>
      <c r="AA48" s="251">
        <v>0</v>
      </c>
      <c r="AB48" s="231">
        <v>0</v>
      </c>
      <c r="AC48" s="231">
        <v>0</v>
      </c>
      <c r="AD48" s="231">
        <v>0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1">
        <v>0</v>
      </c>
      <c r="AK48" s="231">
        <v>0</v>
      </c>
      <c r="AL48" s="231">
        <v>0</v>
      </c>
      <c r="AM48" s="231">
        <v>0</v>
      </c>
      <c r="AN48" s="231">
        <v>0</v>
      </c>
      <c r="AO48" s="231">
        <v>0</v>
      </c>
      <c r="AP48" s="251">
        <v>0</v>
      </c>
      <c r="AQ48" s="221">
        <v>12.401898</v>
      </c>
      <c r="AR48" s="251">
        <v>0</v>
      </c>
      <c r="AS48" s="231">
        <v>0</v>
      </c>
      <c r="AT48" s="231">
        <v>0</v>
      </c>
      <c r="AU48" s="231">
        <v>0</v>
      </c>
      <c r="AV48" s="231">
        <v>0</v>
      </c>
      <c r="AW48" s="231">
        <v>0</v>
      </c>
      <c r="AX48" s="231">
        <v>0</v>
      </c>
      <c r="AY48" s="231">
        <v>0</v>
      </c>
      <c r="AZ48" s="231">
        <v>0</v>
      </c>
      <c r="BA48" s="231">
        <v>0</v>
      </c>
      <c r="BB48" s="231">
        <v>0</v>
      </c>
      <c r="BC48" s="251">
        <v>0</v>
      </c>
      <c r="BD48" s="265">
        <v>0.65</v>
      </c>
      <c r="BE48" s="265">
        <v>13.051898</v>
      </c>
      <c r="BF48" s="269"/>
      <c r="BG48" s="269"/>
    </row>
    <row r="49" s="191" customFormat="1" spans="1:59">
      <c r="A49" s="233" t="s">
        <v>627</v>
      </c>
      <c r="B49" s="245" t="s">
        <v>120</v>
      </c>
      <c r="C49" s="231">
        <v>10.963878</v>
      </c>
      <c r="D49" s="224">
        <v>0</v>
      </c>
      <c r="E49" s="231"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51">
        <v>0</v>
      </c>
      <c r="Q49" s="231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51">
        <v>0</v>
      </c>
      <c r="Z49" s="251">
        <v>0</v>
      </c>
      <c r="AA49" s="25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O49" s="231">
        <v>0</v>
      </c>
      <c r="AP49" s="251">
        <v>0</v>
      </c>
      <c r="AQ49" s="251">
        <v>0</v>
      </c>
      <c r="AR49" s="221">
        <v>10.963878</v>
      </c>
      <c r="AS49" s="231">
        <v>0</v>
      </c>
      <c r="AT49" s="231">
        <v>0</v>
      </c>
      <c r="AU49" s="231">
        <v>0</v>
      </c>
      <c r="AV49" s="231">
        <v>0</v>
      </c>
      <c r="AW49" s="231">
        <v>0</v>
      </c>
      <c r="AX49" s="231">
        <v>0</v>
      </c>
      <c r="AY49" s="231">
        <v>0</v>
      </c>
      <c r="AZ49" s="231">
        <v>0</v>
      </c>
      <c r="BA49" s="231">
        <v>0</v>
      </c>
      <c r="BB49" s="231">
        <v>0</v>
      </c>
      <c r="BC49" s="251">
        <v>0</v>
      </c>
      <c r="BD49" s="265">
        <v>0</v>
      </c>
      <c r="BE49" s="265">
        <v>10.963878</v>
      </c>
      <c r="BF49" s="269"/>
      <c r="BG49" s="269"/>
    </row>
    <row r="50" s="191" customFormat="1" spans="1:59">
      <c r="A50" s="233" t="s">
        <v>628</v>
      </c>
      <c r="B50" s="234" t="s">
        <v>123</v>
      </c>
      <c r="C50" s="231">
        <v>610.954627</v>
      </c>
      <c r="D50" s="224">
        <v>0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251">
        <v>12.47</v>
      </c>
      <c r="Q50" s="231">
        <v>0</v>
      </c>
      <c r="R50" s="231">
        <v>0</v>
      </c>
      <c r="S50" s="231">
        <v>0</v>
      </c>
      <c r="T50" s="231">
        <v>0</v>
      </c>
      <c r="U50" s="231">
        <v>0.14</v>
      </c>
      <c r="V50" s="231">
        <v>0</v>
      </c>
      <c r="W50" s="231">
        <v>0</v>
      </c>
      <c r="X50" s="231">
        <v>0</v>
      </c>
      <c r="Y50" s="251">
        <v>12.33</v>
      </c>
      <c r="Z50" s="251">
        <v>11.33</v>
      </c>
      <c r="AA50" s="251">
        <v>1</v>
      </c>
      <c r="AB50" s="231">
        <v>0</v>
      </c>
      <c r="AC50" s="231">
        <v>0</v>
      </c>
      <c r="AD50" s="231">
        <v>0</v>
      </c>
      <c r="AE50" s="231">
        <v>0</v>
      </c>
      <c r="AF50" s="231">
        <v>0</v>
      </c>
      <c r="AG50" s="231">
        <v>0</v>
      </c>
      <c r="AH50" s="231">
        <v>0</v>
      </c>
      <c r="AI50" s="231">
        <v>0</v>
      </c>
      <c r="AJ50" s="231">
        <v>0</v>
      </c>
      <c r="AK50" s="231">
        <v>0</v>
      </c>
      <c r="AL50" s="231">
        <v>0</v>
      </c>
      <c r="AM50" s="231">
        <v>0</v>
      </c>
      <c r="AN50" s="231">
        <v>0</v>
      </c>
      <c r="AO50" s="231">
        <v>0</v>
      </c>
      <c r="AP50" s="231">
        <v>0</v>
      </c>
      <c r="AQ50" s="231">
        <v>0</v>
      </c>
      <c r="AR50" s="231">
        <v>0</v>
      </c>
      <c r="AS50" s="221">
        <v>598.484627</v>
      </c>
      <c r="AT50" s="231">
        <v>0</v>
      </c>
      <c r="AU50" s="231">
        <v>0</v>
      </c>
      <c r="AV50" s="231">
        <v>0</v>
      </c>
      <c r="AW50" s="231">
        <v>0</v>
      </c>
      <c r="AX50" s="231">
        <v>0</v>
      </c>
      <c r="AY50" s="231">
        <v>0</v>
      </c>
      <c r="AZ50" s="231">
        <v>0</v>
      </c>
      <c r="BA50" s="231">
        <v>0</v>
      </c>
      <c r="BB50" s="231">
        <v>0</v>
      </c>
      <c r="BC50" s="251">
        <v>12.47</v>
      </c>
      <c r="BD50" s="265">
        <v>388.77779</v>
      </c>
      <c r="BE50" s="265">
        <v>999.732417</v>
      </c>
      <c r="BF50" s="269"/>
      <c r="BG50" s="269"/>
    </row>
    <row r="51" s="191" customFormat="1" spans="1:59">
      <c r="A51" s="233" t="s">
        <v>629</v>
      </c>
      <c r="B51" s="234" t="s">
        <v>126</v>
      </c>
      <c r="C51" s="231">
        <v>134.973837</v>
      </c>
      <c r="D51" s="224">
        <v>0</v>
      </c>
      <c r="E51" s="231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51">
        <v>1.35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51">
        <v>1.35</v>
      </c>
      <c r="Z51" s="251">
        <v>1.35</v>
      </c>
      <c r="AA51" s="25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0</v>
      </c>
      <c r="AJ51" s="231">
        <v>0</v>
      </c>
      <c r="AK51" s="231">
        <v>0</v>
      </c>
      <c r="AL51" s="231">
        <v>0</v>
      </c>
      <c r="AM51" s="231">
        <v>0</v>
      </c>
      <c r="AN51" s="231">
        <v>0</v>
      </c>
      <c r="AO51" s="231">
        <v>0</v>
      </c>
      <c r="AP51" s="231">
        <v>0</v>
      </c>
      <c r="AQ51" s="231">
        <v>0</v>
      </c>
      <c r="AR51" s="231">
        <v>0</v>
      </c>
      <c r="AS51" s="231">
        <v>0</v>
      </c>
      <c r="AT51" s="221">
        <v>133.623837</v>
      </c>
      <c r="AU51" s="231">
        <v>0</v>
      </c>
      <c r="AV51" s="231">
        <v>0</v>
      </c>
      <c r="AW51" s="231">
        <v>0</v>
      </c>
      <c r="AX51" s="231">
        <v>0</v>
      </c>
      <c r="AY51" s="231">
        <v>0</v>
      </c>
      <c r="AZ51" s="231">
        <v>0</v>
      </c>
      <c r="BA51" s="231">
        <v>0</v>
      </c>
      <c r="BB51" s="231">
        <v>0</v>
      </c>
      <c r="BC51" s="251">
        <v>1.35</v>
      </c>
      <c r="BD51" s="265">
        <v>57.138</v>
      </c>
      <c r="BE51" s="265">
        <v>192.111837</v>
      </c>
      <c r="BF51" s="269"/>
      <c r="BG51" s="269"/>
    </row>
    <row r="52" s="191" customFormat="1" spans="1:59">
      <c r="A52" s="233" t="s">
        <v>630</v>
      </c>
      <c r="B52" s="234" t="s">
        <v>129</v>
      </c>
      <c r="C52" s="231">
        <v>36.096492</v>
      </c>
      <c r="D52" s="224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251">
        <v>0.24</v>
      </c>
      <c r="Q52" s="231">
        <v>0</v>
      </c>
      <c r="R52" s="231">
        <v>0</v>
      </c>
      <c r="S52" s="231">
        <v>0</v>
      </c>
      <c r="T52" s="231">
        <v>0</v>
      </c>
      <c r="U52" s="231">
        <v>0.24</v>
      </c>
      <c r="V52" s="231">
        <v>0</v>
      </c>
      <c r="W52" s="231">
        <v>0</v>
      </c>
      <c r="X52" s="231">
        <v>0</v>
      </c>
      <c r="Y52" s="251">
        <v>0</v>
      </c>
      <c r="Z52" s="251">
        <v>0</v>
      </c>
      <c r="AA52" s="251">
        <v>0</v>
      </c>
      <c r="AB52" s="231">
        <v>0</v>
      </c>
      <c r="AC52" s="231">
        <v>0</v>
      </c>
      <c r="AD52" s="231">
        <v>0</v>
      </c>
      <c r="AE52" s="231">
        <v>0</v>
      </c>
      <c r="AF52" s="231">
        <v>0</v>
      </c>
      <c r="AG52" s="231">
        <v>0</v>
      </c>
      <c r="AH52" s="231">
        <v>0</v>
      </c>
      <c r="AI52" s="231">
        <v>0</v>
      </c>
      <c r="AJ52" s="231">
        <v>0</v>
      </c>
      <c r="AK52" s="231">
        <v>0</v>
      </c>
      <c r="AL52" s="231">
        <v>0</v>
      </c>
      <c r="AM52" s="231">
        <v>0</v>
      </c>
      <c r="AN52" s="231">
        <v>0</v>
      </c>
      <c r="AO52" s="231">
        <v>0</v>
      </c>
      <c r="AP52" s="231">
        <v>0</v>
      </c>
      <c r="AQ52" s="231">
        <v>0</v>
      </c>
      <c r="AR52" s="231">
        <v>0</v>
      </c>
      <c r="AS52" s="231">
        <v>0</v>
      </c>
      <c r="AT52" s="231">
        <v>0</v>
      </c>
      <c r="AU52" s="221">
        <v>35.856492</v>
      </c>
      <c r="AV52" s="231">
        <v>0</v>
      </c>
      <c r="AW52" s="231">
        <v>0</v>
      </c>
      <c r="AX52" s="231">
        <v>0</v>
      </c>
      <c r="AY52" s="231">
        <v>0</v>
      </c>
      <c r="AZ52" s="231">
        <v>0</v>
      </c>
      <c r="BA52" s="231">
        <v>0</v>
      </c>
      <c r="BB52" s="231">
        <v>0</v>
      </c>
      <c r="BC52" s="251">
        <v>0.24</v>
      </c>
      <c r="BD52" s="265">
        <v>-0.24</v>
      </c>
      <c r="BE52" s="265">
        <v>35.856492</v>
      </c>
      <c r="BF52" s="269"/>
      <c r="BG52" s="269"/>
    </row>
    <row r="53" s="191" customFormat="1" spans="1:59">
      <c r="A53" s="233" t="s">
        <v>631</v>
      </c>
      <c r="B53" s="234" t="s">
        <v>132</v>
      </c>
      <c r="C53" s="231">
        <v>0.489296</v>
      </c>
      <c r="D53" s="224">
        <v>0</v>
      </c>
      <c r="E53" s="231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251">
        <v>0</v>
      </c>
      <c r="Q53" s="231">
        <v>0</v>
      </c>
      <c r="R53" s="231">
        <v>0</v>
      </c>
      <c r="S53" s="231">
        <v>0</v>
      </c>
      <c r="T53" s="231">
        <v>0</v>
      </c>
      <c r="U53" s="231">
        <v>0</v>
      </c>
      <c r="V53" s="231">
        <v>0</v>
      </c>
      <c r="W53" s="231">
        <v>0</v>
      </c>
      <c r="X53" s="231">
        <v>0</v>
      </c>
      <c r="Y53" s="251">
        <v>0</v>
      </c>
      <c r="Z53" s="251">
        <v>0</v>
      </c>
      <c r="AA53" s="251">
        <v>0</v>
      </c>
      <c r="AB53" s="231">
        <v>0</v>
      </c>
      <c r="AC53" s="231">
        <v>0</v>
      </c>
      <c r="AD53" s="231">
        <v>0</v>
      </c>
      <c r="AE53" s="231">
        <v>0</v>
      </c>
      <c r="AF53" s="231">
        <v>0</v>
      </c>
      <c r="AG53" s="231">
        <v>0</v>
      </c>
      <c r="AH53" s="231">
        <v>0</v>
      </c>
      <c r="AI53" s="231">
        <v>0</v>
      </c>
      <c r="AJ53" s="231">
        <v>0</v>
      </c>
      <c r="AK53" s="231">
        <v>0</v>
      </c>
      <c r="AL53" s="231">
        <v>0</v>
      </c>
      <c r="AM53" s="231">
        <v>0</v>
      </c>
      <c r="AN53" s="231">
        <v>0</v>
      </c>
      <c r="AO53" s="231">
        <v>0</v>
      </c>
      <c r="AP53" s="231">
        <v>0</v>
      </c>
      <c r="AQ53" s="231">
        <v>0</v>
      </c>
      <c r="AR53" s="231">
        <v>0</v>
      </c>
      <c r="AS53" s="231">
        <v>0</v>
      </c>
      <c r="AT53" s="231">
        <v>0</v>
      </c>
      <c r="AU53" s="231">
        <v>0</v>
      </c>
      <c r="AV53" s="221">
        <v>0.489296</v>
      </c>
      <c r="AW53" s="231">
        <v>0</v>
      </c>
      <c r="AX53" s="231">
        <v>0</v>
      </c>
      <c r="AY53" s="231">
        <v>0</v>
      </c>
      <c r="AZ53" s="231">
        <v>0</v>
      </c>
      <c r="BA53" s="231">
        <v>0</v>
      </c>
      <c r="BB53" s="231">
        <v>0</v>
      </c>
      <c r="BC53" s="251">
        <v>0</v>
      </c>
      <c r="BD53" s="265">
        <v>0</v>
      </c>
      <c r="BE53" s="265">
        <v>0.489296</v>
      </c>
      <c r="BF53" s="269"/>
      <c r="BG53" s="269"/>
    </row>
    <row r="54" s="191" customFormat="1" spans="1:59">
      <c r="A54" s="233" t="s">
        <v>632</v>
      </c>
      <c r="B54" s="234" t="s">
        <v>135</v>
      </c>
      <c r="C54" s="231">
        <v>0</v>
      </c>
      <c r="D54" s="224">
        <v>0</v>
      </c>
      <c r="E54" s="231">
        <v>0</v>
      </c>
      <c r="F54" s="231">
        <v>0</v>
      </c>
      <c r="G54" s="231">
        <v>0</v>
      </c>
      <c r="H54" s="231">
        <v>0</v>
      </c>
      <c r="I54" s="231">
        <v>0</v>
      </c>
      <c r="J54" s="231">
        <v>0</v>
      </c>
      <c r="K54" s="231">
        <v>0</v>
      </c>
      <c r="L54" s="231">
        <v>0</v>
      </c>
      <c r="M54" s="231">
        <v>0</v>
      </c>
      <c r="N54" s="231">
        <v>0</v>
      </c>
      <c r="O54" s="231">
        <v>0</v>
      </c>
      <c r="P54" s="25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231">
        <v>0</v>
      </c>
      <c r="Y54" s="251">
        <v>0</v>
      </c>
      <c r="Z54" s="251">
        <v>0</v>
      </c>
      <c r="AA54" s="251">
        <v>0</v>
      </c>
      <c r="AB54" s="231">
        <v>0</v>
      </c>
      <c r="AC54" s="231">
        <v>0</v>
      </c>
      <c r="AD54" s="231">
        <v>0</v>
      </c>
      <c r="AE54" s="231">
        <v>0</v>
      </c>
      <c r="AF54" s="231">
        <v>0</v>
      </c>
      <c r="AG54" s="231">
        <v>0</v>
      </c>
      <c r="AH54" s="231">
        <v>0</v>
      </c>
      <c r="AI54" s="231">
        <v>0</v>
      </c>
      <c r="AJ54" s="231">
        <v>0</v>
      </c>
      <c r="AK54" s="231">
        <v>0</v>
      </c>
      <c r="AL54" s="231">
        <v>0</v>
      </c>
      <c r="AM54" s="231">
        <v>0</v>
      </c>
      <c r="AN54" s="231">
        <v>0</v>
      </c>
      <c r="AO54" s="231">
        <v>0</v>
      </c>
      <c r="AP54" s="231">
        <v>0</v>
      </c>
      <c r="AQ54" s="231">
        <v>0</v>
      </c>
      <c r="AR54" s="231">
        <v>0</v>
      </c>
      <c r="AS54" s="231">
        <v>0</v>
      </c>
      <c r="AT54" s="231">
        <v>0</v>
      </c>
      <c r="AU54" s="231">
        <v>0</v>
      </c>
      <c r="AV54" s="231">
        <v>0</v>
      </c>
      <c r="AW54" s="221">
        <v>0</v>
      </c>
      <c r="AX54" s="231">
        <v>0</v>
      </c>
      <c r="AY54" s="231">
        <v>0</v>
      </c>
      <c r="AZ54" s="231">
        <v>0</v>
      </c>
      <c r="BA54" s="231">
        <v>0</v>
      </c>
      <c r="BB54" s="231">
        <v>0</v>
      </c>
      <c r="BC54" s="251">
        <v>0</v>
      </c>
      <c r="BD54" s="265">
        <v>0</v>
      </c>
      <c r="BE54" s="265">
        <v>0</v>
      </c>
      <c r="BF54" s="269"/>
      <c r="BG54" s="269"/>
    </row>
    <row r="55" s="191" customFormat="1" spans="1:59">
      <c r="A55" s="233" t="s">
        <v>633</v>
      </c>
      <c r="B55" s="234" t="s">
        <v>138</v>
      </c>
      <c r="C55" s="231">
        <v>0.270477</v>
      </c>
      <c r="D55" s="224">
        <v>0</v>
      </c>
      <c r="E55" s="231">
        <v>0</v>
      </c>
      <c r="F55" s="231">
        <v>0</v>
      </c>
      <c r="G55" s="231">
        <v>0</v>
      </c>
      <c r="H55" s="231">
        <v>0</v>
      </c>
      <c r="I55" s="231">
        <v>0</v>
      </c>
      <c r="J55" s="231">
        <v>0</v>
      </c>
      <c r="K55" s="231">
        <v>0</v>
      </c>
      <c r="L55" s="231">
        <v>0</v>
      </c>
      <c r="M55" s="231">
        <v>0</v>
      </c>
      <c r="N55" s="231">
        <v>0</v>
      </c>
      <c r="O55" s="231">
        <v>0</v>
      </c>
      <c r="P55" s="251">
        <v>0</v>
      </c>
      <c r="Q55" s="231">
        <v>0</v>
      </c>
      <c r="R55" s="231">
        <v>0</v>
      </c>
      <c r="S55" s="231">
        <v>0</v>
      </c>
      <c r="T55" s="231">
        <v>0</v>
      </c>
      <c r="U55" s="231">
        <v>0</v>
      </c>
      <c r="V55" s="231">
        <v>0</v>
      </c>
      <c r="W55" s="231">
        <v>0</v>
      </c>
      <c r="X55" s="231">
        <v>0</v>
      </c>
      <c r="Y55" s="251">
        <v>0</v>
      </c>
      <c r="Z55" s="251">
        <v>0</v>
      </c>
      <c r="AA55" s="251">
        <v>0</v>
      </c>
      <c r="AB55" s="231">
        <v>0</v>
      </c>
      <c r="AC55" s="231">
        <v>0</v>
      </c>
      <c r="AD55" s="231">
        <v>0</v>
      </c>
      <c r="AE55" s="231">
        <v>0</v>
      </c>
      <c r="AF55" s="231">
        <v>0</v>
      </c>
      <c r="AG55" s="231">
        <v>0</v>
      </c>
      <c r="AH55" s="231">
        <v>0</v>
      </c>
      <c r="AI55" s="231">
        <v>0</v>
      </c>
      <c r="AJ55" s="231">
        <v>0</v>
      </c>
      <c r="AK55" s="231">
        <v>0</v>
      </c>
      <c r="AL55" s="231">
        <v>0</v>
      </c>
      <c r="AM55" s="231">
        <v>0</v>
      </c>
      <c r="AN55" s="231">
        <v>0</v>
      </c>
      <c r="AO55" s="231">
        <v>0</v>
      </c>
      <c r="AP55" s="231">
        <v>0</v>
      </c>
      <c r="AQ55" s="231">
        <v>0</v>
      </c>
      <c r="AR55" s="231">
        <v>0</v>
      </c>
      <c r="AS55" s="231">
        <v>0</v>
      </c>
      <c r="AT55" s="231">
        <v>0</v>
      </c>
      <c r="AU55" s="231">
        <v>0</v>
      </c>
      <c r="AV55" s="231">
        <v>0</v>
      </c>
      <c r="AW55" s="231">
        <v>0</v>
      </c>
      <c r="AX55" s="221">
        <v>0.270477</v>
      </c>
      <c r="AY55" s="231">
        <v>0</v>
      </c>
      <c r="AZ55" s="231">
        <v>0</v>
      </c>
      <c r="BA55" s="231">
        <v>0</v>
      </c>
      <c r="BB55" s="231">
        <v>0</v>
      </c>
      <c r="BC55" s="251">
        <v>0</v>
      </c>
      <c r="BD55" s="265">
        <v>0</v>
      </c>
      <c r="BE55" s="265">
        <v>0.270477</v>
      </c>
      <c r="BF55" s="269"/>
      <c r="BG55" s="269"/>
    </row>
    <row r="56" s="191" customFormat="1" spans="1:59">
      <c r="A56" s="233" t="s">
        <v>634</v>
      </c>
      <c r="B56" s="234" t="s">
        <v>141</v>
      </c>
      <c r="C56" s="231">
        <v>1342.45341</v>
      </c>
      <c r="D56" s="224">
        <v>0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  <c r="K56" s="231">
        <v>0</v>
      </c>
      <c r="L56" s="231">
        <v>0</v>
      </c>
      <c r="M56" s="231">
        <v>0</v>
      </c>
      <c r="N56" s="231">
        <v>0</v>
      </c>
      <c r="O56" s="231">
        <v>0</v>
      </c>
      <c r="P56" s="251">
        <v>10.33</v>
      </c>
      <c r="Q56" s="231">
        <v>0</v>
      </c>
      <c r="R56" s="231">
        <v>0</v>
      </c>
      <c r="S56" s="231">
        <v>0</v>
      </c>
      <c r="T56" s="231">
        <v>0</v>
      </c>
      <c r="U56" s="231">
        <v>0</v>
      </c>
      <c r="V56" s="231">
        <v>0</v>
      </c>
      <c r="W56" s="231">
        <v>0</v>
      </c>
      <c r="X56" s="231">
        <v>0</v>
      </c>
      <c r="Y56" s="251">
        <v>10.33</v>
      </c>
      <c r="Z56" s="251">
        <v>0.63</v>
      </c>
      <c r="AA56" s="251">
        <v>9.7</v>
      </c>
      <c r="AB56" s="231">
        <v>0</v>
      </c>
      <c r="AC56" s="231">
        <v>0</v>
      </c>
      <c r="AD56" s="231">
        <v>0</v>
      </c>
      <c r="AE56" s="231">
        <v>0</v>
      </c>
      <c r="AF56" s="231">
        <v>0</v>
      </c>
      <c r="AG56" s="231">
        <v>0</v>
      </c>
      <c r="AH56" s="231">
        <v>0</v>
      </c>
      <c r="AI56" s="231">
        <v>0</v>
      </c>
      <c r="AJ56" s="231">
        <v>0</v>
      </c>
      <c r="AK56" s="231">
        <v>0</v>
      </c>
      <c r="AL56" s="231">
        <v>0</v>
      </c>
      <c r="AM56" s="231">
        <v>0</v>
      </c>
      <c r="AN56" s="231">
        <v>0</v>
      </c>
      <c r="AO56" s="231">
        <v>0</v>
      </c>
      <c r="AP56" s="231">
        <v>0</v>
      </c>
      <c r="AQ56" s="231">
        <v>0</v>
      </c>
      <c r="AR56" s="231">
        <v>0</v>
      </c>
      <c r="AS56" s="231">
        <v>0</v>
      </c>
      <c r="AT56" s="231">
        <v>0</v>
      </c>
      <c r="AU56" s="231">
        <v>0</v>
      </c>
      <c r="AV56" s="231">
        <v>0</v>
      </c>
      <c r="AW56" s="231">
        <v>0</v>
      </c>
      <c r="AX56" s="231">
        <v>0</v>
      </c>
      <c r="AY56" s="221">
        <v>1332.12341</v>
      </c>
      <c r="AZ56" s="231">
        <v>0</v>
      </c>
      <c r="BA56" s="231">
        <v>0</v>
      </c>
      <c r="BB56" s="231">
        <v>0</v>
      </c>
      <c r="BC56" s="251">
        <v>10.33</v>
      </c>
      <c r="BD56" s="265">
        <v>-10.33</v>
      </c>
      <c r="BE56" s="265">
        <v>1332.12341</v>
      </c>
      <c r="BF56" s="269"/>
      <c r="BG56" s="269"/>
    </row>
    <row r="57" s="191" customFormat="1" spans="1:59">
      <c r="A57" s="233" t="s">
        <v>635</v>
      </c>
      <c r="B57" s="234" t="s">
        <v>144</v>
      </c>
      <c r="C57" s="231">
        <v>323.385116154993</v>
      </c>
      <c r="D57" s="224">
        <v>0</v>
      </c>
      <c r="E57" s="231">
        <v>0</v>
      </c>
      <c r="F57" s="231">
        <v>0</v>
      </c>
      <c r="G57" s="231">
        <v>0</v>
      </c>
      <c r="H57" s="231">
        <v>0</v>
      </c>
      <c r="I57" s="231">
        <v>0</v>
      </c>
      <c r="J57" s="231">
        <v>0</v>
      </c>
      <c r="K57" s="231">
        <v>0</v>
      </c>
      <c r="L57" s="231">
        <v>0</v>
      </c>
      <c r="M57" s="231">
        <v>0</v>
      </c>
      <c r="N57" s="231">
        <v>0</v>
      </c>
      <c r="O57" s="231">
        <v>0</v>
      </c>
      <c r="P57" s="251">
        <v>0</v>
      </c>
      <c r="Q57" s="231">
        <v>0</v>
      </c>
      <c r="R57" s="231">
        <v>0</v>
      </c>
      <c r="S57" s="231">
        <v>0</v>
      </c>
      <c r="T57" s="231">
        <v>0</v>
      </c>
      <c r="U57" s="231">
        <v>0</v>
      </c>
      <c r="V57" s="231">
        <v>0</v>
      </c>
      <c r="W57" s="231">
        <v>0</v>
      </c>
      <c r="X57" s="231">
        <v>0</v>
      </c>
      <c r="Y57" s="251">
        <v>0</v>
      </c>
      <c r="Z57" s="251">
        <v>0</v>
      </c>
      <c r="AA57" s="251">
        <v>0</v>
      </c>
      <c r="AB57" s="231">
        <v>0</v>
      </c>
      <c r="AC57" s="231">
        <v>0</v>
      </c>
      <c r="AD57" s="231">
        <v>0</v>
      </c>
      <c r="AE57" s="231">
        <v>0</v>
      </c>
      <c r="AF57" s="231">
        <v>0</v>
      </c>
      <c r="AG57" s="231">
        <v>0</v>
      </c>
      <c r="AH57" s="231">
        <v>0</v>
      </c>
      <c r="AI57" s="231">
        <v>0</v>
      </c>
      <c r="AJ57" s="231">
        <v>0</v>
      </c>
      <c r="AK57" s="231">
        <v>0</v>
      </c>
      <c r="AL57" s="231">
        <v>0</v>
      </c>
      <c r="AM57" s="231">
        <v>0</v>
      </c>
      <c r="AN57" s="231">
        <v>0</v>
      </c>
      <c r="AO57" s="231">
        <v>0</v>
      </c>
      <c r="AP57" s="231">
        <v>0</v>
      </c>
      <c r="AQ57" s="231">
        <v>0</v>
      </c>
      <c r="AR57" s="231">
        <v>0</v>
      </c>
      <c r="AS57" s="231">
        <v>0</v>
      </c>
      <c r="AT57" s="231">
        <v>0</v>
      </c>
      <c r="AU57" s="231">
        <v>0</v>
      </c>
      <c r="AV57" s="231">
        <v>0</v>
      </c>
      <c r="AW57" s="231">
        <v>0</v>
      </c>
      <c r="AX57" s="231">
        <v>0</v>
      </c>
      <c r="AY57" s="231">
        <v>0</v>
      </c>
      <c r="AZ57" s="221">
        <v>323.385116154993</v>
      </c>
      <c r="BA57" s="231">
        <v>0</v>
      </c>
      <c r="BB57" s="231">
        <v>0</v>
      </c>
      <c r="BC57" s="251">
        <v>0</v>
      </c>
      <c r="BD57" s="265">
        <v>0</v>
      </c>
      <c r="BE57" s="265">
        <v>323.385116154993</v>
      </c>
      <c r="BF57" s="269"/>
      <c r="BG57" s="269"/>
    </row>
    <row r="58" s="191" customFormat="1" spans="1:59">
      <c r="A58" s="236" t="s">
        <v>636</v>
      </c>
      <c r="B58" s="237" t="s">
        <v>147</v>
      </c>
      <c r="C58" s="238">
        <v>17.670401</v>
      </c>
      <c r="D58" s="224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1">
        <v>0</v>
      </c>
      <c r="L58" s="238">
        <v>0</v>
      </c>
      <c r="M58" s="238">
        <v>0</v>
      </c>
      <c r="N58" s="238">
        <v>0</v>
      </c>
      <c r="O58" s="238">
        <v>0</v>
      </c>
      <c r="P58" s="253">
        <v>0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0</v>
      </c>
      <c r="W58" s="238">
        <v>0</v>
      </c>
      <c r="X58" s="238">
        <v>0</v>
      </c>
      <c r="Y58" s="251">
        <v>0</v>
      </c>
      <c r="Z58" s="253">
        <v>0</v>
      </c>
      <c r="AA58" s="253">
        <v>0</v>
      </c>
      <c r="AB58" s="238">
        <v>0</v>
      </c>
      <c r="AC58" s="238">
        <v>0</v>
      </c>
      <c r="AD58" s="238">
        <v>0</v>
      </c>
      <c r="AE58" s="238">
        <v>0</v>
      </c>
      <c r="AF58" s="238">
        <v>0</v>
      </c>
      <c r="AG58" s="238">
        <v>0</v>
      </c>
      <c r="AH58" s="238">
        <v>0</v>
      </c>
      <c r="AI58" s="238">
        <v>0</v>
      </c>
      <c r="AJ58" s="238">
        <v>0</v>
      </c>
      <c r="AK58" s="238">
        <v>0</v>
      </c>
      <c r="AL58" s="238">
        <v>0</v>
      </c>
      <c r="AM58" s="238">
        <v>0</v>
      </c>
      <c r="AN58" s="238">
        <v>0</v>
      </c>
      <c r="AO58" s="238">
        <v>0</v>
      </c>
      <c r="AP58" s="238">
        <v>0</v>
      </c>
      <c r="AQ58" s="238">
        <v>0</v>
      </c>
      <c r="AR58" s="238">
        <v>0</v>
      </c>
      <c r="AS58" s="238">
        <v>0</v>
      </c>
      <c r="AT58" s="238">
        <v>0</v>
      </c>
      <c r="AU58" s="238">
        <v>0</v>
      </c>
      <c r="AV58" s="238">
        <v>0</v>
      </c>
      <c r="AW58" s="238">
        <v>0</v>
      </c>
      <c r="AX58" s="238">
        <v>0</v>
      </c>
      <c r="AY58" s="238">
        <v>0</v>
      </c>
      <c r="AZ58" s="238">
        <v>0</v>
      </c>
      <c r="BA58" s="221">
        <v>17.670401</v>
      </c>
      <c r="BB58" s="238">
        <v>0</v>
      </c>
      <c r="BC58" s="253">
        <v>0</v>
      </c>
      <c r="BD58" s="266">
        <v>54.31</v>
      </c>
      <c r="BE58" s="266">
        <v>71.980401</v>
      </c>
      <c r="BF58" s="269"/>
      <c r="BG58" s="269"/>
    </row>
    <row r="59" s="191" customFormat="1" spans="1:59">
      <c r="A59" s="219" t="s">
        <v>637</v>
      </c>
      <c r="B59" s="239" t="s">
        <v>150</v>
      </c>
      <c r="C59" s="218">
        <v>0</v>
      </c>
      <c r="D59" s="218">
        <v>0</v>
      </c>
      <c r="E59" s="218">
        <v>0</v>
      </c>
      <c r="F59" s="218">
        <v>0</v>
      </c>
      <c r="G59" s="246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F59" s="218">
        <v>0</v>
      </c>
      <c r="AG59" s="218">
        <v>0</v>
      </c>
      <c r="AH59" s="218">
        <v>0</v>
      </c>
      <c r="AI59" s="218">
        <v>0</v>
      </c>
      <c r="AJ59" s="218">
        <v>0</v>
      </c>
      <c r="AK59" s="218">
        <v>0</v>
      </c>
      <c r="AL59" s="218">
        <v>0</v>
      </c>
      <c r="AM59" s="218">
        <v>0</v>
      </c>
      <c r="AN59" s="218">
        <v>0</v>
      </c>
      <c r="AO59" s="218">
        <v>0</v>
      </c>
      <c r="AP59" s="218">
        <v>0</v>
      </c>
      <c r="AQ59" s="218">
        <v>0</v>
      </c>
      <c r="AR59" s="218">
        <v>0</v>
      </c>
      <c r="AS59" s="218">
        <v>0</v>
      </c>
      <c r="AT59" s="218">
        <v>0</v>
      </c>
      <c r="AU59" s="218">
        <v>0</v>
      </c>
      <c r="AV59" s="218">
        <v>0</v>
      </c>
      <c r="AW59" s="218">
        <v>0</v>
      </c>
      <c r="AX59" s="218">
        <v>0</v>
      </c>
      <c r="AY59" s="218">
        <v>0</v>
      </c>
      <c r="AZ59" s="218">
        <v>0</v>
      </c>
      <c r="BA59" s="218">
        <v>0</v>
      </c>
      <c r="BB59" s="221">
        <v>0</v>
      </c>
      <c r="BC59" s="218">
        <v>0</v>
      </c>
      <c r="BD59" s="262">
        <v>0</v>
      </c>
      <c r="BE59" s="262">
        <v>0</v>
      </c>
      <c r="BF59" s="269"/>
      <c r="BG59" s="269"/>
    </row>
    <row r="60" s="191" customFormat="1" spans="1:59">
      <c r="A60" s="216" t="s">
        <v>638</v>
      </c>
      <c r="B60" s="216"/>
      <c r="C60" s="218"/>
      <c r="D60" s="218">
        <v>2.043</v>
      </c>
      <c r="E60" s="218">
        <v>0</v>
      </c>
      <c r="F60" s="218">
        <v>0</v>
      </c>
      <c r="G60" s="218">
        <v>0</v>
      </c>
      <c r="H60" s="218">
        <v>5.27709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158.78</v>
      </c>
      <c r="P60" s="218">
        <v>1967.98351</v>
      </c>
      <c r="Q60" s="218">
        <v>80.53</v>
      </c>
      <c r="R60" s="218">
        <v>0</v>
      </c>
      <c r="S60" s="218">
        <v>0</v>
      </c>
      <c r="T60" s="218">
        <v>515</v>
      </c>
      <c r="U60" s="218">
        <v>3.96472</v>
      </c>
      <c r="V60" s="218">
        <v>20.473</v>
      </c>
      <c r="W60" s="218">
        <v>102.08</v>
      </c>
      <c r="X60" s="218">
        <v>18.15</v>
      </c>
      <c r="Y60" s="218">
        <v>744.77</v>
      </c>
      <c r="Z60" s="218">
        <v>284.45</v>
      </c>
      <c r="AA60" s="218">
        <v>27.55</v>
      </c>
      <c r="AB60" s="218">
        <v>3.02</v>
      </c>
      <c r="AC60" s="218">
        <v>0</v>
      </c>
      <c r="AD60" s="218">
        <v>3.7</v>
      </c>
      <c r="AE60" s="218">
        <v>0</v>
      </c>
      <c r="AF60" s="218">
        <v>422.36</v>
      </c>
      <c r="AG60" s="218">
        <v>0</v>
      </c>
      <c r="AH60" s="218">
        <v>0</v>
      </c>
      <c r="AI60" s="218">
        <v>0</v>
      </c>
      <c r="AJ60" s="218">
        <v>0</v>
      </c>
      <c r="AK60" s="218">
        <v>0</v>
      </c>
      <c r="AL60" s="218">
        <v>1</v>
      </c>
      <c r="AM60" s="218">
        <v>0</v>
      </c>
      <c r="AN60" s="218">
        <v>0</v>
      </c>
      <c r="AO60" s="218">
        <v>2.69</v>
      </c>
      <c r="AP60" s="218">
        <v>0</v>
      </c>
      <c r="AQ60" s="218">
        <v>0.65</v>
      </c>
      <c r="AR60" s="218">
        <v>0</v>
      </c>
      <c r="AS60" s="218">
        <v>401.24779</v>
      </c>
      <c r="AT60" s="218">
        <v>58.488</v>
      </c>
      <c r="AU60" s="218">
        <v>0</v>
      </c>
      <c r="AV60" s="218">
        <v>0</v>
      </c>
      <c r="AW60" s="218">
        <v>0</v>
      </c>
      <c r="AX60" s="218">
        <v>0</v>
      </c>
      <c r="AY60" s="218">
        <v>0</v>
      </c>
      <c r="AZ60" s="218">
        <v>0</v>
      </c>
      <c r="BA60" s="218">
        <v>54.31</v>
      </c>
      <c r="BB60" s="218">
        <v>0</v>
      </c>
      <c r="BC60" s="218"/>
      <c r="BD60" s="262"/>
      <c r="BE60" s="262"/>
      <c r="BF60" s="269"/>
      <c r="BG60" s="269"/>
    </row>
    <row r="61" s="193" customFormat="1" spans="1:59">
      <c r="A61" s="216" t="s">
        <v>585</v>
      </c>
      <c r="B61" s="247"/>
      <c r="C61" s="218"/>
      <c r="D61" s="218">
        <v>56591.3692731682</v>
      </c>
      <c r="E61" s="218">
        <v>1020.482</v>
      </c>
      <c r="F61" s="218">
        <v>74.08723</v>
      </c>
      <c r="G61" s="218">
        <v>231.259117</v>
      </c>
      <c r="H61" s="218">
        <v>48238.2578313232</v>
      </c>
      <c r="I61" s="218">
        <v>512.886725</v>
      </c>
      <c r="J61" s="218">
        <v>0</v>
      </c>
      <c r="K61" s="218">
        <v>5864.184375</v>
      </c>
      <c r="L61" s="218">
        <v>0</v>
      </c>
      <c r="M61" s="218">
        <v>44.5040838450067</v>
      </c>
      <c r="N61" s="218">
        <v>0</v>
      </c>
      <c r="O61" s="218">
        <v>679.795141</v>
      </c>
      <c r="P61" s="218">
        <v>9822.85144983179</v>
      </c>
      <c r="Q61" s="218">
        <v>455.191245970947</v>
      </c>
      <c r="R61" s="218">
        <v>1080.133578</v>
      </c>
      <c r="S61" s="218">
        <v>863.088499</v>
      </c>
      <c r="T61" s="218">
        <v>515</v>
      </c>
      <c r="U61" s="218">
        <v>13.720572</v>
      </c>
      <c r="V61" s="218">
        <v>472.140793</v>
      </c>
      <c r="W61" s="218">
        <v>421.018372</v>
      </c>
      <c r="X61" s="218">
        <v>70.263983</v>
      </c>
      <c r="Y61" s="218">
        <v>2952.32918470585</v>
      </c>
      <c r="Z61" s="218">
        <v>1872.044629</v>
      </c>
      <c r="AA61" s="218">
        <v>135.764269</v>
      </c>
      <c r="AB61" s="218">
        <v>30.332509</v>
      </c>
      <c r="AC61" s="218">
        <v>32.223338</v>
      </c>
      <c r="AD61" s="218">
        <v>69.4621557058477</v>
      </c>
      <c r="AE61" s="218">
        <v>22.222181</v>
      </c>
      <c r="AF61" s="218">
        <v>643.576113</v>
      </c>
      <c r="AG61" s="218">
        <v>1.645676</v>
      </c>
      <c r="AH61" s="218">
        <v>0</v>
      </c>
      <c r="AI61" s="218">
        <v>1.572659</v>
      </c>
      <c r="AJ61" s="218">
        <v>24.573335</v>
      </c>
      <c r="AK61" s="218">
        <v>13.322334</v>
      </c>
      <c r="AL61" s="218">
        <v>98.492464</v>
      </c>
      <c r="AM61" s="218">
        <v>0</v>
      </c>
      <c r="AN61" s="218">
        <v>0</v>
      </c>
      <c r="AO61" s="218">
        <v>7.097522</v>
      </c>
      <c r="AP61" s="218">
        <v>0</v>
      </c>
      <c r="AQ61" s="218">
        <v>13.051898</v>
      </c>
      <c r="AR61" s="218">
        <v>10.963878</v>
      </c>
      <c r="AS61" s="218">
        <v>999.732417</v>
      </c>
      <c r="AT61" s="218">
        <v>192.111837</v>
      </c>
      <c r="AU61" s="218">
        <v>35.856492</v>
      </c>
      <c r="AV61" s="218">
        <v>0.489296</v>
      </c>
      <c r="AW61" s="218">
        <v>0</v>
      </c>
      <c r="AX61" s="218">
        <v>0.270477</v>
      </c>
      <c r="AY61" s="218">
        <v>1332.12341</v>
      </c>
      <c r="AZ61" s="218">
        <v>323.385116154993</v>
      </c>
      <c r="BA61" s="218">
        <v>71.980401</v>
      </c>
      <c r="BB61" s="218">
        <v>0</v>
      </c>
      <c r="BC61" s="218"/>
      <c r="BD61" s="262"/>
      <c r="BE61" s="262"/>
      <c r="BF61" s="272"/>
      <c r="BG61" s="272"/>
    </row>
    <row r="62" spans="16:16">
      <c r="P62" s="254"/>
    </row>
  </sheetData>
  <mergeCells count="62">
    <mergeCell ref="A1:BE1"/>
    <mergeCell ref="A2:BE2"/>
    <mergeCell ref="A3:BE3"/>
    <mergeCell ref="A4:BE4"/>
    <mergeCell ref="D5:BB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5:BC7"/>
    <mergeCell ref="BD5:BD7"/>
    <mergeCell ref="BE5:BE7"/>
  </mergeCells>
  <printOptions verticalCentered="1"/>
  <pageMargins left="0.590551181102362" right="0.196850393700787" top="0.78740157480315" bottom="0.78740157480315" header="0" footer="0"/>
  <pageSetup paperSize="8" scale="65" orientation="landscape" horizontalDpi="1200" verticalDpi="12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workbookViewId="0">
      <selection activeCell="G9" sqref="G9"/>
    </sheetView>
  </sheetViews>
  <sheetFormatPr defaultColWidth="9.8" defaultRowHeight="15"/>
  <cols>
    <col min="1" max="1" width="4.2" style="145" customWidth="1"/>
    <col min="2" max="2" width="18.8" style="146" customWidth="1"/>
    <col min="3" max="3" width="7.9" style="147" customWidth="1"/>
    <col min="4" max="4" width="7.3" style="147" customWidth="1"/>
    <col min="5" max="5" width="7.9" style="147" customWidth="1"/>
    <col min="6" max="6" width="8.7" style="145" customWidth="1"/>
    <col min="7" max="7" width="11" style="146" customWidth="1"/>
    <col min="8" max="8" width="11.1" style="148" customWidth="1"/>
    <col min="9" max="9" width="8" style="148" customWidth="1"/>
    <col min="10" max="10" width="8.1" style="148" customWidth="1"/>
    <col min="11" max="11" width="10.1" style="148" customWidth="1"/>
    <col min="12" max="12" width="26.7" style="146" customWidth="1"/>
    <col min="13" max="13" width="9" style="145" customWidth="1"/>
    <col min="14" max="16384" width="9.8" style="145"/>
  </cols>
  <sheetData>
    <row r="1" spans="1:12">
      <c r="A1" s="145" t="s">
        <v>639</v>
      </c>
      <c r="B1" s="145"/>
      <c r="C1" s="145"/>
      <c r="D1" s="145"/>
      <c r="E1" s="145"/>
      <c r="G1" s="145"/>
      <c r="H1" s="145"/>
      <c r="I1" s="145"/>
      <c r="J1" s="145"/>
      <c r="K1" s="145"/>
      <c r="L1" s="145"/>
    </row>
    <row r="2" s="143" customFormat="1" ht="14.25" spans="1:1">
      <c r="A2" s="143" t="s">
        <v>640</v>
      </c>
    </row>
    <row r="3" spans="1:12">
      <c r="A3" s="145" t="s">
        <v>641</v>
      </c>
      <c r="B3" s="145"/>
      <c r="C3" s="145"/>
      <c r="D3" s="145"/>
      <c r="E3" s="145"/>
      <c r="G3" s="145"/>
      <c r="H3" s="145"/>
      <c r="I3" s="145"/>
      <c r="J3" s="145"/>
      <c r="K3" s="145"/>
      <c r="L3" s="145"/>
    </row>
    <row r="4" s="143" customFormat="1" ht="14.25" spans="1:13">
      <c r="A4" s="150" t="s">
        <v>154</v>
      </c>
      <c r="B4" s="150" t="s">
        <v>642</v>
      </c>
      <c r="C4" s="169" t="s">
        <v>300</v>
      </c>
      <c r="D4" s="169"/>
      <c r="E4" s="169"/>
      <c r="F4" s="150" t="s">
        <v>643</v>
      </c>
      <c r="G4" s="150" t="s">
        <v>644</v>
      </c>
      <c r="H4" s="176" t="s">
        <v>645</v>
      </c>
      <c r="I4" s="176" t="s">
        <v>646</v>
      </c>
      <c r="J4" s="176"/>
      <c r="K4" s="176"/>
      <c r="L4" s="150" t="s">
        <v>298</v>
      </c>
      <c r="M4" s="150" t="s">
        <v>299</v>
      </c>
    </row>
    <row r="5" s="143" customFormat="1" ht="57" spans="1:13">
      <c r="A5" s="150"/>
      <c r="B5" s="150"/>
      <c r="C5" s="169" t="s">
        <v>647</v>
      </c>
      <c r="D5" s="169" t="s">
        <v>648</v>
      </c>
      <c r="E5" s="169" t="s">
        <v>649</v>
      </c>
      <c r="F5" s="150"/>
      <c r="G5" s="150"/>
      <c r="H5" s="176"/>
      <c r="I5" s="176" t="s">
        <v>650</v>
      </c>
      <c r="J5" s="176" t="s">
        <v>651</v>
      </c>
      <c r="K5" s="176" t="s">
        <v>652</v>
      </c>
      <c r="L5" s="150"/>
      <c r="M5" s="150"/>
    </row>
    <row r="6" s="185" customFormat="1" ht="12" spans="1:13">
      <c r="A6" s="186" t="s">
        <v>10</v>
      </c>
      <c r="B6" s="186" t="s">
        <v>11</v>
      </c>
      <c r="C6" s="187" t="s">
        <v>12</v>
      </c>
      <c r="D6" s="187" t="s">
        <v>13</v>
      </c>
      <c r="E6" s="187" t="s">
        <v>14</v>
      </c>
      <c r="F6" s="186" t="s">
        <v>171</v>
      </c>
      <c r="G6" s="186" t="s">
        <v>172</v>
      </c>
      <c r="H6" s="188" t="s">
        <v>173</v>
      </c>
      <c r="I6" s="188" t="s">
        <v>174</v>
      </c>
      <c r="J6" s="188" t="s">
        <v>175</v>
      </c>
      <c r="K6" s="188" t="s">
        <v>176</v>
      </c>
      <c r="L6" s="186" t="s">
        <v>177</v>
      </c>
      <c r="M6" s="186" t="s">
        <v>178</v>
      </c>
    </row>
    <row r="7" s="143" customFormat="1" ht="28.5" spans="1:13">
      <c r="A7" s="150" t="s">
        <v>653</v>
      </c>
      <c r="B7" s="161" t="s">
        <v>654</v>
      </c>
      <c r="C7" s="162"/>
      <c r="D7" s="162"/>
      <c r="E7" s="162"/>
      <c r="F7" s="150"/>
      <c r="G7" s="161"/>
      <c r="H7" s="184"/>
      <c r="I7" s="184"/>
      <c r="J7" s="184"/>
      <c r="K7" s="184"/>
      <c r="L7" s="161"/>
      <c r="M7" s="150"/>
    </row>
    <row r="8" ht="60" spans="1:13">
      <c r="A8" s="157">
        <v>1</v>
      </c>
      <c r="B8" s="158" t="s">
        <v>332</v>
      </c>
      <c r="C8" s="159">
        <v>60</v>
      </c>
      <c r="D8" s="159"/>
      <c r="E8" s="159">
        <f>C8-D8</f>
        <v>60</v>
      </c>
      <c r="F8" s="157" t="s">
        <v>30</v>
      </c>
      <c r="G8" s="158" t="s">
        <v>160</v>
      </c>
      <c r="H8" s="183">
        <v>90000</v>
      </c>
      <c r="I8" s="189"/>
      <c r="J8" s="189"/>
      <c r="K8" s="189" t="s">
        <v>655</v>
      </c>
      <c r="L8" s="158" t="s">
        <v>333</v>
      </c>
      <c r="M8" s="157"/>
    </row>
    <row r="9" ht="105" spans="1:13">
      <c r="A9" s="157">
        <v>2</v>
      </c>
      <c r="B9" s="158" t="s">
        <v>464</v>
      </c>
      <c r="C9" s="159">
        <v>6.5</v>
      </c>
      <c r="D9" s="159"/>
      <c r="E9" s="159">
        <f t="shared" ref="E9:E62" si="0">C9-D9</f>
        <v>6.5</v>
      </c>
      <c r="F9" s="157" t="s">
        <v>465</v>
      </c>
      <c r="G9" s="158" t="s">
        <v>160</v>
      </c>
      <c r="H9" s="183">
        <v>1700</v>
      </c>
      <c r="I9" s="189"/>
      <c r="J9" s="189" t="s">
        <v>655</v>
      </c>
      <c r="K9" s="189"/>
      <c r="L9" s="158" t="s">
        <v>466</v>
      </c>
      <c r="M9" s="157"/>
    </row>
    <row r="10" ht="135" spans="1:13">
      <c r="A10" s="157">
        <v>3</v>
      </c>
      <c r="B10" s="158" t="s">
        <v>467</v>
      </c>
      <c r="C10" s="159">
        <v>15</v>
      </c>
      <c r="D10" s="159"/>
      <c r="E10" s="159">
        <f t="shared" si="0"/>
        <v>15</v>
      </c>
      <c r="F10" s="157" t="s">
        <v>468</v>
      </c>
      <c r="G10" s="158" t="s">
        <v>160</v>
      </c>
      <c r="H10" s="183">
        <v>15000</v>
      </c>
      <c r="I10" s="189" t="s">
        <v>655</v>
      </c>
      <c r="J10" s="189"/>
      <c r="K10" s="189"/>
      <c r="L10" s="158" t="s">
        <v>469</v>
      </c>
      <c r="M10" s="157"/>
    </row>
    <row r="11" ht="105" spans="1:13">
      <c r="A11" s="157">
        <v>4</v>
      </c>
      <c r="B11" s="158" t="s">
        <v>428</v>
      </c>
      <c r="C11" s="159">
        <v>198.06</v>
      </c>
      <c r="D11" s="159">
        <v>95.98</v>
      </c>
      <c r="E11" s="159">
        <f t="shared" si="0"/>
        <v>102.08</v>
      </c>
      <c r="F11" s="157" t="s">
        <v>30</v>
      </c>
      <c r="G11" s="158" t="s">
        <v>429</v>
      </c>
      <c r="H11" s="183">
        <v>237672</v>
      </c>
      <c r="I11" s="189"/>
      <c r="J11" s="189"/>
      <c r="K11" s="189" t="s">
        <v>655</v>
      </c>
      <c r="L11" s="158" t="s">
        <v>430</v>
      </c>
      <c r="M11" s="157"/>
    </row>
    <row r="12" ht="75" spans="1:13">
      <c r="A12" s="157">
        <v>5</v>
      </c>
      <c r="B12" s="158" t="s">
        <v>350</v>
      </c>
      <c r="C12" s="159">
        <v>163.8</v>
      </c>
      <c r="D12" s="159"/>
      <c r="E12" s="159">
        <f t="shared" si="0"/>
        <v>163.8</v>
      </c>
      <c r="F12" s="157" t="s">
        <v>351</v>
      </c>
      <c r="G12" s="158" t="s">
        <v>352</v>
      </c>
      <c r="H12" s="183">
        <v>89925</v>
      </c>
      <c r="I12" s="189" t="s">
        <v>655</v>
      </c>
      <c r="J12" s="189"/>
      <c r="K12" s="189"/>
      <c r="L12" s="158" t="s">
        <v>353</v>
      </c>
      <c r="M12" s="157"/>
    </row>
    <row r="13" ht="90" spans="1:13">
      <c r="A13" s="157">
        <v>6</v>
      </c>
      <c r="B13" s="158" t="s">
        <v>457</v>
      </c>
      <c r="C13" s="159">
        <v>2.02</v>
      </c>
      <c r="D13" s="159"/>
      <c r="E13" s="159">
        <f t="shared" si="0"/>
        <v>2.02</v>
      </c>
      <c r="F13" s="157" t="s">
        <v>30</v>
      </c>
      <c r="G13" s="158" t="s">
        <v>161</v>
      </c>
      <c r="H13" s="183">
        <v>1616</v>
      </c>
      <c r="I13" s="189"/>
      <c r="J13" s="189" t="s">
        <v>655</v>
      </c>
      <c r="K13" s="189"/>
      <c r="L13" s="158" t="s">
        <v>458</v>
      </c>
      <c r="M13" s="157"/>
    </row>
    <row r="14" ht="90" spans="1:13">
      <c r="A14" s="157">
        <v>7</v>
      </c>
      <c r="B14" s="158" t="s">
        <v>440</v>
      </c>
      <c r="C14" s="159">
        <v>5.6</v>
      </c>
      <c r="D14" s="159"/>
      <c r="E14" s="159">
        <f t="shared" si="0"/>
        <v>5.6</v>
      </c>
      <c r="F14" s="157" t="s">
        <v>30</v>
      </c>
      <c r="G14" s="158" t="s">
        <v>161</v>
      </c>
      <c r="H14" s="183">
        <v>4480</v>
      </c>
      <c r="I14" s="189" t="s">
        <v>655</v>
      </c>
      <c r="J14" s="189"/>
      <c r="K14" s="189"/>
      <c r="L14" s="158" t="s">
        <v>442</v>
      </c>
      <c r="M14" s="157"/>
    </row>
    <row r="15" ht="90" spans="1:13">
      <c r="A15" s="157">
        <v>8</v>
      </c>
      <c r="B15" s="158" t="s">
        <v>433</v>
      </c>
      <c r="C15" s="159">
        <v>1</v>
      </c>
      <c r="D15" s="159"/>
      <c r="E15" s="159">
        <f t="shared" si="0"/>
        <v>1</v>
      </c>
      <c r="F15" s="157" t="s">
        <v>30</v>
      </c>
      <c r="G15" s="158" t="s">
        <v>158</v>
      </c>
      <c r="H15" s="183">
        <v>800</v>
      </c>
      <c r="I15" s="189"/>
      <c r="J15" s="189" t="s">
        <v>655</v>
      </c>
      <c r="K15" s="189"/>
      <c r="L15" s="158" t="s">
        <v>434</v>
      </c>
      <c r="M15" s="157"/>
    </row>
    <row r="16" ht="180" spans="1:13">
      <c r="A16" s="157">
        <v>9</v>
      </c>
      <c r="B16" s="158" t="s">
        <v>383</v>
      </c>
      <c r="C16" s="159">
        <v>0.61</v>
      </c>
      <c r="D16" s="159"/>
      <c r="E16" s="159">
        <f t="shared" si="0"/>
        <v>0.61</v>
      </c>
      <c r="F16" s="157" t="s">
        <v>384</v>
      </c>
      <c r="G16" s="158" t="s">
        <v>385</v>
      </c>
      <c r="H16" s="183">
        <v>1500</v>
      </c>
      <c r="I16" s="189" t="s">
        <v>655</v>
      </c>
      <c r="J16" s="189"/>
      <c r="K16" s="189"/>
      <c r="L16" s="158" t="s">
        <v>386</v>
      </c>
      <c r="M16" s="157"/>
    </row>
    <row r="17" ht="150" spans="1:13">
      <c r="A17" s="157">
        <v>10</v>
      </c>
      <c r="B17" s="158" t="s">
        <v>391</v>
      </c>
      <c r="C17" s="159">
        <v>6</v>
      </c>
      <c r="D17" s="159"/>
      <c r="E17" s="159">
        <f t="shared" si="0"/>
        <v>6</v>
      </c>
      <c r="F17" s="157" t="s">
        <v>392</v>
      </c>
      <c r="G17" s="158" t="s">
        <v>393</v>
      </c>
      <c r="H17" s="183">
        <v>10480</v>
      </c>
      <c r="I17" s="189" t="s">
        <v>655</v>
      </c>
      <c r="J17" s="189"/>
      <c r="K17" s="189"/>
      <c r="L17" s="158" t="s">
        <v>394</v>
      </c>
      <c r="M17" s="157"/>
    </row>
    <row r="18" ht="165" spans="1:13">
      <c r="A18" s="157">
        <v>11</v>
      </c>
      <c r="B18" s="158" t="s">
        <v>395</v>
      </c>
      <c r="C18" s="159">
        <v>4</v>
      </c>
      <c r="D18" s="159"/>
      <c r="E18" s="159">
        <f t="shared" si="0"/>
        <v>4</v>
      </c>
      <c r="F18" s="157" t="s">
        <v>392</v>
      </c>
      <c r="G18" s="158" t="s">
        <v>396</v>
      </c>
      <c r="H18" s="183">
        <v>6700</v>
      </c>
      <c r="I18" s="189" t="s">
        <v>655</v>
      </c>
      <c r="J18" s="189"/>
      <c r="K18" s="189"/>
      <c r="L18" s="158" t="s">
        <v>397</v>
      </c>
      <c r="M18" s="157"/>
    </row>
    <row r="19" ht="105" spans="1:13">
      <c r="A19" s="157">
        <v>12</v>
      </c>
      <c r="B19" s="158" t="s">
        <v>435</v>
      </c>
      <c r="C19" s="159">
        <v>10.07</v>
      </c>
      <c r="D19" s="159"/>
      <c r="E19" s="159">
        <f t="shared" si="0"/>
        <v>10.07</v>
      </c>
      <c r="F19" s="157" t="s">
        <v>30</v>
      </c>
      <c r="G19" s="158" t="s">
        <v>162</v>
      </c>
      <c r="H19" s="183">
        <v>8056</v>
      </c>
      <c r="I19" s="189"/>
      <c r="J19" s="189" t="s">
        <v>655</v>
      </c>
      <c r="K19" s="189"/>
      <c r="L19" s="158" t="s">
        <v>437</v>
      </c>
      <c r="M19" s="157"/>
    </row>
    <row r="20" ht="165" spans="1:13">
      <c r="A20" s="157">
        <v>13</v>
      </c>
      <c r="B20" s="158" t="s">
        <v>348</v>
      </c>
      <c r="C20" s="159">
        <v>360</v>
      </c>
      <c r="D20" s="159"/>
      <c r="E20" s="159">
        <f t="shared" si="0"/>
        <v>360</v>
      </c>
      <c r="F20" s="157" t="s">
        <v>30</v>
      </c>
      <c r="G20" s="158" t="s">
        <v>163</v>
      </c>
      <c r="H20" s="183">
        <v>540000</v>
      </c>
      <c r="I20" s="189"/>
      <c r="J20" s="189"/>
      <c r="K20" s="189" t="s">
        <v>655</v>
      </c>
      <c r="L20" s="158" t="s">
        <v>349</v>
      </c>
      <c r="M20" s="157"/>
    </row>
    <row r="21" ht="165" spans="1:13">
      <c r="A21" s="157">
        <v>14</v>
      </c>
      <c r="B21" s="158" t="s">
        <v>656</v>
      </c>
      <c r="C21" s="159">
        <v>300</v>
      </c>
      <c r="D21" s="159"/>
      <c r="E21" s="159">
        <f t="shared" si="0"/>
        <v>300</v>
      </c>
      <c r="F21" s="157" t="s">
        <v>30</v>
      </c>
      <c r="G21" s="158" t="s">
        <v>325</v>
      </c>
      <c r="H21" s="183">
        <v>270000</v>
      </c>
      <c r="I21" s="189"/>
      <c r="J21" s="189" t="s">
        <v>655</v>
      </c>
      <c r="K21" s="189"/>
      <c r="L21" s="158" t="s">
        <v>326</v>
      </c>
      <c r="M21" s="157"/>
    </row>
    <row r="22" ht="120" spans="1:13">
      <c r="A22" s="157">
        <v>15</v>
      </c>
      <c r="B22" s="158" t="s">
        <v>454</v>
      </c>
      <c r="C22" s="159">
        <v>2</v>
      </c>
      <c r="D22" s="159"/>
      <c r="E22" s="159">
        <f t="shared" si="0"/>
        <v>2</v>
      </c>
      <c r="F22" s="157" t="s">
        <v>30</v>
      </c>
      <c r="G22" s="158" t="s">
        <v>163</v>
      </c>
      <c r="H22" s="183">
        <v>1800</v>
      </c>
      <c r="I22" s="189"/>
      <c r="J22" s="189" t="s">
        <v>655</v>
      </c>
      <c r="K22" s="189"/>
      <c r="L22" s="158" t="s">
        <v>456</v>
      </c>
      <c r="M22" s="157"/>
    </row>
    <row r="23" ht="135" spans="1:13">
      <c r="A23" s="157">
        <v>16</v>
      </c>
      <c r="B23" s="158" t="s">
        <v>421</v>
      </c>
      <c r="C23" s="159">
        <v>0.54</v>
      </c>
      <c r="D23" s="159"/>
      <c r="E23" s="159">
        <f t="shared" si="0"/>
        <v>0.54</v>
      </c>
      <c r="F23" s="157" t="s">
        <v>30</v>
      </c>
      <c r="G23" s="158" t="s">
        <v>164</v>
      </c>
      <c r="H23" s="183">
        <v>432</v>
      </c>
      <c r="I23" s="189"/>
      <c r="J23" s="189" t="s">
        <v>655</v>
      </c>
      <c r="K23" s="189"/>
      <c r="L23" s="158" t="s">
        <v>422</v>
      </c>
      <c r="M23" s="157"/>
    </row>
    <row r="24" ht="90" spans="1:13">
      <c r="A24" s="157">
        <v>17</v>
      </c>
      <c r="B24" s="158" t="s">
        <v>334</v>
      </c>
      <c r="C24" s="159">
        <v>0.32</v>
      </c>
      <c r="D24" s="159"/>
      <c r="E24" s="159">
        <f t="shared" si="0"/>
        <v>0.32</v>
      </c>
      <c r="F24" s="157" t="s">
        <v>30</v>
      </c>
      <c r="G24" s="158" t="s">
        <v>335</v>
      </c>
      <c r="H24" s="183">
        <v>256</v>
      </c>
      <c r="I24" s="189"/>
      <c r="J24" s="189"/>
      <c r="K24" s="189" t="s">
        <v>655</v>
      </c>
      <c r="L24" s="158" t="s">
        <v>336</v>
      </c>
      <c r="M24" s="157"/>
    </row>
    <row r="25" ht="105" spans="1:13">
      <c r="A25" s="157">
        <v>18</v>
      </c>
      <c r="B25" s="158" t="s">
        <v>306</v>
      </c>
      <c r="C25" s="159">
        <v>25.53</v>
      </c>
      <c r="D25" s="159"/>
      <c r="E25" s="159">
        <f t="shared" si="0"/>
        <v>25.53</v>
      </c>
      <c r="F25" s="157" t="s">
        <v>30</v>
      </c>
      <c r="G25" s="158" t="s">
        <v>164</v>
      </c>
      <c r="H25" s="183">
        <v>3190</v>
      </c>
      <c r="I25" s="189"/>
      <c r="J25" s="189" t="s">
        <v>655</v>
      </c>
      <c r="K25" s="189"/>
      <c r="L25" s="158" t="s">
        <v>307</v>
      </c>
      <c r="M25" s="157"/>
    </row>
    <row r="26" ht="135" spans="1:13">
      <c r="A26" s="157">
        <v>19</v>
      </c>
      <c r="B26" s="158" t="s">
        <v>359</v>
      </c>
      <c r="C26" s="159">
        <v>16</v>
      </c>
      <c r="D26" s="159"/>
      <c r="E26" s="159">
        <f t="shared" si="0"/>
        <v>16</v>
      </c>
      <c r="F26" s="157" t="s">
        <v>360</v>
      </c>
      <c r="G26" s="158" t="s">
        <v>361</v>
      </c>
      <c r="H26" s="183">
        <v>66913</v>
      </c>
      <c r="I26" s="189"/>
      <c r="J26" s="189" t="s">
        <v>655</v>
      </c>
      <c r="K26" s="189"/>
      <c r="L26" s="158" t="s">
        <v>362</v>
      </c>
      <c r="M26" s="157"/>
    </row>
    <row r="27" ht="105" spans="1:13">
      <c r="A27" s="157">
        <v>20</v>
      </c>
      <c r="B27" s="158" t="s">
        <v>342</v>
      </c>
      <c r="C27" s="159">
        <v>0.24</v>
      </c>
      <c r="D27" s="159"/>
      <c r="E27" s="159">
        <f t="shared" si="0"/>
        <v>0.24</v>
      </c>
      <c r="F27" s="157" t="s">
        <v>30</v>
      </c>
      <c r="G27" s="158" t="s">
        <v>343</v>
      </c>
      <c r="H27" s="183">
        <v>288</v>
      </c>
      <c r="I27" s="189"/>
      <c r="J27" s="189"/>
      <c r="K27" s="189" t="s">
        <v>655</v>
      </c>
      <c r="L27" s="158" t="s">
        <v>344</v>
      </c>
      <c r="M27" s="157"/>
    </row>
    <row r="28" ht="75" spans="1:13">
      <c r="A28" s="157">
        <v>21</v>
      </c>
      <c r="B28" s="158" t="s">
        <v>431</v>
      </c>
      <c r="C28" s="159">
        <v>1.69</v>
      </c>
      <c r="D28" s="159"/>
      <c r="E28" s="159">
        <f t="shared" si="0"/>
        <v>1.69</v>
      </c>
      <c r="F28" s="157" t="s">
        <v>30</v>
      </c>
      <c r="G28" s="158" t="s">
        <v>165</v>
      </c>
      <c r="H28" s="183">
        <v>5070</v>
      </c>
      <c r="I28" s="189"/>
      <c r="J28" s="189" t="s">
        <v>655</v>
      </c>
      <c r="K28" s="189"/>
      <c r="L28" s="158" t="s">
        <v>432</v>
      </c>
      <c r="M28" s="157"/>
    </row>
    <row r="29" ht="135" spans="1:13">
      <c r="A29" s="157">
        <v>22</v>
      </c>
      <c r="B29" s="158" t="s">
        <v>473</v>
      </c>
      <c r="C29" s="159">
        <v>7.7</v>
      </c>
      <c r="D29" s="159"/>
      <c r="E29" s="159">
        <f t="shared" si="0"/>
        <v>7.7</v>
      </c>
      <c r="F29" s="157" t="s">
        <v>657</v>
      </c>
      <c r="G29" s="158" t="s">
        <v>165</v>
      </c>
      <c r="H29" s="183">
        <v>7000</v>
      </c>
      <c r="I29" s="189">
        <v>3000</v>
      </c>
      <c r="J29" s="189"/>
      <c r="K29" s="189">
        <v>4000</v>
      </c>
      <c r="L29" s="158" t="s">
        <v>475</v>
      </c>
      <c r="M29" s="157"/>
    </row>
    <row r="30" ht="105" spans="1:13">
      <c r="A30" s="157">
        <v>23</v>
      </c>
      <c r="B30" s="158" t="s">
        <v>423</v>
      </c>
      <c r="C30" s="159">
        <v>2</v>
      </c>
      <c r="D30" s="159"/>
      <c r="E30" s="159">
        <f t="shared" si="0"/>
        <v>2</v>
      </c>
      <c r="F30" s="157" t="s">
        <v>30</v>
      </c>
      <c r="G30" s="158" t="s">
        <v>166</v>
      </c>
      <c r="H30" s="183">
        <v>1600</v>
      </c>
      <c r="I30" s="189"/>
      <c r="J30" s="189" t="s">
        <v>655</v>
      </c>
      <c r="K30" s="189"/>
      <c r="L30" s="158" t="s">
        <v>424</v>
      </c>
      <c r="M30" s="157"/>
    </row>
    <row r="31" ht="60" spans="1:13">
      <c r="A31" s="157">
        <v>24</v>
      </c>
      <c r="B31" s="158" t="s">
        <v>346</v>
      </c>
      <c r="C31" s="159">
        <v>1.7</v>
      </c>
      <c r="D31" s="159"/>
      <c r="E31" s="159">
        <f t="shared" si="0"/>
        <v>1.7</v>
      </c>
      <c r="F31" s="157" t="s">
        <v>30</v>
      </c>
      <c r="G31" s="158" t="s">
        <v>166</v>
      </c>
      <c r="H31" s="183">
        <v>1360</v>
      </c>
      <c r="I31" s="189"/>
      <c r="J31" s="189" t="s">
        <v>655</v>
      </c>
      <c r="K31" s="189"/>
      <c r="L31" s="158" t="s">
        <v>347</v>
      </c>
      <c r="M31" s="157"/>
    </row>
    <row r="32" ht="105" spans="1:13">
      <c r="A32" s="157">
        <v>25</v>
      </c>
      <c r="B32" s="158" t="s">
        <v>368</v>
      </c>
      <c r="C32" s="159">
        <v>0.13</v>
      </c>
      <c r="D32" s="159"/>
      <c r="E32" s="159">
        <f t="shared" si="0"/>
        <v>0.13</v>
      </c>
      <c r="F32" s="157" t="s">
        <v>30</v>
      </c>
      <c r="G32" s="158" t="s">
        <v>166</v>
      </c>
      <c r="H32" s="183">
        <v>156</v>
      </c>
      <c r="I32" s="189" t="s">
        <v>655</v>
      </c>
      <c r="J32" s="189"/>
      <c r="K32" s="189"/>
      <c r="L32" s="158" t="s">
        <v>369</v>
      </c>
      <c r="M32" s="157"/>
    </row>
    <row r="33" ht="105" spans="1:13">
      <c r="A33" s="157">
        <v>26</v>
      </c>
      <c r="B33" s="158" t="s">
        <v>304</v>
      </c>
      <c r="C33" s="159">
        <v>30</v>
      </c>
      <c r="D33" s="159"/>
      <c r="E33" s="159">
        <f t="shared" si="0"/>
        <v>30</v>
      </c>
      <c r="F33" s="157" t="s">
        <v>30</v>
      </c>
      <c r="G33" s="158" t="s">
        <v>166</v>
      </c>
      <c r="H33" s="183">
        <v>24000</v>
      </c>
      <c r="I33" s="189" t="s">
        <v>655</v>
      </c>
      <c r="J33" s="189"/>
      <c r="K33" s="189"/>
      <c r="L33" s="158" t="s">
        <v>305</v>
      </c>
      <c r="M33" s="157"/>
    </row>
    <row r="34" ht="60" spans="1:13">
      <c r="A34" s="157">
        <v>27</v>
      </c>
      <c r="B34" s="158" t="s">
        <v>370</v>
      </c>
      <c r="C34" s="159">
        <v>10.49</v>
      </c>
      <c r="D34" s="159"/>
      <c r="E34" s="159">
        <f t="shared" si="0"/>
        <v>10.49</v>
      </c>
      <c r="F34" s="157" t="s">
        <v>371</v>
      </c>
      <c r="G34" s="158" t="s">
        <v>372</v>
      </c>
      <c r="H34" s="183">
        <v>499</v>
      </c>
      <c r="I34" s="189" t="s">
        <v>655</v>
      </c>
      <c r="J34" s="189"/>
      <c r="K34" s="189"/>
      <c r="L34" s="158" t="s">
        <v>373</v>
      </c>
      <c r="M34" s="157"/>
    </row>
    <row r="35" ht="150" spans="1:13">
      <c r="A35" s="157">
        <v>28</v>
      </c>
      <c r="B35" s="158" t="s">
        <v>398</v>
      </c>
      <c r="C35" s="159">
        <v>14.5</v>
      </c>
      <c r="D35" s="159"/>
      <c r="E35" s="159">
        <f t="shared" si="0"/>
        <v>14.5</v>
      </c>
      <c r="F35" s="157" t="s">
        <v>658</v>
      </c>
      <c r="G35" s="158" t="s">
        <v>166</v>
      </c>
      <c r="H35" s="183">
        <v>11000</v>
      </c>
      <c r="I35" s="189" t="s">
        <v>655</v>
      </c>
      <c r="J35" s="189"/>
      <c r="K35" s="189"/>
      <c r="L35" s="158" t="s">
        <v>400</v>
      </c>
      <c r="M35" s="157"/>
    </row>
    <row r="36" ht="45" spans="1:13">
      <c r="A36" s="157">
        <v>29</v>
      </c>
      <c r="B36" s="158" t="s">
        <v>447</v>
      </c>
      <c r="C36" s="159">
        <v>4.5</v>
      </c>
      <c r="D36" s="159"/>
      <c r="E36" s="159">
        <f t="shared" si="0"/>
        <v>4.5</v>
      </c>
      <c r="F36" s="157" t="s">
        <v>30</v>
      </c>
      <c r="G36" s="158" t="s">
        <v>166</v>
      </c>
      <c r="H36" s="183">
        <v>4050</v>
      </c>
      <c r="I36" s="189"/>
      <c r="J36" s="189" t="s">
        <v>655</v>
      </c>
      <c r="K36" s="189"/>
      <c r="L36" s="158" t="s">
        <v>446</v>
      </c>
      <c r="M36" s="157"/>
    </row>
    <row r="37" ht="45" spans="1:13">
      <c r="A37" s="157">
        <v>30</v>
      </c>
      <c r="B37" s="158" t="s">
        <v>445</v>
      </c>
      <c r="C37" s="159">
        <v>2.5</v>
      </c>
      <c r="D37" s="159"/>
      <c r="E37" s="159">
        <f t="shared" si="0"/>
        <v>2.5</v>
      </c>
      <c r="F37" s="157" t="s">
        <v>30</v>
      </c>
      <c r="G37" s="158" t="s">
        <v>166</v>
      </c>
      <c r="H37" s="183">
        <v>2250</v>
      </c>
      <c r="I37" s="189"/>
      <c r="J37" s="189" t="s">
        <v>655</v>
      </c>
      <c r="K37" s="189"/>
      <c r="L37" s="158" t="s">
        <v>446</v>
      </c>
      <c r="M37" s="157"/>
    </row>
    <row r="38" ht="105" spans="1:13">
      <c r="A38" s="157">
        <v>31</v>
      </c>
      <c r="B38" s="158" t="s">
        <v>409</v>
      </c>
      <c r="C38" s="159">
        <v>15</v>
      </c>
      <c r="D38" s="159"/>
      <c r="E38" s="159">
        <f t="shared" si="0"/>
        <v>15</v>
      </c>
      <c r="F38" s="157" t="s">
        <v>410</v>
      </c>
      <c r="G38" s="158" t="s">
        <v>411</v>
      </c>
      <c r="H38" s="183">
        <v>2000</v>
      </c>
      <c r="I38" s="189" t="s">
        <v>655</v>
      </c>
      <c r="J38" s="189"/>
      <c r="K38" s="189"/>
      <c r="L38" s="158" t="s">
        <v>412</v>
      </c>
      <c r="M38" s="157"/>
    </row>
    <row r="39" ht="75" spans="1:13">
      <c r="A39" s="157">
        <v>32</v>
      </c>
      <c r="B39" s="158" t="s">
        <v>315</v>
      </c>
      <c r="C39" s="159">
        <v>160</v>
      </c>
      <c r="D39" s="159">
        <v>160</v>
      </c>
      <c r="E39" s="159">
        <f t="shared" si="0"/>
        <v>0</v>
      </c>
      <c r="F39" s="157"/>
      <c r="G39" s="158" t="s">
        <v>157</v>
      </c>
      <c r="H39" s="183">
        <v>128000</v>
      </c>
      <c r="I39" s="189"/>
      <c r="J39" s="189"/>
      <c r="K39" s="189" t="s">
        <v>655</v>
      </c>
      <c r="L39" s="158" t="s">
        <v>316</v>
      </c>
      <c r="M39" s="157"/>
    </row>
    <row r="40" ht="105" spans="1:13">
      <c r="A40" s="157">
        <v>33</v>
      </c>
      <c r="B40" s="158" t="s">
        <v>376</v>
      </c>
      <c r="C40" s="159">
        <v>2.7</v>
      </c>
      <c r="D40" s="159">
        <v>2.51</v>
      </c>
      <c r="E40" s="159">
        <f t="shared" si="0"/>
        <v>0.19</v>
      </c>
      <c r="F40" s="157" t="s">
        <v>377</v>
      </c>
      <c r="G40" s="158" t="s">
        <v>157</v>
      </c>
      <c r="H40" s="183">
        <v>16200</v>
      </c>
      <c r="I40" s="189" t="s">
        <v>655</v>
      </c>
      <c r="J40" s="189"/>
      <c r="K40" s="189"/>
      <c r="L40" s="158" t="s">
        <v>378</v>
      </c>
      <c r="M40" s="157"/>
    </row>
    <row r="41" ht="60" spans="1:13">
      <c r="A41" s="157">
        <v>34</v>
      </c>
      <c r="B41" s="158" t="s">
        <v>379</v>
      </c>
      <c r="C41" s="159">
        <v>2.9</v>
      </c>
      <c r="D41" s="159">
        <v>2.67</v>
      </c>
      <c r="E41" s="159">
        <f t="shared" si="0"/>
        <v>0.23</v>
      </c>
      <c r="F41" s="157" t="s">
        <v>30</v>
      </c>
      <c r="G41" s="158" t="s">
        <v>157</v>
      </c>
      <c r="H41" s="183">
        <v>17400</v>
      </c>
      <c r="I41" s="189"/>
      <c r="J41" s="189" t="s">
        <v>655</v>
      </c>
      <c r="K41" s="189"/>
      <c r="L41" s="158" t="s">
        <v>380</v>
      </c>
      <c r="M41" s="157"/>
    </row>
    <row r="42" ht="75" spans="1:13">
      <c r="A42" s="157">
        <v>35</v>
      </c>
      <c r="B42" s="158" t="s">
        <v>381</v>
      </c>
      <c r="C42" s="159">
        <v>11.7</v>
      </c>
      <c r="D42" s="159">
        <v>11.49</v>
      </c>
      <c r="E42" s="159">
        <f t="shared" si="0"/>
        <v>0.210000000000001</v>
      </c>
      <c r="F42" s="157" t="s">
        <v>377</v>
      </c>
      <c r="G42" s="158" t="s">
        <v>157</v>
      </c>
      <c r="H42" s="183">
        <v>70200</v>
      </c>
      <c r="I42" s="189"/>
      <c r="J42" s="189" t="s">
        <v>655</v>
      </c>
      <c r="K42" s="189"/>
      <c r="L42" s="158" t="s">
        <v>380</v>
      </c>
      <c r="M42" s="157"/>
    </row>
    <row r="43" s="145" customFormat="1" ht="60" spans="1:13">
      <c r="A43" s="157">
        <v>36</v>
      </c>
      <c r="B43" s="158" t="s">
        <v>382</v>
      </c>
      <c r="C43" s="159">
        <v>0.03</v>
      </c>
      <c r="D43" s="159"/>
      <c r="E43" s="159">
        <f t="shared" si="0"/>
        <v>0.03</v>
      </c>
      <c r="F43" s="157" t="s">
        <v>30</v>
      </c>
      <c r="G43" s="158" t="s">
        <v>157</v>
      </c>
      <c r="H43" s="183">
        <v>180</v>
      </c>
      <c r="I43" s="189"/>
      <c r="J43" s="189" t="s">
        <v>655</v>
      </c>
      <c r="K43" s="189"/>
      <c r="L43" s="158" t="s">
        <v>380</v>
      </c>
      <c r="M43" s="157"/>
    </row>
    <row r="44" s="145" customFormat="1" ht="120" spans="1:13">
      <c r="A44" s="157">
        <v>37</v>
      </c>
      <c r="B44" s="158" t="s">
        <v>459</v>
      </c>
      <c r="C44" s="159">
        <v>3.58</v>
      </c>
      <c r="D44" s="159"/>
      <c r="E44" s="159">
        <f t="shared" si="0"/>
        <v>3.58</v>
      </c>
      <c r="F44" s="157" t="s">
        <v>659</v>
      </c>
      <c r="G44" s="158" t="s">
        <v>157</v>
      </c>
      <c r="H44" s="183">
        <v>8570</v>
      </c>
      <c r="I44" s="189" t="s">
        <v>655</v>
      </c>
      <c r="J44" s="189"/>
      <c r="K44" s="189"/>
      <c r="L44" s="158" t="s">
        <v>461</v>
      </c>
      <c r="M44" s="157"/>
    </row>
    <row r="45" s="145" customFormat="1" ht="75" spans="1:13">
      <c r="A45" s="157">
        <v>38</v>
      </c>
      <c r="B45" s="158" t="s">
        <v>366</v>
      </c>
      <c r="C45" s="159">
        <v>0.2</v>
      </c>
      <c r="D45" s="159"/>
      <c r="E45" s="159">
        <f t="shared" si="0"/>
        <v>0.2</v>
      </c>
      <c r="F45" s="157" t="s">
        <v>30</v>
      </c>
      <c r="G45" s="158" t="s">
        <v>157</v>
      </c>
      <c r="H45" s="183">
        <v>300</v>
      </c>
      <c r="I45" s="189"/>
      <c r="J45" s="189" t="s">
        <v>655</v>
      </c>
      <c r="K45" s="189"/>
      <c r="L45" s="158" t="s">
        <v>367</v>
      </c>
      <c r="M45" s="157"/>
    </row>
    <row r="46" s="145" customFormat="1" ht="105" spans="1:13">
      <c r="A46" s="157">
        <v>39</v>
      </c>
      <c r="B46" s="158" t="s">
        <v>448</v>
      </c>
      <c r="C46" s="159">
        <v>2.91</v>
      </c>
      <c r="D46" s="159"/>
      <c r="E46" s="159">
        <f t="shared" si="0"/>
        <v>2.91</v>
      </c>
      <c r="F46" s="157" t="s">
        <v>30</v>
      </c>
      <c r="G46" s="158" t="s">
        <v>157</v>
      </c>
      <c r="H46" s="183">
        <v>436</v>
      </c>
      <c r="I46" s="189"/>
      <c r="J46" s="189" t="s">
        <v>655</v>
      </c>
      <c r="K46" s="189"/>
      <c r="L46" s="158" t="s">
        <v>449</v>
      </c>
      <c r="M46" s="157"/>
    </row>
    <row r="47" s="145" customFormat="1" ht="105" spans="1:13">
      <c r="A47" s="157">
        <v>40</v>
      </c>
      <c r="B47" s="158" t="s">
        <v>450</v>
      </c>
      <c r="C47" s="159">
        <v>5.3</v>
      </c>
      <c r="D47" s="159"/>
      <c r="E47" s="159">
        <f t="shared" si="0"/>
        <v>5.3</v>
      </c>
      <c r="F47" s="157" t="s">
        <v>69</v>
      </c>
      <c r="G47" s="158" t="s">
        <v>157</v>
      </c>
      <c r="H47" s="183"/>
      <c r="I47" s="189" t="s">
        <v>655</v>
      </c>
      <c r="J47" s="189"/>
      <c r="K47" s="189"/>
      <c r="L47" s="158" t="s">
        <v>451</v>
      </c>
      <c r="M47" s="157"/>
    </row>
    <row r="48" s="145" customFormat="1" ht="75" spans="1:13">
      <c r="A48" s="157">
        <v>41</v>
      </c>
      <c r="B48" s="158" t="s">
        <v>425</v>
      </c>
      <c r="C48" s="159">
        <v>0.16</v>
      </c>
      <c r="D48" s="159"/>
      <c r="E48" s="159">
        <f t="shared" si="0"/>
        <v>0.16</v>
      </c>
      <c r="F48" s="157" t="s">
        <v>30</v>
      </c>
      <c r="G48" s="158" t="s">
        <v>167</v>
      </c>
      <c r="H48" s="183">
        <v>320</v>
      </c>
      <c r="I48" s="189"/>
      <c r="J48" s="189" t="s">
        <v>655</v>
      </c>
      <c r="K48" s="189"/>
      <c r="L48" s="158" t="s">
        <v>426</v>
      </c>
      <c r="M48" s="157"/>
    </row>
    <row r="49" s="145" customFormat="1" ht="105" spans="1:13">
      <c r="A49" s="157">
        <v>42</v>
      </c>
      <c r="B49" s="158" t="s">
        <v>435</v>
      </c>
      <c r="C49" s="159">
        <v>13.41</v>
      </c>
      <c r="D49" s="159"/>
      <c r="E49" s="159">
        <f t="shared" si="0"/>
        <v>13.41</v>
      </c>
      <c r="F49" s="157" t="s">
        <v>30</v>
      </c>
      <c r="G49" s="158" t="s">
        <v>167</v>
      </c>
      <c r="H49" s="183">
        <v>10728</v>
      </c>
      <c r="I49" s="189"/>
      <c r="J49" s="189" t="s">
        <v>655</v>
      </c>
      <c r="K49" s="189"/>
      <c r="L49" s="158" t="s">
        <v>437</v>
      </c>
      <c r="M49" s="157"/>
    </row>
    <row r="50" s="145" customFormat="1" ht="75" spans="1:13">
      <c r="A50" s="157">
        <v>43</v>
      </c>
      <c r="B50" s="158" t="s">
        <v>443</v>
      </c>
      <c r="C50" s="159">
        <v>1.62</v>
      </c>
      <c r="D50" s="159"/>
      <c r="E50" s="159">
        <f t="shared" si="0"/>
        <v>1.62</v>
      </c>
      <c r="F50" s="157" t="s">
        <v>30</v>
      </c>
      <c r="G50" s="158" t="s">
        <v>167</v>
      </c>
      <c r="H50" s="183">
        <v>2430</v>
      </c>
      <c r="I50" s="189"/>
      <c r="J50" s="189" t="s">
        <v>655</v>
      </c>
      <c r="K50" s="189"/>
      <c r="L50" s="158" t="s">
        <v>444</v>
      </c>
      <c r="M50" s="157"/>
    </row>
    <row r="51" s="145" customFormat="1" ht="105" spans="1:13">
      <c r="A51" s="157">
        <v>44</v>
      </c>
      <c r="B51" s="158" t="s">
        <v>427</v>
      </c>
      <c r="C51" s="159">
        <v>1</v>
      </c>
      <c r="D51" s="159"/>
      <c r="E51" s="159">
        <f t="shared" si="0"/>
        <v>1</v>
      </c>
      <c r="F51" s="157" t="s">
        <v>30</v>
      </c>
      <c r="G51" s="158" t="s">
        <v>169</v>
      </c>
      <c r="H51" s="183">
        <v>800</v>
      </c>
      <c r="I51" s="189"/>
      <c r="J51" s="189" t="s">
        <v>655</v>
      </c>
      <c r="K51" s="189"/>
      <c r="L51" s="158" t="s">
        <v>424</v>
      </c>
      <c r="M51" s="157"/>
    </row>
    <row r="52" s="145" customFormat="1" ht="60" spans="1:13">
      <c r="A52" s="157">
        <v>45</v>
      </c>
      <c r="B52" s="158" t="s">
        <v>340</v>
      </c>
      <c r="C52" s="159">
        <v>0.1</v>
      </c>
      <c r="D52" s="159"/>
      <c r="E52" s="159">
        <f t="shared" si="0"/>
        <v>0.1</v>
      </c>
      <c r="F52" s="157" t="s">
        <v>30</v>
      </c>
      <c r="G52" s="158" t="s">
        <v>169</v>
      </c>
      <c r="H52" s="183">
        <v>150</v>
      </c>
      <c r="I52" s="189"/>
      <c r="J52" s="189"/>
      <c r="K52" s="189" t="s">
        <v>655</v>
      </c>
      <c r="L52" s="158" t="s">
        <v>341</v>
      </c>
      <c r="M52" s="157"/>
    </row>
    <row r="53" s="145" customFormat="1" ht="60" spans="1:13">
      <c r="A53" s="157">
        <v>46</v>
      </c>
      <c r="B53" s="158" t="s">
        <v>319</v>
      </c>
      <c r="C53" s="159">
        <v>241.95</v>
      </c>
      <c r="D53" s="159"/>
      <c r="E53" s="159">
        <f t="shared" si="0"/>
        <v>241.95</v>
      </c>
      <c r="F53" s="157" t="s">
        <v>30</v>
      </c>
      <c r="G53" s="158" t="s">
        <v>322</v>
      </c>
      <c r="H53" s="183">
        <v>193560</v>
      </c>
      <c r="I53" s="189"/>
      <c r="J53" s="189"/>
      <c r="K53" s="189" t="s">
        <v>655</v>
      </c>
      <c r="L53" s="158" t="s">
        <v>320</v>
      </c>
      <c r="M53" s="157"/>
    </row>
    <row r="54" s="145" customFormat="1" ht="75" spans="1:13">
      <c r="A54" s="157">
        <v>47</v>
      </c>
      <c r="B54" s="158" t="s">
        <v>438</v>
      </c>
      <c r="C54" s="159">
        <v>91</v>
      </c>
      <c r="D54" s="159"/>
      <c r="E54" s="159">
        <f t="shared" si="0"/>
        <v>91</v>
      </c>
      <c r="F54" s="157" t="s">
        <v>30</v>
      </c>
      <c r="G54" s="158" t="s">
        <v>159</v>
      </c>
      <c r="H54" s="183">
        <v>72800</v>
      </c>
      <c r="I54" s="189" t="s">
        <v>655</v>
      </c>
      <c r="J54" s="189"/>
      <c r="K54" s="189"/>
      <c r="L54" s="158" t="s">
        <v>439</v>
      </c>
      <c r="M54" s="157"/>
    </row>
    <row r="55" s="145" customFormat="1" ht="150" spans="1:13">
      <c r="A55" s="157">
        <v>48</v>
      </c>
      <c r="B55" s="158" t="s">
        <v>462</v>
      </c>
      <c r="C55" s="159">
        <v>1.6</v>
      </c>
      <c r="D55" s="159"/>
      <c r="E55" s="159">
        <f t="shared" si="0"/>
        <v>1.6</v>
      </c>
      <c r="F55" s="157" t="s">
        <v>30</v>
      </c>
      <c r="G55" s="158" t="s">
        <v>159</v>
      </c>
      <c r="H55" s="183">
        <v>10000</v>
      </c>
      <c r="I55" s="189" t="s">
        <v>655</v>
      </c>
      <c r="J55" s="189"/>
      <c r="K55" s="189"/>
      <c r="L55" s="158" t="s">
        <v>463</v>
      </c>
      <c r="M55" s="157"/>
    </row>
    <row r="56" s="145" customFormat="1" ht="150" spans="1:13">
      <c r="A56" s="157">
        <v>49</v>
      </c>
      <c r="B56" s="158" t="s">
        <v>419</v>
      </c>
      <c r="C56" s="159">
        <v>27</v>
      </c>
      <c r="D56" s="159"/>
      <c r="E56" s="159">
        <f t="shared" si="0"/>
        <v>27</v>
      </c>
      <c r="F56" s="157" t="s">
        <v>392</v>
      </c>
      <c r="G56" s="158" t="s">
        <v>159</v>
      </c>
      <c r="H56" s="183">
        <v>20000</v>
      </c>
      <c r="I56" s="189" t="s">
        <v>655</v>
      </c>
      <c r="J56" s="189"/>
      <c r="K56" s="189"/>
      <c r="L56" s="158" t="s">
        <v>420</v>
      </c>
      <c r="M56" s="157"/>
    </row>
    <row r="57" s="143" customFormat="1" ht="28.5" spans="1:13">
      <c r="A57" s="150" t="s">
        <v>660</v>
      </c>
      <c r="B57" s="161" t="s">
        <v>661</v>
      </c>
      <c r="C57" s="162"/>
      <c r="D57" s="162"/>
      <c r="E57" s="162"/>
      <c r="F57" s="150"/>
      <c r="G57" s="161"/>
      <c r="H57" s="184"/>
      <c r="I57" s="176"/>
      <c r="J57" s="176"/>
      <c r="K57" s="176"/>
      <c r="L57" s="161"/>
      <c r="M57" s="150"/>
    </row>
    <row r="58" ht="105" spans="1:13">
      <c r="A58" s="157">
        <v>1</v>
      </c>
      <c r="B58" s="158" t="s">
        <v>308</v>
      </c>
      <c r="C58" s="159">
        <v>25</v>
      </c>
      <c r="D58" s="159"/>
      <c r="E58" s="159">
        <f t="shared" si="0"/>
        <v>25</v>
      </c>
      <c r="F58" s="157" t="s">
        <v>30</v>
      </c>
      <c r="G58" s="158" t="s">
        <v>158</v>
      </c>
      <c r="H58" s="183">
        <v>5000</v>
      </c>
      <c r="I58" s="189"/>
      <c r="J58" s="189" t="s">
        <v>655</v>
      </c>
      <c r="K58" s="189"/>
      <c r="L58" s="158" t="s">
        <v>309</v>
      </c>
      <c r="M58" s="157"/>
    </row>
    <row r="59" ht="105" spans="1:13">
      <c r="A59" s="157">
        <v>2</v>
      </c>
      <c r="B59" s="158" t="s">
        <v>470</v>
      </c>
      <c r="C59" s="159">
        <v>4.87</v>
      </c>
      <c r="D59" s="159"/>
      <c r="E59" s="159">
        <f t="shared" si="0"/>
        <v>4.87</v>
      </c>
      <c r="F59" s="157" t="s">
        <v>662</v>
      </c>
      <c r="G59" s="158" t="s">
        <v>158</v>
      </c>
      <c r="H59" s="183">
        <v>6563</v>
      </c>
      <c r="I59" s="189" t="s">
        <v>655</v>
      </c>
      <c r="J59" s="189"/>
      <c r="K59" s="189"/>
      <c r="L59" s="158" t="s">
        <v>472</v>
      </c>
      <c r="M59" s="157"/>
    </row>
    <row r="60" ht="135" spans="1:13">
      <c r="A60" s="157">
        <v>3</v>
      </c>
      <c r="B60" s="158" t="s">
        <v>401</v>
      </c>
      <c r="C60" s="159">
        <v>25.92</v>
      </c>
      <c r="D60" s="159"/>
      <c r="E60" s="159">
        <f t="shared" si="0"/>
        <v>25.92</v>
      </c>
      <c r="F60" s="157" t="s">
        <v>402</v>
      </c>
      <c r="G60" s="158" t="s">
        <v>403</v>
      </c>
      <c r="H60" s="183">
        <v>20000</v>
      </c>
      <c r="I60" s="189" t="s">
        <v>655</v>
      </c>
      <c r="J60" s="189"/>
      <c r="K60" s="189"/>
      <c r="L60" s="158" t="s">
        <v>404</v>
      </c>
      <c r="M60" s="157"/>
    </row>
    <row r="61" s="145" customFormat="1" ht="135" spans="1:13">
      <c r="A61" s="157">
        <v>4</v>
      </c>
      <c r="B61" s="158" t="s">
        <v>452</v>
      </c>
      <c r="C61" s="159">
        <v>7</v>
      </c>
      <c r="D61" s="159"/>
      <c r="E61" s="159">
        <f t="shared" si="0"/>
        <v>7</v>
      </c>
      <c r="F61" s="157" t="s">
        <v>30</v>
      </c>
      <c r="G61" s="158" t="s">
        <v>157</v>
      </c>
      <c r="H61" s="183">
        <v>42000</v>
      </c>
      <c r="I61" s="189"/>
      <c r="J61" s="189" t="s">
        <v>655</v>
      </c>
      <c r="K61" s="189"/>
      <c r="L61" s="158" t="s">
        <v>453</v>
      </c>
      <c r="M61" s="157"/>
    </row>
    <row r="62" s="145" customFormat="1" ht="135" spans="1:13">
      <c r="A62" s="157">
        <v>5</v>
      </c>
      <c r="B62" s="158" t="s">
        <v>416</v>
      </c>
      <c r="C62" s="159">
        <v>16.1</v>
      </c>
      <c r="D62" s="159"/>
      <c r="E62" s="159">
        <f t="shared" si="0"/>
        <v>16.1</v>
      </c>
      <c r="F62" s="157" t="s">
        <v>417</v>
      </c>
      <c r="G62" s="158" t="s">
        <v>418</v>
      </c>
      <c r="H62" s="183">
        <v>27370</v>
      </c>
      <c r="I62" s="189" t="s">
        <v>655</v>
      </c>
      <c r="J62" s="189"/>
      <c r="K62" s="189"/>
      <c r="L62" s="158" t="s">
        <v>404</v>
      </c>
      <c r="M62" s="157"/>
    </row>
    <row r="63" s="143" customFormat="1" ht="14.25" spans="1:13">
      <c r="A63" s="150"/>
      <c r="B63" s="161" t="s">
        <v>663</v>
      </c>
      <c r="C63" s="162">
        <f t="shared" ref="C63:E63" si="1">SUM(C8:C62)</f>
        <v>1913.55</v>
      </c>
      <c r="D63" s="162">
        <f t="shared" si="1"/>
        <v>272.65</v>
      </c>
      <c r="E63" s="162">
        <f t="shared" si="1"/>
        <v>1640.9</v>
      </c>
      <c r="F63" s="162"/>
      <c r="G63" s="162"/>
      <c r="H63" s="162">
        <f t="shared" ref="H63" si="2">SUM(H8:H62)</f>
        <v>2062800</v>
      </c>
      <c r="I63" s="184"/>
      <c r="J63" s="184"/>
      <c r="K63" s="184"/>
      <c r="L63" s="161"/>
      <c r="M63" s="150"/>
    </row>
  </sheetData>
  <mergeCells count="12">
    <mergeCell ref="A1:M1"/>
    <mergeCell ref="A2:M2"/>
    <mergeCell ref="A3:M3"/>
    <mergeCell ref="C4:E4"/>
    <mergeCell ref="I4:K4"/>
    <mergeCell ref="A4:A5"/>
    <mergeCell ref="B4:B5"/>
    <mergeCell ref="F4:F5"/>
    <mergeCell ref="G4:G5"/>
    <mergeCell ref="H4:H5"/>
    <mergeCell ref="L4:L5"/>
    <mergeCell ref="M4:M5"/>
  </mergeCells>
  <printOptions horizontalCentered="1"/>
  <pageMargins left="0.393700787401575" right="0.393700787401575" top="0.78740157480315" bottom="0.393700787401575" header="0.31496062992126" footer="0.31496062992126"/>
  <pageSetup paperSize="9" scale="92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" sqref="A1:K1"/>
    </sheetView>
  </sheetViews>
  <sheetFormatPr defaultColWidth="9.8" defaultRowHeight="15"/>
  <cols>
    <col min="1" max="1" width="4.1" style="145" customWidth="1"/>
    <col min="2" max="2" width="27.3" style="146" customWidth="1"/>
    <col min="3" max="3" width="8.6" style="147" customWidth="1"/>
    <col min="4" max="4" width="8.3" style="147" customWidth="1"/>
    <col min="5" max="5" width="10.7" style="147" customWidth="1"/>
    <col min="6" max="6" width="11.3" style="147" customWidth="1"/>
    <col min="7" max="7" width="9.4" style="145" customWidth="1"/>
    <col min="8" max="8" width="9.7" style="146" customWidth="1"/>
    <col min="9" max="9" width="10.5" style="148" customWidth="1"/>
    <col min="10" max="10" width="16.4" style="148" customWidth="1"/>
    <col min="11" max="11" width="7.1" style="148" customWidth="1"/>
    <col min="12" max="12" width="12.6" style="148" customWidth="1"/>
    <col min="13" max="13" width="22.9" style="146" customWidth="1"/>
    <col min="14" max="14" width="12.2" style="145" customWidth="1"/>
    <col min="15" max="16384" width="9.8" style="145"/>
  </cols>
  <sheetData>
    <row r="1" s="141" customFormat="1" ht="13.8" customHeight="1" spans="1:14">
      <c r="A1" s="141" t="s">
        <v>664</v>
      </c>
      <c r="L1" s="163"/>
      <c r="M1" s="163"/>
      <c r="N1" s="163"/>
    </row>
    <row r="2" s="142" customFormat="1" ht="15.6" customHeight="1" spans="1:14">
      <c r="A2" s="142" t="s">
        <v>665</v>
      </c>
      <c r="L2" s="164"/>
      <c r="M2" s="164"/>
      <c r="N2" s="164"/>
    </row>
    <row r="3" s="141" customFormat="1" ht="15.6" customHeight="1" spans="1:14">
      <c r="A3" s="168" t="s">
        <v>666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3"/>
      <c r="M3" s="163"/>
      <c r="N3" s="163"/>
    </row>
    <row r="4" s="143" customFormat="1" ht="27.6" customHeight="1" spans="1:12">
      <c r="A4" s="150" t="s">
        <v>154</v>
      </c>
      <c r="B4" s="150" t="s">
        <v>291</v>
      </c>
      <c r="C4" s="169" t="s">
        <v>667</v>
      </c>
      <c r="D4" s="169" t="s">
        <v>643</v>
      </c>
      <c r="E4" s="169" t="s">
        <v>668</v>
      </c>
      <c r="F4" s="169" t="s">
        <v>645</v>
      </c>
      <c r="G4" s="150" t="s">
        <v>646</v>
      </c>
      <c r="H4" s="150"/>
      <c r="I4" s="150"/>
      <c r="J4" s="176" t="s">
        <v>669</v>
      </c>
      <c r="K4" s="176" t="s">
        <v>299</v>
      </c>
      <c r="L4" s="177"/>
    </row>
    <row r="5" s="143" customFormat="1" ht="57" spans="1:12">
      <c r="A5" s="150"/>
      <c r="B5" s="150"/>
      <c r="C5" s="169"/>
      <c r="D5" s="169"/>
      <c r="E5" s="169"/>
      <c r="F5" s="169"/>
      <c r="G5" s="150" t="s">
        <v>650</v>
      </c>
      <c r="H5" s="150" t="s">
        <v>651</v>
      </c>
      <c r="I5" s="176" t="s">
        <v>670</v>
      </c>
      <c r="J5" s="176"/>
      <c r="K5" s="176"/>
      <c r="L5" s="177"/>
    </row>
    <row r="6" s="144" customFormat="1" ht="11.25" spans="1:13">
      <c r="A6" s="657" t="s">
        <v>10</v>
      </c>
      <c r="B6" s="657" t="s">
        <v>11</v>
      </c>
      <c r="C6" s="658" t="s">
        <v>12</v>
      </c>
      <c r="D6" s="658" t="s">
        <v>13</v>
      </c>
      <c r="E6" s="658" t="s">
        <v>14</v>
      </c>
      <c r="F6" s="658" t="s">
        <v>171</v>
      </c>
      <c r="G6" s="657" t="s">
        <v>172</v>
      </c>
      <c r="H6" s="659" t="s">
        <v>173</v>
      </c>
      <c r="I6" s="660" t="s">
        <v>174</v>
      </c>
      <c r="J6" s="661" t="s">
        <v>175</v>
      </c>
      <c r="K6" s="661" t="s">
        <v>176</v>
      </c>
      <c r="L6" s="180"/>
      <c r="M6" s="181"/>
    </row>
    <row r="7" ht="30" spans="1:11">
      <c r="A7" s="157">
        <v>1</v>
      </c>
      <c r="B7" s="158" t="s">
        <v>671</v>
      </c>
      <c r="C7" s="159">
        <v>2.17</v>
      </c>
      <c r="D7" s="159" t="s">
        <v>30</v>
      </c>
      <c r="E7" s="171" t="s">
        <v>672</v>
      </c>
      <c r="F7" s="172">
        <v>1736</v>
      </c>
      <c r="G7" s="172"/>
      <c r="H7" s="172">
        <v>1736</v>
      </c>
      <c r="I7" s="172"/>
      <c r="J7" s="182" t="s">
        <v>673</v>
      </c>
      <c r="K7" s="183"/>
    </row>
    <row r="8" ht="30" spans="1:11">
      <c r="A8" s="157">
        <v>2</v>
      </c>
      <c r="B8" s="158" t="s">
        <v>674</v>
      </c>
      <c r="C8" s="159">
        <v>2</v>
      </c>
      <c r="D8" s="159" t="s">
        <v>30</v>
      </c>
      <c r="E8" s="171" t="s">
        <v>166</v>
      </c>
      <c r="F8" s="172">
        <v>1600</v>
      </c>
      <c r="G8" s="172"/>
      <c r="H8" s="172">
        <v>1600</v>
      </c>
      <c r="I8" s="172"/>
      <c r="J8" s="182" t="s">
        <v>673</v>
      </c>
      <c r="K8" s="183"/>
    </row>
    <row r="9" ht="30" spans="1:11">
      <c r="A9" s="157">
        <v>3</v>
      </c>
      <c r="B9" s="158" t="s">
        <v>675</v>
      </c>
      <c r="C9" s="159">
        <v>2</v>
      </c>
      <c r="D9" s="159" t="s">
        <v>30</v>
      </c>
      <c r="E9" s="171" t="s">
        <v>167</v>
      </c>
      <c r="F9" s="172">
        <v>1600</v>
      </c>
      <c r="G9" s="172"/>
      <c r="H9" s="172">
        <v>1600</v>
      </c>
      <c r="I9" s="172"/>
      <c r="J9" s="182" t="s">
        <v>673</v>
      </c>
      <c r="K9" s="183"/>
    </row>
    <row r="10" s="143" customFormat="1" ht="14.25" spans="1:13">
      <c r="A10" s="150"/>
      <c r="B10" s="161" t="s">
        <v>155</v>
      </c>
      <c r="C10" s="162">
        <f>SUM(C7:C9)</f>
        <v>6.17</v>
      </c>
      <c r="D10" s="162"/>
      <c r="E10" s="162"/>
      <c r="F10" s="162"/>
      <c r="G10" s="150"/>
      <c r="H10" s="161"/>
      <c r="I10" s="184"/>
      <c r="J10" s="184"/>
      <c r="K10" s="184"/>
      <c r="L10" s="165"/>
      <c r="M10" s="166"/>
    </row>
    <row r="11" spans="1:8">
      <c r="A11" s="173"/>
      <c r="B11" s="174"/>
      <c r="C11" s="175"/>
      <c r="D11" s="175"/>
      <c r="E11" s="175"/>
      <c r="F11" s="175"/>
      <c r="G11" s="173"/>
      <c r="H11" s="174"/>
    </row>
    <row r="12" spans="1:8">
      <c r="A12" s="173"/>
      <c r="B12" s="174"/>
      <c r="C12" s="175"/>
      <c r="D12" s="175"/>
      <c r="E12" s="175"/>
      <c r="F12" s="175"/>
      <c r="G12" s="173"/>
      <c r="H12" s="174"/>
    </row>
    <row r="13" spans="1:8">
      <c r="A13" s="173"/>
      <c r="B13" s="174"/>
      <c r="C13" s="175"/>
      <c r="D13" s="175"/>
      <c r="E13" s="175"/>
      <c r="F13" s="175"/>
      <c r="G13" s="173"/>
      <c r="H13" s="174"/>
    </row>
    <row r="14" spans="1:8">
      <c r="A14" s="173"/>
      <c r="B14" s="174"/>
      <c r="C14" s="175"/>
      <c r="D14" s="175"/>
      <c r="E14" s="175"/>
      <c r="F14" s="175"/>
      <c r="G14" s="173"/>
      <c r="H14" s="174"/>
    </row>
    <row r="15" spans="1:8">
      <c r="A15" s="173"/>
      <c r="B15" s="174"/>
      <c r="C15" s="175"/>
      <c r="D15" s="175"/>
      <c r="E15" s="175"/>
      <c r="F15" s="175"/>
      <c r="G15" s="173"/>
      <c r="H15" s="174"/>
    </row>
    <row r="16" spans="1:8">
      <c r="A16" s="173"/>
      <c r="B16" s="174"/>
      <c r="C16" s="175"/>
      <c r="D16" s="175"/>
      <c r="E16" s="175"/>
      <c r="F16" s="175"/>
      <c r="G16" s="173"/>
      <c r="H16" s="174"/>
    </row>
    <row r="17" spans="1:8">
      <c r="A17" s="173"/>
      <c r="B17" s="174"/>
      <c r="C17" s="175"/>
      <c r="D17" s="175"/>
      <c r="E17" s="175"/>
      <c r="F17" s="175"/>
      <c r="G17" s="173"/>
      <c r="H17" s="174"/>
    </row>
    <row r="18" spans="1:8">
      <c r="A18" s="173"/>
      <c r="B18" s="174"/>
      <c r="C18" s="175"/>
      <c r="D18" s="175"/>
      <c r="E18" s="175"/>
      <c r="F18" s="175"/>
      <c r="G18" s="173"/>
      <c r="H18" s="174"/>
    </row>
    <row r="19" spans="1:8">
      <c r="A19" s="173"/>
      <c r="B19" s="174"/>
      <c r="C19" s="175"/>
      <c r="D19" s="175"/>
      <c r="E19" s="175"/>
      <c r="F19" s="175"/>
      <c r="G19" s="173"/>
      <c r="H19" s="174"/>
    </row>
    <row r="20" spans="1:8">
      <c r="A20" s="173"/>
      <c r="B20" s="174"/>
      <c r="C20" s="175"/>
      <c r="D20" s="175"/>
      <c r="E20" s="175"/>
      <c r="F20" s="175"/>
      <c r="G20" s="173"/>
      <c r="H20" s="174"/>
    </row>
    <row r="21" spans="1:8">
      <c r="A21" s="173"/>
      <c r="B21" s="174"/>
      <c r="C21" s="175"/>
      <c r="D21" s="175"/>
      <c r="E21" s="175"/>
      <c r="F21" s="175"/>
      <c r="G21" s="173"/>
      <c r="H21" s="174"/>
    </row>
  </sheetData>
  <mergeCells count="12">
    <mergeCell ref="A1:K1"/>
    <mergeCell ref="A2:K2"/>
    <mergeCell ref="A3:K3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pageMargins left="0.590551181102362" right="0.590551181102362" top="0.984251968503937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:H1"/>
    </sheetView>
  </sheetViews>
  <sheetFormatPr defaultColWidth="9.8" defaultRowHeight="15"/>
  <cols>
    <col min="1" max="1" width="5.1" style="145" customWidth="1"/>
    <col min="2" max="2" width="35.3" style="146" customWidth="1"/>
    <col min="3" max="3" width="9.3" style="147" customWidth="1"/>
    <col min="4" max="4" width="8.1" style="147" customWidth="1"/>
    <col min="5" max="5" width="9.3" style="147" customWidth="1"/>
    <col min="6" max="6" width="11.3" style="147" customWidth="1"/>
    <col min="7" max="7" width="38" style="145" customWidth="1"/>
    <col min="8" max="8" width="11.6" style="146" customWidth="1"/>
    <col min="9" max="9" width="11.1" style="148" customWidth="1"/>
    <col min="10" max="10" width="13" style="148" customWidth="1"/>
    <col min="11" max="11" width="9.8" style="148"/>
    <col min="12" max="12" width="12.6" style="148" customWidth="1"/>
    <col min="13" max="13" width="22.9" style="146" customWidth="1"/>
    <col min="14" max="14" width="12.2" style="145" customWidth="1"/>
    <col min="15" max="16384" width="9.8" style="145"/>
  </cols>
  <sheetData>
    <row r="1" s="141" customFormat="1" ht="13.8" customHeight="1" spans="1:14">
      <c r="A1" s="141" t="s">
        <v>676</v>
      </c>
      <c r="I1" s="163"/>
      <c r="J1" s="163"/>
      <c r="K1" s="163"/>
      <c r="L1" s="163"/>
      <c r="M1" s="163"/>
      <c r="N1" s="163"/>
    </row>
    <row r="2" s="142" customFormat="1" ht="13.8" customHeight="1" spans="1:14">
      <c r="A2" s="142" t="s">
        <v>677</v>
      </c>
      <c r="I2" s="164"/>
      <c r="J2" s="164"/>
      <c r="K2" s="164"/>
      <c r="L2" s="164"/>
      <c r="M2" s="164"/>
      <c r="N2" s="164"/>
    </row>
    <row r="3" s="141" customFormat="1" ht="18.6" customHeight="1" spans="1:14">
      <c r="A3" s="149" t="s">
        <v>641</v>
      </c>
      <c r="B3" s="149"/>
      <c r="C3" s="149"/>
      <c r="D3" s="149"/>
      <c r="E3" s="149"/>
      <c r="F3" s="149"/>
      <c r="G3" s="149"/>
      <c r="H3" s="149"/>
      <c r="I3" s="163"/>
      <c r="J3" s="163"/>
      <c r="K3" s="163"/>
      <c r="L3" s="163"/>
      <c r="M3" s="163"/>
      <c r="N3" s="163"/>
    </row>
    <row r="4" s="143" customFormat="1" ht="14.25" spans="1:8">
      <c r="A4" s="150" t="s">
        <v>154</v>
      </c>
      <c r="B4" s="150" t="s">
        <v>678</v>
      </c>
      <c r="C4" s="151" t="s">
        <v>300</v>
      </c>
      <c r="D4" s="152" t="s">
        <v>679</v>
      </c>
      <c r="E4" s="150" t="s">
        <v>680</v>
      </c>
      <c r="F4" s="152" t="s">
        <v>668</v>
      </c>
      <c r="G4" s="150" t="s">
        <v>298</v>
      </c>
      <c r="H4" s="150" t="s">
        <v>299</v>
      </c>
    </row>
    <row r="5" s="143" customFormat="1" ht="14.25" spans="1:13">
      <c r="A5" s="150"/>
      <c r="B5" s="150"/>
      <c r="C5" s="153"/>
      <c r="D5" s="154"/>
      <c r="E5" s="150"/>
      <c r="F5" s="154"/>
      <c r="G5" s="150"/>
      <c r="H5" s="150"/>
      <c r="I5" s="165"/>
      <c r="J5" s="165"/>
      <c r="K5" s="165"/>
      <c r="L5" s="165"/>
      <c r="M5" s="166"/>
    </row>
    <row r="6" s="144" customFormat="1" ht="11.25" spans="1:12">
      <c r="A6" s="657" t="s">
        <v>10</v>
      </c>
      <c r="B6" s="657" t="s">
        <v>11</v>
      </c>
      <c r="C6" s="658" t="s">
        <v>12</v>
      </c>
      <c r="D6" s="658" t="s">
        <v>13</v>
      </c>
      <c r="E6" s="658" t="s">
        <v>14</v>
      </c>
      <c r="F6" s="658" t="s">
        <v>171</v>
      </c>
      <c r="G6" s="658" t="s">
        <v>172</v>
      </c>
      <c r="H6" s="657" t="s">
        <v>173</v>
      </c>
      <c r="I6" s="167"/>
      <c r="J6" s="167"/>
      <c r="K6" s="167"/>
      <c r="L6" s="167"/>
    </row>
    <row r="7" ht="30" spans="1:8">
      <c r="A7" s="157">
        <v>1</v>
      </c>
      <c r="B7" s="158" t="s">
        <v>566</v>
      </c>
      <c r="C7" s="159">
        <v>1.36</v>
      </c>
      <c r="D7" s="159" t="s">
        <v>126</v>
      </c>
      <c r="E7" s="159" t="s">
        <v>126</v>
      </c>
      <c r="F7" s="159" t="s">
        <v>157</v>
      </c>
      <c r="G7" s="160" t="s">
        <v>567</v>
      </c>
      <c r="H7" s="158"/>
    </row>
    <row r="8" ht="60" spans="1:8">
      <c r="A8" s="157">
        <v>2</v>
      </c>
      <c r="B8" s="158" t="s">
        <v>568</v>
      </c>
      <c r="C8" s="159">
        <v>0.09</v>
      </c>
      <c r="D8" s="159" t="s">
        <v>123</v>
      </c>
      <c r="E8" s="159" t="s">
        <v>123</v>
      </c>
      <c r="F8" s="159" t="s">
        <v>169</v>
      </c>
      <c r="G8" s="160" t="s">
        <v>569</v>
      </c>
      <c r="H8" s="158"/>
    </row>
    <row r="9" ht="60" spans="1:8">
      <c r="A9" s="157">
        <v>3</v>
      </c>
      <c r="B9" s="158" t="s">
        <v>570</v>
      </c>
      <c r="C9" s="159">
        <v>7</v>
      </c>
      <c r="D9" s="159" t="s">
        <v>30</v>
      </c>
      <c r="E9" s="159" t="s">
        <v>126</v>
      </c>
      <c r="F9" s="159" t="s">
        <v>157</v>
      </c>
      <c r="G9" s="160" t="s">
        <v>571</v>
      </c>
      <c r="H9" s="158"/>
    </row>
    <row r="10" ht="30" spans="1:8">
      <c r="A10" s="157">
        <v>4</v>
      </c>
      <c r="B10" s="158" t="s">
        <v>572</v>
      </c>
      <c r="C10" s="159">
        <v>0.24</v>
      </c>
      <c r="D10" s="159" t="s">
        <v>129</v>
      </c>
      <c r="E10" s="159" t="s">
        <v>66</v>
      </c>
      <c r="F10" s="159" t="s">
        <v>157</v>
      </c>
      <c r="G10" s="158" t="s">
        <v>573</v>
      </c>
      <c r="H10" s="158"/>
    </row>
    <row r="11" spans="1:8">
      <c r="A11" s="157"/>
      <c r="B11" s="161" t="s">
        <v>155</v>
      </c>
      <c r="C11" s="162">
        <f>SUM(C7:C10)</f>
        <v>8.69</v>
      </c>
      <c r="D11" s="162">
        <f>SUM(D7:D10)</f>
        <v>0</v>
      </c>
      <c r="E11" s="159"/>
      <c r="F11" s="159"/>
      <c r="G11" s="157"/>
      <c r="H11" s="158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393700787401575" right="0.393700787401575" top="0.984251968503937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6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681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7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  <col min="57" max="107" width="12" customWidth="1"/>
    <col min="108" max="108" width="15.6" customWidth="1"/>
    <col min="109" max="109" width="16.6" customWidth="1"/>
  </cols>
  <sheetData>
    <row r="3" spans="1:56">
      <c r="A3" s="125" t="s">
        <v>689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8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9" customWidth="1"/>
    <col min="2" max="55" width="9.1" customWidth="1"/>
    <col min="56" max="56" width="10.4" customWidth="1"/>
  </cols>
  <sheetData>
    <row r="3" spans="1:56">
      <c r="A3" s="125" t="s">
        <v>690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9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691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0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7" customWidth="1"/>
    <col min="2" max="55" width="9.1" customWidth="1"/>
    <col min="56" max="56" width="10.4" customWidth="1"/>
  </cols>
  <sheetData>
    <row r="3" spans="1:56">
      <c r="A3" s="125" t="s">
        <v>692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1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693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FFFF"/>
  </sheetPr>
  <dimension ref="A1:R60"/>
  <sheetViews>
    <sheetView topLeftCell="A34" workbookViewId="0">
      <selection activeCell="A7" sqref="$A7:$XFD7"/>
    </sheetView>
  </sheetViews>
  <sheetFormatPr defaultColWidth="9" defaultRowHeight="12.75"/>
  <cols>
    <col min="1" max="1" width="4.1" style="574" customWidth="1"/>
    <col min="2" max="2" width="30.9" style="296" customWidth="1"/>
    <col min="3" max="3" width="4.9" style="571" customWidth="1"/>
    <col min="4" max="4" width="10" style="296" customWidth="1"/>
    <col min="5" max="5" width="6.7" style="296" customWidth="1"/>
    <col min="6" max="6" width="8.5" style="296" customWidth="1"/>
    <col min="7" max="7" width="8.2" style="296" customWidth="1"/>
    <col min="8" max="8" width="8.7" style="296" customWidth="1"/>
    <col min="9" max="9" width="8.5" style="296" customWidth="1"/>
    <col min="10" max="10" width="7.9" style="296" customWidth="1"/>
    <col min="11" max="11" width="8.4" style="296" customWidth="1"/>
    <col min="12" max="12" width="8.2" style="296" customWidth="1"/>
    <col min="13" max="13" width="8.6" style="296" customWidth="1"/>
    <col min="14" max="14" width="8.5" style="296" customWidth="1"/>
    <col min="15" max="15" width="7.9" style="296" customWidth="1"/>
    <col min="16" max="16" width="8.2" style="296" customWidth="1"/>
    <col min="17" max="17" width="7.9" style="296" customWidth="1"/>
    <col min="18" max="18" width="8.4" style="296" customWidth="1"/>
    <col min="19" max="16384" width="9" style="296"/>
  </cols>
  <sheetData>
    <row r="1" s="567" customFormat="1" ht="14.25" customHeight="1" spans="1:18">
      <c r="A1" s="275" t="s">
        <v>151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="568" customFormat="1" ht="14.25" spans="1:18">
      <c r="A2" s="276" t="s">
        <v>152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="568" customFormat="1" ht="14.25" spans="1:18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="569" customFormat="1" spans="1:18">
      <c r="A4" s="575" t="s">
        <v>153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</row>
    <row r="5" s="570" customFormat="1" spans="1:18">
      <c r="A5" s="576" t="s">
        <v>154</v>
      </c>
      <c r="B5" s="577" t="s">
        <v>3</v>
      </c>
      <c r="C5" s="577" t="s">
        <v>4</v>
      </c>
      <c r="D5" s="577" t="s">
        <v>155</v>
      </c>
      <c r="E5" s="577" t="s">
        <v>9</v>
      </c>
      <c r="F5" s="577" t="s">
        <v>156</v>
      </c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</row>
    <row r="6" s="571" customFormat="1" ht="25.5" spans="1:18">
      <c r="A6" s="576"/>
      <c r="B6" s="577"/>
      <c r="C6" s="577"/>
      <c r="D6" s="577"/>
      <c r="E6" s="577"/>
      <c r="F6" s="578" t="s">
        <v>157</v>
      </c>
      <c r="G6" s="578" t="s">
        <v>158</v>
      </c>
      <c r="H6" s="578" t="s">
        <v>159</v>
      </c>
      <c r="I6" s="578" t="s">
        <v>160</v>
      </c>
      <c r="J6" s="578" t="s">
        <v>161</v>
      </c>
      <c r="K6" s="578" t="s">
        <v>162</v>
      </c>
      <c r="L6" s="578" t="s">
        <v>163</v>
      </c>
      <c r="M6" s="578" t="s">
        <v>164</v>
      </c>
      <c r="N6" s="578" t="s">
        <v>165</v>
      </c>
      <c r="O6" s="578" t="s">
        <v>166</v>
      </c>
      <c r="P6" s="578" t="s">
        <v>167</v>
      </c>
      <c r="Q6" s="578" t="s">
        <v>168</v>
      </c>
      <c r="R6" s="578" t="s">
        <v>169</v>
      </c>
    </row>
    <row r="7" s="572" customFormat="1" ht="11.25" spans="1:18">
      <c r="A7" s="636" t="s">
        <v>10</v>
      </c>
      <c r="B7" s="637" t="s">
        <v>11</v>
      </c>
      <c r="C7" s="637" t="s">
        <v>12</v>
      </c>
      <c r="D7" s="637" t="s">
        <v>170</v>
      </c>
      <c r="E7" s="580"/>
      <c r="F7" s="637" t="s">
        <v>14</v>
      </c>
      <c r="G7" s="580" t="s">
        <v>171</v>
      </c>
      <c r="H7" s="580" t="s">
        <v>172</v>
      </c>
      <c r="I7" s="580" t="s">
        <v>173</v>
      </c>
      <c r="J7" s="580" t="s">
        <v>174</v>
      </c>
      <c r="K7" s="580" t="s">
        <v>175</v>
      </c>
      <c r="L7" s="580" t="s">
        <v>176</v>
      </c>
      <c r="M7" s="580" t="s">
        <v>177</v>
      </c>
      <c r="N7" s="580" t="s">
        <v>178</v>
      </c>
      <c r="O7" s="580" t="s">
        <v>179</v>
      </c>
      <c r="P7" s="580" t="s">
        <v>180</v>
      </c>
      <c r="Q7" s="601" t="s">
        <v>181</v>
      </c>
      <c r="R7" s="602">
        <v>-17</v>
      </c>
    </row>
    <row r="8" s="570" customFormat="1" customHeight="1" spans="1:18">
      <c r="A8" s="576"/>
      <c r="B8" s="581" t="s">
        <v>16</v>
      </c>
      <c r="C8" s="577"/>
      <c r="D8" s="582">
        <v>66414.220723</v>
      </c>
      <c r="E8" s="582">
        <v>100</v>
      </c>
      <c r="F8" s="582">
        <v>4273.089882</v>
      </c>
      <c r="G8" s="582">
        <v>4713.3926</v>
      </c>
      <c r="H8" s="582">
        <v>1146.920416</v>
      </c>
      <c r="I8" s="582">
        <v>4595.39319</v>
      </c>
      <c r="J8" s="582">
        <v>4122.635591</v>
      </c>
      <c r="K8" s="582">
        <v>5292.497288</v>
      </c>
      <c r="L8" s="582">
        <v>7295.311706</v>
      </c>
      <c r="M8" s="582">
        <v>4445.848691</v>
      </c>
      <c r="N8" s="582">
        <v>7192.917273</v>
      </c>
      <c r="O8" s="582">
        <v>9638.927763</v>
      </c>
      <c r="P8" s="582">
        <v>4585.02141</v>
      </c>
      <c r="Q8" s="582">
        <v>2879.947667</v>
      </c>
      <c r="R8" s="582">
        <v>6232.317246</v>
      </c>
    </row>
    <row r="9" s="569" customFormat="1" customHeight="1" spans="1:18">
      <c r="A9" s="576">
        <v>1</v>
      </c>
      <c r="B9" s="581" t="s">
        <v>17</v>
      </c>
      <c r="C9" s="577" t="s">
        <v>18</v>
      </c>
      <c r="D9" s="582">
        <v>58557.3097831682</v>
      </c>
      <c r="E9" s="582">
        <v>88.1698364381909</v>
      </c>
      <c r="F9" s="582">
        <v>3468.980965</v>
      </c>
      <c r="G9" s="582">
        <v>3898.076125</v>
      </c>
      <c r="H9" s="582">
        <v>944.71683</v>
      </c>
      <c r="I9" s="582">
        <v>4212.994441</v>
      </c>
      <c r="J9" s="582">
        <v>3832.49602584501</v>
      </c>
      <c r="K9" s="582">
        <v>5042.157084</v>
      </c>
      <c r="L9" s="582">
        <v>5428.00001</v>
      </c>
      <c r="M9" s="582">
        <v>4081.02685402905</v>
      </c>
      <c r="N9" s="582">
        <v>6426.944493</v>
      </c>
      <c r="O9" s="582">
        <v>9133.70692429415</v>
      </c>
      <c r="P9" s="582">
        <v>3970.32841</v>
      </c>
      <c r="Q9" s="582">
        <v>2682.153614</v>
      </c>
      <c r="R9" s="582">
        <v>5435.728007</v>
      </c>
    </row>
    <row r="10" customHeight="1" spans="1:18">
      <c r="A10" s="583" t="s">
        <v>20</v>
      </c>
      <c r="B10" s="584" t="s">
        <v>21</v>
      </c>
      <c r="C10" s="585" t="s">
        <v>22</v>
      </c>
      <c r="D10" s="586">
        <v>1020.482</v>
      </c>
      <c r="E10" s="586">
        <v>1.53654140467328</v>
      </c>
      <c r="F10" s="586">
        <v>11.445351</v>
      </c>
      <c r="G10" s="586">
        <v>0</v>
      </c>
      <c r="H10" s="586">
        <v>100.878</v>
      </c>
      <c r="I10" s="586">
        <v>297.176122</v>
      </c>
      <c r="J10" s="586">
        <v>6.070208</v>
      </c>
      <c r="K10" s="586">
        <v>30.27</v>
      </c>
      <c r="L10" s="586">
        <v>96.61703</v>
      </c>
      <c r="M10" s="586">
        <v>190.149105</v>
      </c>
      <c r="N10" s="586">
        <v>0</v>
      </c>
      <c r="O10" s="586">
        <v>42.44</v>
      </c>
      <c r="P10" s="586">
        <v>57.81</v>
      </c>
      <c r="Q10" s="586">
        <v>14.97062</v>
      </c>
      <c r="R10" s="586">
        <v>172.655564</v>
      </c>
    </row>
    <row r="11" s="573" customFormat="1" customHeight="1" spans="1:18">
      <c r="A11" s="587"/>
      <c r="B11" s="588" t="s">
        <v>23</v>
      </c>
      <c r="C11" s="589" t="s">
        <v>24</v>
      </c>
      <c r="D11" s="590">
        <v>74.08723</v>
      </c>
      <c r="E11" s="590">
        <v>0.111553262529425</v>
      </c>
      <c r="F11" s="586">
        <v>0</v>
      </c>
      <c r="G11" s="586">
        <v>0</v>
      </c>
      <c r="H11" s="586">
        <v>0</v>
      </c>
      <c r="I11" s="586">
        <v>0</v>
      </c>
      <c r="J11" s="586">
        <v>0</v>
      </c>
      <c r="K11" s="586">
        <v>0</v>
      </c>
      <c r="L11" s="586">
        <v>0</v>
      </c>
      <c r="M11" s="586">
        <v>74.08723</v>
      </c>
      <c r="N11" s="586">
        <v>0</v>
      </c>
      <c r="O11" s="586">
        <v>0</v>
      </c>
      <c r="P11" s="586">
        <v>0</v>
      </c>
      <c r="Q11" s="586">
        <v>0</v>
      </c>
      <c r="R11" s="586">
        <v>0</v>
      </c>
    </row>
    <row r="12" customHeight="1" spans="1:18">
      <c r="A12" s="583" t="s">
        <v>25</v>
      </c>
      <c r="B12" s="638" t="s">
        <v>26</v>
      </c>
      <c r="C12" s="585" t="s">
        <v>27</v>
      </c>
      <c r="D12" s="586">
        <v>235.541007</v>
      </c>
      <c r="E12" s="586">
        <v>0.354654476760923</v>
      </c>
      <c r="F12" s="586">
        <v>66.078681</v>
      </c>
      <c r="G12" s="586">
        <v>12.185812</v>
      </c>
      <c r="H12" s="586">
        <v>2.14587</v>
      </c>
      <c r="I12" s="586">
        <v>28.622114</v>
      </c>
      <c r="J12" s="586">
        <v>17.37202</v>
      </c>
      <c r="K12" s="586">
        <v>12.213896</v>
      </c>
      <c r="L12" s="586">
        <v>21.945886</v>
      </c>
      <c r="M12" s="586">
        <v>21.226888</v>
      </c>
      <c r="N12" s="586">
        <v>16.197889</v>
      </c>
      <c r="O12" s="586">
        <v>0</v>
      </c>
      <c r="P12" s="586">
        <v>12.16731</v>
      </c>
      <c r="Q12" s="586">
        <v>0</v>
      </c>
      <c r="R12" s="586">
        <v>25.384641</v>
      </c>
    </row>
    <row r="13" s="573" customFormat="1" customHeight="1" spans="1:18">
      <c r="A13" s="583" t="s">
        <v>28</v>
      </c>
      <c r="B13" s="591" t="s">
        <v>29</v>
      </c>
      <c r="C13" s="585" t="s">
        <v>30</v>
      </c>
      <c r="D13" s="586">
        <v>50358.4742513232</v>
      </c>
      <c r="E13" s="586">
        <v>75.8248364628985</v>
      </c>
      <c r="F13" s="586">
        <v>3383.365025</v>
      </c>
      <c r="G13" s="586">
        <v>2189.296968</v>
      </c>
      <c r="H13" s="586">
        <v>840.64617</v>
      </c>
      <c r="I13" s="586">
        <v>3840.987073</v>
      </c>
      <c r="J13" s="586">
        <v>3746.89825</v>
      </c>
      <c r="K13" s="586">
        <v>3262.600742</v>
      </c>
      <c r="L13" s="586">
        <v>5133.262296</v>
      </c>
      <c r="M13" s="586">
        <v>3867.74276802905</v>
      </c>
      <c r="N13" s="586">
        <v>3468.327937</v>
      </c>
      <c r="O13" s="586">
        <v>8927.36215629415</v>
      </c>
      <c r="P13" s="586">
        <v>3872.24561</v>
      </c>
      <c r="Q13" s="586">
        <v>2645.118835</v>
      </c>
      <c r="R13" s="586">
        <v>5180.620421</v>
      </c>
    </row>
    <row r="14" customHeight="1" spans="1:18">
      <c r="A14" s="583" t="s">
        <v>31</v>
      </c>
      <c r="B14" s="584" t="s">
        <v>32</v>
      </c>
      <c r="C14" s="585" t="s">
        <v>33</v>
      </c>
      <c r="D14" s="586">
        <v>512.886725</v>
      </c>
      <c r="E14" s="586">
        <v>0.772254374765827</v>
      </c>
      <c r="F14" s="586">
        <v>0</v>
      </c>
      <c r="G14" s="586">
        <v>0</v>
      </c>
      <c r="H14" s="586">
        <v>0</v>
      </c>
      <c r="I14" s="586">
        <v>0</v>
      </c>
      <c r="J14" s="586">
        <v>0</v>
      </c>
      <c r="K14" s="586">
        <v>72.067524</v>
      </c>
      <c r="L14" s="586">
        <v>29.087444</v>
      </c>
      <c r="M14" s="586">
        <v>0</v>
      </c>
      <c r="N14" s="586">
        <v>411.731757</v>
      </c>
      <c r="O14" s="586">
        <v>0</v>
      </c>
      <c r="P14" s="586">
        <v>0</v>
      </c>
      <c r="Q14" s="586">
        <v>0</v>
      </c>
      <c r="R14" s="586">
        <v>0</v>
      </c>
    </row>
    <row r="15" customHeight="1" spans="1:18">
      <c r="A15" s="583" t="s">
        <v>34</v>
      </c>
      <c r="B15" s="592" t="s">
        <v>35</v>
      </c>
      <c r="C15" s="585" t="s">
        <v>182</v>
      </c>
      <c r="D15" s="586">
        <v>0</v>
      </c>
      <c r="E15" s="586">
        <v>0</v>
      </c>
      <c r="F15" s="586">
        <v>0</v>
      </c>
      <c r="G15" s="586">
        <v>0</v>
      </c>
      <c r="H15" s="586">
        <v>0</v>
      </c>
      <c r="I15" s="586">
        <v>0</v>
      </c>
      <c r="J15" s="586">
        <v>0</v>
      </c>
      <c r="K15" s="586">
        <v>0</v>
      </c>
      <c r="L15" s="586">
        <v>0</v>
      </c>
      <c r="M15" s="586">
        <v>0</v>
      </c>
      <c r="N15" s="586">
        <v>0</v>
      </c>
      <c r="O15" s="586">
        <v>0</v>
      </c>
      <c r="P15" s="586">
        <v>0</v>
      </c>
      <c r="Q15" s="586">
        <v>0</v>
      </c>
      <c r="R15" s="586">
        <v>0</v>
      </c>
    </row>
    <row r="16" customHeight="1" spans="1:18">
      <c r="A16" s="583" t="s">
        <v>36</v>
      </c>
      <c r="B16" s="592" t="s">
        <v>37</v>
      </c>
      <c r="C16" s="585" t="s">
        <v>38</v>
      </c>
      <c r="D16" s="586">
        <v>5864.184375</v>
      </c>
      <c r="E16" s="586">
        <v>8.82971193693336</v>
      </c>
      <c r="F16" s="586">
        <v>0</v>
      </c>
      <c r="G16" s="586">
        <v>1696.593345</v>
      </c>
      <c r="H16" s="586">
        <v>0</v>
      </c>
      <c r="I16" s="586">
        <v>0</v>
      </c>
      <c r="J16" s="586">
        <v>0</v>
      </c>
      <c r="K16" s="586">
        <v>1563.671263</v>
      </c>
      <c r="L16" s="586">
        <v>81.585236</v>
      </c>
      <c r="M16" s="586">
        <v>0</v>
      </c>
      <c r="N16" s="586">
        <v>2522.334531</v>
      </c>
      <c r="O16" s="586">
        <v>0</v>
      </c>
      <c r="P16" s="586">
        <v>0</v>
      </c>
      <c r="Q16" s="586">
        <v>0</v>
      </c>
      <c r="R16" s="586">
        <v>0</v>
      </c>
    </row>
    <row r="17" s="573" customFormat="1" ht="25.5" spans="1:18">
      <c r="A17" s="587"/>
      <c r="B17" s="593" t="s">
        <v>39</v>
      </c>
      <c r="C17" s="589" t="s">
        <v>40</v>
      </c>
      <c r="D17" s="590">
        <v>0</v>
      </c>
      <c r="E17" s="590">
        <v>0</v>
      </c>
      <c r="F17" s="586">
        <v>0</v>
      </c>
      <c r="G17" s="586">
        <v>0</v>
      </c>
      <c r="H17" s="586">
        <v>0</v>
      </c>
      <c r="I17" s="586">
        <v>0</v>
      </c>
      <c r="J17" s="586">
        <v>0</v>
      </c>
      <c r="K17" s="586">
        <v>0</v>
      </c>
      <c r="L17" s="586">
        <v>0</v>
      </c>
      <c r="M17" s="586">
        <v>0</v>
      </c>
      <c r="N17" s="586">
        <v>0</v>
      </c>
      <c r="O17" s="586">
        <v>0</v>
      </c>
      <c r="P17" s="586">
        <v>0</v>
      </c>
      <c r="Q17" s="586">
        <v>0</v>
      </c>
      <c r="R17" s="586">
        <v>0</v>
      </c>
    </row>
    <row r="18" spans="1:18">
      <c r="A18" s="583" t="s">
        <v>41</v>
      </c>
      <c r="B18" s="592" t="s">
        <v>42</v>
      </c>
      <c r="C18" s="585" t="s">
        <v>43</v>
      </c>
      <c r="D18" s="586">
        <v>44.7262838450067</v>
      </c>
      <c r="E18" s="586">
        <v>0.0673444382213725</v>
      </c>
      <c r="F18" s="586">
        <v>7.791958</v>
      </c>
      <c r="G18" s="586">
        <v>0</v>
      </c>
      <c r="H18" s="586">
        <v>1.04679</v>
      </c>
      <c r="I18" s="586">
        <v>5.427753</v>
      </c>
      <c r="J18" s="586">
        <v>9.0874028450067</v>
      </c>
      <c r="K18" s="586">
        <v>6.742559</v>
      </c>
      <c r="L18" s="586">
        <v>2.603812</v>
      </c>
      <c r="M18" s="586">
        <v>0.018093</v>
      </c>
      <c r="N18" s="586">
        <v>0</v>
      </c>
      <c r="O18" s="586">
        <v>0.274132</v>
      </c>
      <c r="P18" s="586">
        <v>0.97624</v>
      </c>
      <c r="Q18" s="586">
        <v>3.378251</v>
      </c>
      <c r="R18" s="586">
        <v>7.379293</v>
      </c>
    </row>
    <row r="19" customHeight="1" spans="1:18">
      <c r="A19" s="583" t="s">
        <v>44</v>
      </c>
      <c r="B19" s="584" t="s">
        <v>45</v>
      </c>
      <c r="C19" s="585" t="s">
        <v>46</v>
      </c>
      <c r="D19" s="586">
        <v>0</v>
      </c>
      <c r="E19" s="586">
        <v>0</v>
      </c>
      <c r="F19" s="586">
        <v>0</v>
      </c>
      <c r="G19" s="586">
        <v>0</v>
      </c>
      <c r="H19" s="586">
        <v>0</v>
      </c>
      <c r="I19" s="586">
        <v>0</v>
      </c>
      <c r="J19" s="586">
        <v>0</v>
      </c>
      <c r="K19" s="586">
        <v>0</v>
      </c>
      <c r="L19" s="586">
        <v>0</v>
      </c>
      <c r="M19" s="586">
        <v>0</v>
      </c>
      <c r="N19" s="586">
        <v>0</v>
      </c>
      <c r="O19" s="586">
        <v>0</v>
      </c>
      <c r="P19" s="586">
        <v>0</v>
      </c>
      <c r="Q19" s="586">
        <v>0</v>
      </c>
      <c r="R19" s="586">
        <v>0</v>
      </c>
    </row>
    <row r="20" customHeight="1" spans="1:18">
      <c r="A20" s="594" t="s">
        <v>47</v>
      </c>
      <c r="B20" s="595" t="s">
        <v>48</v>
      </c>
      <c r="C20" s="596" t="s">
        <v>49</v>
      </c>
      <c r="D20" s="597">
        <v>521.015141</v>
      </c>
      <c r="E20" s="597">
        <v>0.784493343937658</v>
      </c>
      <c r="F20" s="597">
        <v>0.29995</v>
      </c>
      <c r="G20" s="597">
        <v>0</v>
      </c>
      <c r="H20" s="597">
        <v>0</v>
      </c>
      <c r="I20" s="597">
        <v>40.781379</v>
      </c>
      <c r="J20" s="597">
        <v>53.068145</v>
      </c>
      <c r="K20" s="597">
        <v>94.5911</v>
      </c>
      <c r="L20" s="597">
        <v>62.898306</v>
      </c>
      <c r="M20" s="597">
        <v>1.89</v>
      </c>
      <c r="N20" s="597">
        <v>8.352379</v>
      </c>
      <c r="O20" s="597">
        <v>163.630636</v>
      </c>
      <c r="P20" s="597">
        <v>27.12925</v>
      </c>
      <c r="Q20" s="597">
        <v>18.685908</v>
      </c>
      <c r="R20" s="597">
        <v>49.688088</v>
      </c>
    </row>
    <row r="21" s="569" customFormat="1" customHeight="1" spans="1:18">
      <c r="A21" s="576">
        <v>2</v>
      </c>
      <c r="B21" s="598" t="s">
        <v>50</v>
      </c>
      <c r="C21" s="577" t="s">
        <v>51</v>
      </c>
      <c r="D21" s="582">
        <v>7856.91093983179</v>
      </c>
      <c r="E21" s="582">
        <v>11.8301635618091</v>
      </c>
      <c r="F21" s="582">
        <v>804.108917</v>
      </c>
      <c r="G21" s="582">
        <v>815.316475</v>
      </c>
      <c r="H21" s="582">
        <v>202.203586</v>
      </c>
      <c r="I21" s="582">
        <v>382.398749</v>
      </c>
      <c r="J21" s="582">
        <v>290.139565154993</v>
      </c>
      <c r="K21" s="582">
        <v>250.340204</v>
      </c>
      <c r="L21" s="582">
        <v>1867.311696</v>
      </c>
      <c r="M21" s="582">
        <v>364.821836970947</v>
      </c>
      <c r="N21" s="582">
        <v>765.97278</v>
      </c>
      <c r="O21" s="582">
        <v>505.220838705848</v>
      </c>
      <c r="P21" s="582">
        <v>614.693</v>
      </c>
      <c r="Q21" s="582">
        <v>197.794053</v>
      </c>
      <c r="R21" s="582">
        <v>796.589239</v>
      </c>
    </row>
    <row r="22" customHeight="1" spans="1:18">
      <c r="A22" s="583" t="s">
        <v>52</v>
      </c>
      <c r="B22" s="599" t="s">
        <v>53</v>
      </c>
      <c r="C22" s="585" t="s">
        <v>54</v>
      </c>
      <c r="D22" s="597">
        <v>374.661245970947</v>
      </c>
      <c r="E22" s="586">
        <v>0.56412804651218</v>
      </c>
      <c r="F22" s="586">
        <v>3.787657</v>
      </c>
      <c r="G22" s="586">
        <v>0</v>
      </c>
      <c r="H22" s="586">
        <v>29.389436</v>
      </c>
      <c r="I22" s="586">
        <v>0</v>
      </c>
      <c r="J22" s="586">
        <v>0</v>
      </c>
      <c r="K22" s="586">
        <v>0</v>
      </c>
      <c r="L22" s="586">
        <v>0</v>
      </c>
      <c r="M22" s="586">
        <v>79.6886329709473</v>
      </c>
      <c r="N22" s="586">
        <v>0</v>
      </c>
      <c r="O22" s="586">
        <v>0</v>
      </c>
      <c r="P22" s="586">
        <v>261.79552</v>
      </c>
      <c r="Q22" s="586">
        <v>0</v>
      </c>
      <c r="R22" s="586">
        <v>0</v>
      </c>
    </row>
    <row r="23" customHeight="1" spans="1:18">
      <c r="A23" s="583" t="s">
        <v>55</v>
      </c>
      <c r="B23" s="599" t="s">
        <v>56</v>
      </c>
      <c r="C23" s="585" t="s">
        <v>57</v>
      </c>
      <c r="D23" s="597">
        <v>1080.133578</v>
      </c>
      <c r="E23" s="586">
        <v>1.62635888254266</v>
      </c>
      <c r="F23" s="586">
        <v>4.507001</v>
      </c>
      <c r="G23" s="586">
        <v>0</v>
      </c>
      <c r="H23" s="586">
        <v>0</v>
      </c>
      <c r="I23" s="586">
        <v>0</v>
      </c>
      <c r="J23" s="586">
        <v>0</v>
      </c>
      <c r="K23" s="586">
        <v>5.522324</v>
      </c>
      <c r="L23" s="586">
        <v>1070.104253</v>
      </c>
      <c r="M23" s="586">
        <v>0</v>
      </c>
      <c r="N23" s="586">
        <v>0</v>
      </c>
      <c r="O23" s="586">
        <v>0</v>
      </c>
      <c r="P23" s="586">
        <v>0</v>
      </c>
      <c r="Q23" s="586">
        <v>0</v>
      </c>
      <c r="R23" s="586">
        <v>0</v>
      </c>
    </row>
    <row r="24" customHeight="1" spans="1:18">
      <c r="A24" s="583" t="s">
        <v>58</v>
      </c>
      <c r="B24" s="599" t="s">
        <v>59</v>
      </c>
      <c r="C24" s="585" t="s">
        <v>60</v>
      </c>
      <c r="D24" s="597">
        <v>863.088499</v>
      </c>
      <c r="E24" s="586">
        <v>1.29955375460892</v>
      </c>
      <c r="F24" s="586">
        <v>160.005899</v>
      </c>
      <c r="G24" s="586">
        <v>655</v>
      </c>
      <c r="H24" s="586">
        <v>48.0826</v>
      </c>
      <c r="I24" s="586">
        <v>0</v>
      </c>
      <c r="J24" s="586">
        <v>0</v>
      </c>
      <c r="K24" s="586">
        <v>0</v>
      </c>
      <c r="L24" s="586">
        <v>0</v>
      </c>
      <c r="M24" s="586">
        <v>0</v>
      </c>
      <c r="N24" s="586">
        <v>0</v>
      </c>
      <c r="O24" s="586">
        <v>0</v>
      </c>
      <c r="P24" s="586">
        <v>0</v>
      </c>
      <c r="Q24" s="586">
        <v>0</v>
      </c>
      <c r="R24" s="586">
        <v>0</v>
      </c>
    </row>
    <row r="25" customHeight="1" spans="1:18">
      <c r="A25" s="583" t="s">
        <v>61</v>
      </c>
      <c r="B25" s="584" t="s">
        <v>62</v>
      </c>
      <c r="C25" s="585" t="s">
        <v>63</v>
      </c>
      <c r="D25" s="597">
        <v>0</v>
      </c>
      <c r="E25" s="586">
        <v>0</v>
      </c>
      <c r="F25" s="586">
        <v>0</v>
      </c>
      <c r="G25" s="586">
        <v>0</v>
      </c>
      <c r="H25" s="586">
        <v>0</v>
      </c>
      <c r="I25" s="586">
        <v>0</v>
      </c>
      <c r="J25" s="586">
        <v>0</v>
      </c>
      <c r="K25" s="586">
        <v>0</v>
      </c>
      <c r="L25" s="586">
        <v>0</v>
      </c>
      <c r="M25" s="586">
        <v>0</v>
      </c>
      <c r="N25" s="586">
        <v>0</v>
      </c>
      <c r="O25" s="586">
        <v>0</v>
      </c>
      <c r="P25" s="586">
        <v>0</v>
      </c>
      <c r="Q25" s="586">
        <v>0</v>
      </c>
      <c r="R25" s="586">
        <v>0</v>
      </c>
    </row>
    <row r="26" customHeight="1" spans="1:18">
      <c r="A26" s="583" t="s">
        <v>64</v>
      </c>
      <c r="B26" s="584" t="s">
        <v>65</v>
      </c>
      <c r="C26" s="585" t="s">
        <v>66</v>
      </c>
      <c r="D26" s="597">
        <v>9.755852</v>
      </c>
      <c r="E26" s="586">
        <v>0.0146894022000042</v>
      </c>
      <c r="F26" s="586">
        <v>3.352355</v>
      </c>
      <c r="G26" s="586">
        <v>0.246618</v>
      </c>
      <c r="H26" s="586">
        <v>1.49564</v>
      </c>
      <c r="I26" s="586">
        <v>0.200012</v>
      </c>
      <c r="J26" s="586">
        <v>0.018641</v>
      </c>
      <c r="K26" s="586">
        <v>0.05825</v>
      </c>
      <c r="L26" s="586">
        <v>0.659039</v>
      </c>
      <c r="M26" s="586">
        <v>0.362259</v>
      </c>
      <c r="N26" s="586">
        <v>0.76886</v>
      </c>
      <c r="O26" s="586">
        <v>0.348202</v>
      </c>
      <c r="P26" s="586">
        <v>0.04451</v>
      </c>
      <c r="Q26" s="586">
        <v>0.548488</v>
      </c>
      <c r="R26" s="586">
        <v>1.652978</v>
      </c>
    </row>
    <row r="27" customHeight="1" spans="1:18">
      <c r="A27" s="583" t="s">
        <v>67</v>
      </c>
      <c r="B27" s="584" t="s">
        <v>68</v>
      </c>
      <c r="C27" s="585" t="s">
        <v>69</v>
      </c>
      <c r="D27" s="597">
        <v>459.010793</v>
      </c>
      <c r="E27" s="586">
        <v>0.691133296458358</v>
      </c>
      <c r="F27" s="586">
        <v>84.041016</v>
      </c>
      <c r="G27" s="586">
        <v>1.95</v>
      </c>
      <c r="H27" s="586">
        <v>0.43788</v>
      </c>
      <c r="I27" s="586">
        <v>16.306878</v>
      </c>
      <c r="J27" s="586">
        <v>5.096207</v>
      </c>
      <c r="K27" s="586">
        <v>0.815585</v>
      </c>
      <c r="L27" s="586">
        <v>303.788234</v>
      </c>
      <c r="M27" s="586">
        <v>1.595596</v>
      </c>
      <c r="N27" s="586">
        <v>0</v>
      </c>
      <c r="O27" s="586">
        <v>13.919485</v>
      </c>
      <c r="P27" s="586">
        <v>16.1122</v>
      </c>
      <c r="Q27" s="586">
        <v>2.848633</v>
      </c>
      <c r="R27" s="586">
        <v>12.099079</v>
      </c>
    </row>
    <row r="28" customHeight="1" spans="1:18">
      <c r="A28" s="583" t="s">
        <v>70</v>
      </c>
      <c r="B28" s="584" t="s">
        <v>71</v>
      </c>
      <c r="C28" s="585" t="s">
        <v>72</v>
      </c>
      <c r="D28" s="597">
        <v>318.938372</v>
      </c>
      <c r="E28" s="586">
        <v>0.480226024679603</v>
      </c>
      <c r="F28" s="586">
        <v>0</v>
      </c>
      <c r="G28" s="586">
        <v>0</v>
      </c>
      <c r="H28" s="586">
        <v>0</v>
      </c>
      <c r="I28" s="586">
        <v>73.029508</v>
      </c>
      <c r="J28" s="586">
        <v>70.2</v>
      </c>
      <c r="K28" s="586">
        <v>15.004117</v>
      </c>
      <c r="L28" s="586">
        <v>118.9</v>
      </c>
      <c r="M28" s="586">
        <v>0</v>
      </c>
      <c r="N28" s="586">
        <v>0</v>
      </c>
      <c r="O28" s="586">
        <v>0</v>
      </c>
      <c r="P28" s="586">
        <v>0</v>
      </c>
      <c r="Q28" s="586">
        <v>0</v>
      </c>
      <c r="R28" s="586">
        <v>41.804747</v>
      </c>
    </row>
    <row r="29" spans="1:18">
      <c r="A29" s="583" t="s">
        <v>73</v>
      </c>
      <c r="B29" s="584" t="s">
        <v>74</v>
      </c>
      <c r="C29" s="585" t="s">
        <v>75</v>
      </c>
      <c r="D29" s="597">
        <v>52.113983</v>
      </c>
      <c r="E29" s="586">
        <v>0.0784681088367455</v>
      </c>
      <c r="F29" s="586">
        <v>10.075805</v>
      </c>
      <c r="G29" s="586">
        <v>0</v>
      </c>
      <c r="H29" s="586">
        <v>0</v>
      </c>
      <c r="I29" s="586">
        <v>8.167945</v>
      </c>
      <c r="J29" s="586">
        <v>0</v>
      </c>
      <c r="K29" s="586">
        <v>0</v>
      </c>
      <c r="L29" s="586">
        <v>0</v>
      </c>
      <c r="M29" s="586">
        <v>0</v>
      </c>
      <c r="N29" s="586">
        <v>21.434463</v>
      </c>
      <c r="O29" s="586">
        <v>0</v>
      </c>
      <c r="P29" s="586">
        <v>1.92501</v>
      </c>
      <c r="Q29" s="586">
        <v>4.518776</v>
      </c>
      <c r="R29" s="586">
        <v>5.991984</v>
      </c>
    </row>
    <row r="30" spans="1:18">
      <c r="A30" s="583" t="s">
        <v>76</v>
      </c>
      <c r="B30" s="584" t="s">
        <v>183</v>
      </c>
      <c r="C30" s="585" t="s">
        <v>78</v>
      </c>
      <c r="D30" s="597">
        <v>2209.54918470585</v>
      </c>
      <c r="E30" s="586">
        <v>3.32692179574224</v>
      </c>
      <c r="F30" s="586">
        <v>314.179687</v>
      </c>
      <c r="G30" s="586">
        <v>103.911246</v>
      </c>
      <c r="H30" s="586">
        <v>63.14257</v>
      </c>
      <c r="I30" s="586">
        <v>119.225477</v>
      </c>
      <c r="J30" s="586">
        <v>92.082756</v>
      </c>
      <c r="K30" s="586">
        <v>143.278558</v>
      </c>
      <c r="L30" s="586">
        <v>161.520642</v>
      </c>
      <c r="M30" s="586">
        <v>159.755998</v>
      </c>
      <c r="N30" s="586">
        <v>95.236154</v>
      </c>
      <c r="O30" s="586">
        <v>202.048617705848</v>
      </c>
      <c r="P30" s="586">
        <v>180.71915</v>
      </c>
      <c r="Q30" s="586">
        <v>131.54667</v>
      </c>
      <c r="R30" s="586">
        <v>442.901659</v>
      </c>
    </row>
    <row r="31" s="573" customFormat="1" spans="1:18">
      <c r="A31" s="587"/>
      <c r="B31" s="588" t="s">
        <v>19</v>
      </c>
      <c r="C31" s="589"/>
      <c r="D31" s="600"/>
      <c r="E31" s="59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</row>
    <row r="32" s="573" customFormat="1" spans="1:18">
      <c r="A32" s="587" t="s">
        <v>79</v>
      </c>
      <c r="B32" s="588" t="s">
        <v>80</v>
      </c>
      <c r="C32" s="589" t="s">
        <v>81</v>
      </c>
      <c r="D32" s="600">
        <v>1589.484629</v>
      </c>
      <c r="E32" s="590">
        <v>2.39328958722472</v>
      </c>
      <c r="F32" s="600">
        <v>211.939789</v>
      </c>
      <c r="G32" s="600">
        <v>96.002426</v>
      </c>
      <c r="H32" s="600">
        <v>56.58164</v>
      </c>
      <c r="I32" s="600">
        <v>90.540531</v>
      </c>
      <c r="J32" s="600">
        <v>85.152877</v>
      </c>
      <c r="K32" s="600">
        <v>97.522426</v>
      </c>
      <c r="L32" s="600">
        <v>137.315973</v>
      </c>
      <c r="M32" s="600">
        <v>133.461409</v>
      </c>
      <c r="N32" s="600">
        <v>85.807368</v>
      </c>
      <c r="O32" s="600">
        <v>176.754726</v>
      </c>
      <c r="P32" s="600">
        <v>145.10652</v>
      </c>
      <c r="Q32" s="600">
        <v>77.324143</v>
      </c>
      <c r="R32" s="600">
        <v>195.974801</v>
      </c>
    </row>
    <row r="33" s="573" customFormat="1" spans="1:18">
      <c r="A33" s="587" t="s">
        <v>79</v>
      </c>
      <c r="B33" s="588" t="s">
        <v>82</v>
      </c>
      <c r="C33" s="589" t="s">
        <v>83</v>
      </c>
      <c r="D33" s="600">
        <v>108.314269</v>
      </c>
      <c r="E33" s="590">
        <v>0.163088970736789</v>
      </c>
      <c r="F33" s="600">
        <v>62.13225</v>
      </c>
      <c r="G33" s="600">
        <v>0</v>
      </c>
      <c r="H33" s="600">
        <v>0</v>
      </c>
      <c r="I33" s="600">
        <v>0</v>
      </c>
      <c r="J33" s="600">
        <v>0</v>
      </c>
      <c r="K33" s="600">
        <v>6.503504</v>
      </c>
      <c r="L33" s="600">
        <v>0</v>
      </c>
      <c r="M33" s="600">
        <v>0</v>
      </c>
      <c r="N33" s="600">
        <v>0</v>
      </c>
      <c r="O33" s="600">
        <v>0</v>
      </c>
      <c r="P33" s="600">
        <v>0.21177</v>
      </c>
      <c r="Q33" s="600">
        <v>39.444101</v>
      </c>
      <c r="R33" s="600">
        <v>0.022644</v>
      </c>
    </row>
    <row r="34" s="573" customFormat="1" customHeight="1" spans="1:18">
      <c r="A34" s="587" t="s">
        <v>79</v>
      </c>
      <c r="B34" s="588" t="s">
        <v>84</v>
      </c>
      <c r="C34" s="589" t="s">
        <v>85</v>
      </c>
      <c r="D34" s="600">
        <v>27.312509</v>
      </c>
      <c r="E34" s="590">
        <v>0.0411244891570961</v>
      </c>
      <c r="F34" s="600">
        <v>3.736268</v>
      </c>
      <c r="G34" s="600">
        <v>0.410272</v>
      </c>
      <c r="H34" s="600">
        <v>0.52928</v>
      </c>
      <c r="I34" s="600">
        <v>13.678282</v>
      </c>
      <c r="J34" s="600">
        <v>0</v>
      </c>
      <c r="K34" s="600">
        <v>0</v>
      </c>
      <c r="L34" s="600">
        <v>0</v>
      </c>
      <c r="M34" s="600">
        <v>0.763202</v>
      </c>
      <c r="N34" s="600">
        <v>0</v>
      </c>
      <c r="O34" s="600">
        <v>0.093435</v>
      </c>
      <c r="P34" s="600">
        <v>8.10177</v>
      </c>
      <c r="Q34" s="600">
        <v>0</v>
      </c>
      <c r="R34" s="600">
        <v>0</v>
      </c>
    </row>
    <row r="35" s="573" customFormat="1" customHeight="1" spans="1:18">
      <c r="A35" s="587" t="s">
        <v>79</v>
      </c>
      <c r="B35" s="588" t="s">
        <v>86</v>
      </c>
      <c r="C35" s="589" t="s">
        <v>87</v>
      </c>
      <c r="D35" s="600">
        <v>32.223338</v>
      </c>
      <c r="E35" s="590">
        <v>0.048518732357633</v>
      </c>
      <c r="F35" s="600">
        <v>4.697652</v>
      </c>
      <c r="G35" s="600">
        <v>0.500223</v>
      </c>
      <c r="H35" s="600">
        <v>0.27368</v>
      </c>
      <c r="I35" s="600">
        <v>0.181168</v>
      </c>
      <c r="J35" s="600">
        <v>0.495644</v>
      </c>
      <c r="K35" s="600">
        <v>23.007595</v>
      </c>
      <c r="L35" s="600">
        <v>0.510418</v>
      </c>
      <c r="M35" s="600">
        <v>0.239749</v>
      </c>
      <c r="N35" s="600">
        <v>0.430636</v>
      </c>
      <c r="O35" s="600">
        <v>0.286571</v>
      </c>
      <c r="P35" s="600">
        <v>1.17586</v>
      </c>
      <c r="Q35" s="600">
        <v>0.188854</v>
      </c>
      <c r="R35" s="600">
        <v>0.235288</v>
      </c>
    </row>
    <row r="36" s="573" customFormat="1" customHeight="1" spans="1:18">
      <c r="A36" s="587" t="s">
        <v>79</v>
      </c>
      <c r="B36" s="588" t="s">
        <v>88</v>
      </c>
      <c r="C36" s="589" t="s">
        <v>89</v>
      </c>
      <c r="D36" s="600">
        <v>65.7621557058477</v>
      </c>
      <c r="E36" s="590">
        <v>0.0990181846447135</v>
      </c>
      <c r="F36" s="600">
        <v>10.518236</v>
      </c>
      <c r="G36" s="600">
        <v>3.52305</v>
      </c>
      <c r="H36" s="600">
        <v>5.01999</v>
      </c>
      <c r="I36" s="600">
        <v>2.710359</v>
      </c>
      <c r="J36" s="600">
        <v>3.882539</v>
      </c>
      <c r="K36" s="600">
        <v>2.54647</v>
      </c>
      <c r="L36" s="600">
        <v>3.291388</v>
      </c>
      <c r="M36" s="600">
        <v>4.233837</v>
      </c>
      <c r="N36" s="600">
        <v>4.341756</v>
      </c>
      <c r="O36" s="600">
        <v>4.22268770584774</v>
      </c>
      <c r="P36" s="600">
        <v>9.17875</v>
      </c>
      <c r="Q36" s="600">
        <v>4.57015</v>
      </c>
      <c r="R36" s="600">
        <v>7.722943</v>
      </c>
    </row>
    <row r="37" s="573" customFormat="1" customHeight="1" spans="1:18">
      <c r="A37" s="587" t="s">
        <v>79</v>
      </c>
      <c r="B37" s="588" t="s">
        <v>90</v>
      </c>
      <c r="C37" s="589" t="s">
        <v>91</v>
      </c>
      <c r="D37" s="600">
        <v>22.222181</v>
      </c>
      <c r="E37" s="590">
        <v>0.033459974020751</v>
      </c>
      <c r="F37" s="600">
        <v>0.728407</v>
      </c>
      <c r="G37" s="600">
        <v>0.958332</v>
      </c>
      <c r="H37" s="600">
        <v>0.56005</v>
      </c>
      <c r="I37" s="600">
        <v>1.678888</v>
      </c>
      <c r="J37" s="600">
        <v>0</v>
      </c>
      <c r="K37" s="600">
        <v>3.450554</v>
      </c>
      <c r="L37" s="600">
        <v>1.201144</v>
      </c>
      <c r="M37" s="600">
        <v>2.134824</v>
      </c>
      <c r="N37" s="600">
        <v>0.798987</v>
      </c>
      <c r="O37" s="600">
        <v>2.644559</v>
      </c>
      <c r="P37" s="600">
        <v>2.85894</v>
      </c>
      <c r="Q37" s="600">
        <v>0</v>
      </c>
      <c r="R37" s="600">
        <v>5.207496</v>
      </c>
    </row>
    <row r="38" s="573" customFormat="1" customHeight="1" spans="1:18">
      <c r="A38" s="587" t="s">
        <v>79</v>
      </c>
      <c r="B38" s="588" t="s">
        <v>92</v>
      </c>
      <c r="C38" s="589" t="s">
        <v>93</v>
      </c>
      <c r="D38" s="600">
        <v>221.216113</v>
      </c>
      <c r="E38" s="590">
        <v>0.333085460601347</v>
      </c>
      <c r="F38" s="600">
        <v>0.810789</v>
      </c>
      <c r="G38" s="600">
        <v>0.076956</v>
      </c>
      <c r="H38" s="600">
        <v>0.0123</v>
      </c>
      <c r="I38" s="600">
        <v>0.706499</v>
      </c>
      <c r="J38" s="600">
        <v>0.072985</v>
      </c>
      <c r="K38" s="600">
        <v>0.026322</v>
      </c>
      <c r="L38" s="600">
        <v>0.137444</v>
      </c>
      <c r="M38" s="600">
        <v>0.07514</v>
      </c>
      <c r="N38" s="600">
        <v>0.030375</v>
      </c>
      <c r="O38" s="600">
        <v>0</v>
      </c>
      <c r="P38" s="600">
        <v>0.02445</v>
      </c>
      <c r="Q38" s="600">
        <v>0</v>
      </c>
      <c r="R38" s="600">
        <v>219.242853</v>
      </c>
    </row>
    <row r="39" s="573" customFormat="1" customHeight="1" spans="1:18">
      <c r="A39" s="587" t="s">
        <v>79</v>
      </c>
      <c r="B39" s="588" t="s">
        <v>94</v>
      </c>
      <c r="C39" s="589" t="s">
        <v>95</v>
      </c>
      <c r="D39" s="600">
        <v>1.645676</v>
      </c>
      <c r="E39" s="590">
        <v>0.00247789702579478</v>
      </c>
      <c r="F39" s="600">
        <v>0.757078</v>
      </c>
      <c r="G39" s="600">
        <v>0</v>
      </c>
      <c r="H39" s="600">
        <v>0.03788</v>
      </c>
      <c r="I39" s="600">
        <v>0.034011</v>
      </c>
      <c r="J39" s="600">
        <v>0.010957</v>
      </c>
      <c r="K39" s="600">
        <v>0.23087</v>
      </c>
      <c r="L39" s="600">
        <v>0</v>
      </c>
      <c r="M39" s="600">
        <v>0.152007</v>
      </c>
      <c r="N39" s="600">
        <v>0.194576</v>
      </c>
      <c r="O39" s="600">
        <v>0.027542</v>
      </c>
      <c r="P39" s="600">
        <v>0.0138</v>
      </c>
      <c r="Q39" s="600">
        <v>0.154134</v>
      </c>
      <c r="R39" s="600">
        <v>0.032821</v>
      </c>
    </row>
    <row r="40" s="573" customFormat="1" customHeight="1" spans="1:18">
      <c r="A40" s="587" t="s">
        <v>79</v>
      </c>
      <c r="B40" s="588" t="s">
        <v>96</v>
      </c>
      <c r="C40" s="589" t="s">
        <v>97</v>
      </c>
      <c r="D40" s="600">
        <v>0</v>
      </c>
      <c r="E40" s="590">
        <v>0</v>
      </c>
      <c r="F40" s="600">
        <v>0</v>
      </c>
      <c r="G40" s="600">
        <v>0</v>
      </c>
      <c r="H40" s="600">
        <v>0</v>
      </c>
      <c r="I40" s="600">
        <v>0</v>
      </c>
      <c r="J40" s="600">
        <v>0</v>
      </c>
      <c r="K40" s="600">
        <v>0</v>
      </c>
      <c r="L40" s="600">
        <v>0</v>
      </c>
      <c r="M40" s="600">
        <v>0</v>
      </c>
      <c r="N40" s="600">
        <v>0</v>
      </c>
      <c r="O40" s="600">
        <v>0</v>
      </c>
      <c r="P40" s="600">
        <v>0</v>
      </c>
      <c r="Q40" s="600">
        <v>0</v>
      </c>
      <c r="R40" s="600">
        <v>0</v>
      </c>
    </row>
    <row r="41" s="573" customFormat="1" customHeight="1" spans="1:18">
      <c r="A41" s="587" t="s">
        <v>79</v>
      </c>
      <c r="B41" s="588" t="s">
        <v>184</v>
      </c>
      <c r="C41" s="589" t="s">
        <v>99</v>
      </c>
      <c r="D41" s="600">
        <v>1.572659</v>
      </c>
      <c r="E41" s="590">
        <v>0.00236795521031442</v>
      </c>
      <c r="F41" s="600">
        <v>1.283642</v>
      </c>
      <c r="G41" s="600">
        <v>0</v>
      </c>
      <c r="H41" s="600">
        <v>0</v>
      </c>
      <c r="I41" s="600">
        <v>0</v>
      </c>
      <c r="J41" s="600">
        <v>0</v>
      </c>
      <c r="K41" s="600">
        <v>0</v>
      </c>
      <c r="L41" s="600">
        <v>0</v>
      </c>
      <c r="M41" s="600">
        <v>0</v>
      </c>
      <c r="N41" s="600">
        <v>0</v>
      </c>
      <c r="O41" s="600">
        <v>0</v>
      </c>
      <c r="P41" s="600">
        <v>0</v>
      </c>
      <c r="Q41" s="600">
        <v>0</v>
      </c>
      <c r="R41" s="600">
        <v>0.289017</v>
      </c>
    </row>
    <row r="42" s="573" customFormat="1" customHeight="1" spans="1:18">
      <c r="A42" s="587" t="s">
        <v>79</v>
      </c>
      <c r="B42" s="588" t="s">
        <v>100</v>
      </c>
      <c r="C42" s="589" t="s">
        <v>101</v>
      </c>
      <c r="D42" s="600">
        <v>24.573335</v>
      </c>
      <c r="E42" s="590">
        <v>0.0370001104168493</v>
      </c>
      <c r="F42" s="600">
        <v>0</v>
      </c>
      <c r="G42" s="600">
        <v>0</v>
      </c>
      <c r="H42" s="600">
        <v>0</v>
      </c>
      <c r="I42" s="600">
        <v>0</v>
      </c>
      <c r="J42" s="600">
        <v>0</v>
      </c>
      <c r="K42" s="600">
        <v>0</v>
      </c>
      <c r="L42" s="600">
        <v>16.127824</v>
      </c>
      <c r="M42" s="600">
        <v>0</v>
      </c>
      <c r="N42" s="600">
        <v>0</v>
      </c>
      <c r="O42" s="600">
        <v>3.140099</v>
      </c>
      <c r="P42" s="600">
        <v>0</v>
      </c>
      <c r="Q42" s="600">
        <v>4.460544</v>
      </c>
      <c r="R42" s="600">
        <v>0.844868</v>
      </c>
    </row>
    <row r="43" s="573" customFormat="1" customHeight="1" spans="1:18">
      <c r="A43" s="587" t="s">
        <v>79</v>
      </c>
      <c r="B43" s="588" t="s">
        <v>102</v>
      </c>
      <c r="C43" s="589" t="s">
        <v>103</v>
      </c>
      <c r="D43" s="600">
        <v>13.322334</v>
      </c>
      <c r="E43" s="590">
        <v>0.0200594599394077</v>
      </c>
      <c r="F43" s="600">
        <v>1.639337</v>
      </c>
      <c r="G43" s="600">
        <v>0.282767</v>
      </c>
      <c r="H43" s="600">
        <v>0.12775</v>
      </c>
      <c r="I43" s="600">
        <v>1.291301</v>
      </c>
      <c r="J43" s="600">
        <v>0.39836</v>
      </c>
      <c r="K43" s="600">
        <v>0.781954</v>
      </c>
      <c r="L43" s="600">
        <v>0.500081</v>
      </c>
      <c r="M43" s="600">
        <v>2.312522</v>
      </c>
      <c r="N43" s="600">
        <v>1.63116</v>
      </c>
      <c r="O43" s="600">
        <v>1.469069</v>
      </c>
      <c r="P43" s="600">
        <v>1.10301</v>
      </c>
      <c r="Q43" s="600">
        <v>0.754627</v>
      </c>
      <c r="R43" s="600">
        <v>1.030396</v>
      </c>
    </row>
    <row r="44" s="573" customFormat="1" ht="25.5" spans="1:18">
      <c r="A44" s="587" t="s">
        <v>79</v>
      </c>
      <c r="B44" s="588" t="s">
        <v>104</v>
      </c>
      <c r="C44" s="589" t="s">
        <v>105</v>
      </c>
      <c r="D44" s="600">
        <v>97.492464</v>
      </c>
      <c r="E44" s="590">
        <v>0.146794561373566</v>
      </c>
      <c r="F44" s="600">
        <v>15.256302</v>
      </c>
      <c r="G44" s="600">
        <v>1.00046</v>
      </c>
      <c r="H44" s="600">
        <v>0</v>
      </c>
      <c r="I44" s="600">
        <v>8.404438</v>
      </c>
      <c r="J44" s="600">
        <v>2.069394</v>
      </c>
      <c r="K44" s="600">
        <v>8.90015</v>
      </c>
      <c r="L44" s="600">
        <v>2.43637</v>
      </c>
      <c r="M44" s="600">
        <v>15.924815</v>
      </c>
      <c r="N44" s="600">
        <v>2.001296</v>
      </c>
      <c r="O44" s="600">
        <v>12.672292</v>
      </c>
      <c r="P44" s="600">
        <v>12.94428</v>
      </c>
      <c r="Q44" s="600">
        <v>4.460136</v>
      </c>
      <c r="R44" s="600">
        <v>11.422531</v>
      </c>
    </row>
    <row r="45" s="573" customFormat="1" customHeight="1" spans="1:18">
      <c r="A45" s="587" t="s">
        <v>79</v>
      </c>
      <c r="B45" s="588" t="s">
        <v>106</v>
      </c>
      <c r="C45" s="589" t="s">
        <v>107</v>
      </c>
      <c r="D45" s="600">
        <v>0</v>
      </c>
      <c r="E45" s="590">
        <v>0</v>
      </c>
      <c r="F45" s="600">
        <v>0</v>
      </c>
      <c r="G45" s="600">
        <v>0</v>
      </c>
      <c r="H45" s="600">
        <v>0</v>
      </c>
      <c r="I45" s="600">
        <v>0</v>
      </c>
      <c r="J45" s="600">
        <v>0</v>
      </c>
      <c r="K45" s="600">
        <v>0</v>
      </c>
      <c r="L45" s="600">
        <v>0</v>
      </c>
      <c r="M45" s="600">
        <v>0</v>
      </c>
      <c r="N45" s="600">
        <v>0</v>
      </c>
      <c r="O45" s="600">
        <v>0</v>
      </c>
      <c r="P45" s="600">
        <v>0</v>
      </c>
      <c r="Q45" s="600">
        <v>0</v>
      </c>
      <c r="R45" s="600">
        <v>0</v>
      </c>
    </row>
    <row r="46" s="573" customFormat="1" customHeight="1" spans="1:18">
      <c r="A46" s="587" t="s">
        <v>79</v>
      </c>
      <c r="B46" s="588" t="s">
        <v>108</v>
      </c>
      <c r="C46" s="589" t="s">
        <v>109</v>
      </c>
      <c r="D46" s="600">
        <v>0</v>
      </c>
      <c r="E46" s="590">
        <v>0</v>
      </c>
      <c r="F46" s="600">
        <v>0</v>
      </c>
      <c r="G46" s="600">
        <v>0</v>
      </c>
      <c r="H46" s="600">
        <v>0</v>
      </c>
      <c r="I46" s="600">
        <v>0</v>
      </c>
      <c r="J46" s="600">
        <v>0</v>
      </c>
      <c r="K46" s="600">
        <v>0</v>
      </c>
      <c r="L46" s="600">
        <v>0</v>
      </c>
      <c r="M46" s="600">
        <v>0</v>
      </c>
      <c r="N46" s="600">
        <v>0</v>
      </c>
      <c r="O46" s="600">
        <v>0</v>
      </c>
      <c r="P46" s="600">
        <v>0</v>
      </c>
      <c r="Q46" s="600">
        <v>0</v>
      </c>
      <c r="R46" s="600">
        <v>0</v>
      </c>
    </row>
    <row r="47" s="573" customFormat="1" customHeight="1" spans="1:18">
      <c r="A47" s="587" t="s">
        <v>79</v>
      </c>
      <c r="B47" s="588" t="s">
        <v>110</v>
      </c>
      <c r="C47" s="589" t="s">
        <v>111</v>
      </c>
      <c r="D47" s="600">
        <v>4.407522</v>
      </c>
      <c r="E47" s="590">
        <v>0.00663641303326115</v>
      </c>
      <c r="F47" s="600">
        <v>0.679937</v>
      </c>
      <c r="G47" s="600">
        <v>1.15676</v>
      </c>
      <c r="H47" s="600">
        <v>0</v>
      </c>
      <c r="I47" s="600">
        <v>0</v>
      </c>
      <c r="J47" s="600">
        <v>0</v>
      </c>
      <c r="K47" s="600">
        <v>0.308713</v>
      </c>
      <c r="L47" s="600">
        <v>0</v>
      </c>
      <c r="M47" s="600">
        <v>0.458493</v>
      </c>
      <c r="N47" s="600">
        <v>0</v>
      </c>
      <c r="O47" s="600">
        <v>0.737637</v>
      </c>
      <c r="P47" s="600">
        <v>0</v>
      </c>
      <c r="Q47" s="600">
        <v>0.189981</v>
      </c>
      <c r="R47" s="600">
        <v>0.876001</v>
      </c>
    </row>
    <row r="48" customHeight="1" spans="1:18">
      <c r="A48" s="583" t="s">
        <v>112</v>
      </c>
      <c r="B48" s="584" t="s">
        <v>113</v>
      </c>
      <c r="C48" s="585" t="s">
        <v>114</v>
      </c>
      <c r="D48" s="597">
        <v>0</v>
      </c>
      <c r="E48" s="586">
        <v>0</v>
      </c>
      <c r="F48" s="600">
        <v>0</v>
      </c>
      <c r="G48" s="600">
        <v>0</v>
      </c>
      <c r="H48" s="600">
        <v>0</v>
      </c>
      <c r="I48" s="600">
        <v>0</v>
      </c>
      <c r="J48" s="600">
        <v>0</v>
      </c>
      <c r="K48" s="600">
        <v>0</v>
      </c>
      <c r="L48" s="600">
        <v>0</v>
      </c>
      <c r="M48" s="600">
        <v>0</v>
      </c>
      <c r="N48" s="600">
        <v>0</v>
      </c>
      <c r="O48" s="600">
        <v>0</v>
      </c>
      <c r="P48" s="600">
        <v>0</v>
      </c>
      <c r="Q48" s="600">
        <v>0</v>
      </c>
      <c r="R48" s="600">
        <v>0</v>
      </c>
    </row>
    <row r="49" customHeight="1" spans="1:18">
      <c r="A49" s="583" t="s">
        <v>115</v>
      </c>
      <c r="B49" s="584" t="s">
        <v>116</v>
      </c>
      <c r="C49" s="585" t="s">
        <v>117</v>
      </c>
      <c r="D49" s="597">
        <v>12.401898</v>
      </c>
      <c r="E49" s="586">
        <v>0.0186735579594102</v>
      </c>
      <c r="F49" s="600">
        <v>1.39863</v>
      </c>
      <c r="G49" s="600">
        <v>0.726088</v>
      </c>
      <c r="H49" s="600">
        <v>0.24615</v>
      </c>
      <c r="I49" s="600">
        <v>1.223618</v>
      </c>
      <c r="J49" s="600">
        <v>0.851551</v>
      </c>
      <c r="K49" s="600">
        <v>0.088984</v>
      </c>
      <c r="L49" s="600">
        <v>1.805844</v>
      </c>
      <c r="M49" s="600">
        <v>0.563853</v>
      </c>
      <c r="N49" s="600">
        <v>0.655601</v>
      </c>
      <c r="O49" s="600">
        <v>0.659973</v>
      </c>
      <c r="P49" s="600">
        <v>1.6326</v>
      </c>
      <c r="Q49" s="600">
        <v>1.114331</v>
      </c>
      <c r="R49" s="600">
        <v>1.434675</v>
      </c>
    </row>
    <row r="50" customHeight="1" spans="1:18">
      <c r="A50" s="583" t="s">
        <v>118</v>
      </c>
      <c r="B50" s="584" t="s">
        <v>119</v>
      </c>
      <c r="C50" s="585" t="s">
        <v>120</v>
      </c>
      <c r="D50" s="597">
        <v>10.963878</v>
      </c>
      <c r="E50" s="586">
        <v>0.0165083289100509</v>
      </c>
      <c r="F50" s="600">
        <v>9.636693</v>
      </c>
      <c r="G50" s="600">
        <v>0.277185</v>
      </c>
      <c r="H50" s="600">
        <v>1.05</v>
      </c>
      <c r="I50" s="600">
        <v>0</v>
      </c>
      <c r="J50" s="600">
        <v>0</v>
      </c>
      <c r="K50" s="600">
        <v>0</v>
      </c>
      <c r="L50" s="600">
        <v>0</v>
      </c>
      <c r="M50" s="600">
        <v>0</v>
      </c>
      <c r="N50" s="600">
        <v>0</v>
      </c>
      <c r="O50" s="600">
        <v>0</v>
      </c>
      <c r="P50" s="600">
        <v>0</v>
      </c>
      <c r="Q50" s="600">
        <v>0</v>
      </c>
      <c r="R50" s="600">
        <v>0</v>
      </c>
    </row>
    <row r="51" customHeight="1" spans="1:18">
      <c r="A51" s="583" t="s">
        <v>121</v>
      </c>
      <c r="B51" s="584" t="s">
        <v>122</v>
      </c>
      <c r="C51" s="585" t="s">
        <v>123</v>
      </c>
      <c r="D51" s="597">
        <v>610.954627</v>
      </c>
      <c r="E51" s="586">
        <v>0.91991537407051</v>
      </c>
      <c r="F51" s="600">
        <v>0</v>
      </c>
      <c r="G51" s="600">
        <v>27.251162</v>
      </c>
      <c r="H51" s="600">
        <v>41.69135</v>
      </c>
      <c r="I51" s="600">
        <v>28.759331</v>
      </c>
      <c r="J51" s="600">
        <v>31.356725</v>
      </c>
      <c r="K51" s="600">
        <v>17.076124</v>
      </c>
      <c r="L51" s="600">
        <v>49.205976</v>
      </c>
      <c r="M51" s="600">
        <v>44.527835</v>
      </c>
      <c r="N51" s="600">
        <v>124.589971</v>
      </c>
      <c r="O51" s="600">
        <v>60.322878</v>
      </c>
      <c r="P51" s="600">
        <v>110.658</v>
      </c>
      <c r="Q51" s="600">
        <v>32.305766</v>
      </c>
      <c r="R51" s="600">
        <v>43.209509</v>
      </c>
    </row>
    <row r="52" customHeight="1" spans="1:18">
      <c r="A52" s="583" t="s">
        <v>124</v>
      </c>
      <c r="B52" s="584" t="s">
        <v>125</v>
      </c>
      <c r="C52" s="585" t="s">
        <v>126</v>
      </c>
      <c r="D52" s="597">
        <v>134.973837</v>
      </c>
      <c r="E52" s="586">
        <v>0.203230325569802</v>
      </c>
      <c r="F52" s="600">
        <v>134.973837</v>
      </c>
      <c r="G52" s="600">
        <v>0</v>
      </c>
      <c r="H52" s="600">
        <v>0</v>
      </c>
      <c r="I52" s="600">
        <v>0</v>
      </c>
      <c r="J52" s="600">
        <v>0</v>
      </c>
      <c r="K52" s="600">
        <v>0</v>
      </c>
      <c r="L52" s="600">
        <v>0</v>
      </c>
      <c r="M52" s="600">
        <v>0</v>
      </c>
      <c r="N52" s="600">
        <v>0</v>
      </c>
      <c r="O52" s="600">
        <v>0</v>
      </c>
      <c r="P52" s="600">
        <v>0</v>
      </c>
      <c r="Q52" s="600">
        <v>0</v>
      </c>
      <c r="R52" s="600">
        <v>0</v>
      </c>
    </row>
    <row r="53" customHeight="1" spans="1:18">
      <c r="A53" s="583" t="s">
        <v>127</v>
      </c>
      <c r="B53" s="584" t="s">
        <v>128</v>
      </c>
      <c r="C53" s="585" t="s">
        <v>129</v>
      </c>
      <c r="D53" s="597">
        <v>36.096492</v>
      </c>
      <c r="E53" s="586">
        <v>0.054350546625475</v>
      </c>
      <c r="F53" s="600">
        <v>20.971611</v>
      </c>
      <c r="G53" s="600">
        <v>1.972343</v>
      </c>
      <c r="H53" s="600">
        <v>0.4967</v>
      </c>
      <c r="I53" s="600">
        <v>0.775398</v>
      </c>
      <c r="J53" s="600">
        <v>0.8992</v>
      </c>
      <c r="K53" s="600">
        <v>1.844715</v>
      </c>
      <c r="L53" s="600">
        <v>1.151415</v>
      </c>
      <c r="M53" s="600">
        <v>0.458657</v>
      </c>
      <c r="N53" s="600">
        <v>2.879572</v>
      </c>
      <c r="O53" s="600">
        <v>0.909198</v>
      </c>
      <c r="P53" s="600">
        <v>1.19933</v>
      </c>
      <c r="Q53" s="600">
        <v>1.12856</v>
      </c>
      <c r="R53" s="600">
        <v>1.409793</v>
      </c>
    </row>
    <row r="54" customHeight="1" spans="1:18">
      <c r="A54" s="583" t="s">
        <v>130</v>
      </c>
      <c r="B54" s="584" t="s">
        <v>131</v>
      </c>
      <c r="C54" s="585" t="s">
        <v>132</v>
      </c>
      <c r="D54" s="597">
        <v>0.489296</v>
      </c>
      <c r="E54" s="586">
        <v>0.000736733781821746</v>
      </c>
      <c r="F54" s="600">
        <v>0.489296</v>
      </c>
      <c r="G54" s="600">
        <v>0</v>
      </c>
      <c r="H54" s="600">
        <v>0</v>
      </c>
      <c r="I54" s="600">
        <v>0</v>
      </c>
      <c r="J54" s="600">
        <v>0</v>
      </c>
      <c r="K54" s="600">
        <v>0</v>
      </c>
      <c r="L54" s="600">
        <v>0</v>
      </c>
      <c r="M54" s="600">
        <v>0</v>
      </c>
      <c r="N54" s="600">
        <v>0</v>
      </c>
      <c r="O54" s="600">
        <v>0</v>
      </c>
      <c r="P54" s="600">
        <v>0</v>
      </c>
      <c r="Q54" s="600">
        <v>0</v>
      </c>
      <c r="R54" s="600">
        <v>0</v>
      </c>
    </row>
    <row r="55" customHeight="1" spans="1:18">
      <c r="A55" s="583" t="s">
        <v>133</v>
      </c>
      <c r="B55" s="584" t="s">
        <v>134</v>
      </c>
      <c r="C55" s="585" t="s">
        <v>135</v>
      </c>
      <c r="D55" s="597">
        <v>0</v>
      </c>
      <c r="E55" s="586">
        <v>0</v>
      </c>
      <c r="F55" s="600">
        <v>0</v>
      </c>
      <c r="G55" s="600">
        <v>0</v>
      </c>
      <c r="H55" s="600">
        <v>0</v>
      </c>
      <c r="I55" s="600">
        <v>0</v>
      </c>
      <c r="J55" s="600">
        <v>0</v>
      </c>
      <c r="K55" s="600">
        <v>0</v>
      </c>
      <c r="L55" s="600">
        <v>0</v>
      </c>
      <c r="M55" s="600">
        <v>0</v>
      </c>
      <c r="N55" s="600">
        <v>0</v>
      </c>
      <c r="O55" s="600">
        <v>0</v>
      </c>
      <c r="P55" s="600">
        <v>0</v>
      </c>
      <c r="Q55" s="600">
        <v>0</v>
      </c>
      <c r="R55" s="600">
        <v>0</v>
      </c>
    </row>
    <row r="56" customHeight="1" spans="1:18">
      <c r="A56" s="583" t="s">
        <v>136</v>
      </c>
      <c r="B56" s="584" t="s">
        <v>185</v>
      </c>
      <c r="C56" s="585" t="s">
        <v>138</v>
      </c>
      <c r="D56" s="597">
        <v>0.270477</v>
      </c>
      <c r="E56" s="586">
        <v>0.000407257658157435</v>
      </c>
      <c r="F56" s="600">
        <v>0</v>
      </c>
      <c r="G56" s="600">
        <v>0</v>
      </c>
      <c r="H56" s="600">
        <v>0</v>
      </c>
      <c r="I56" s="600">
        <v>0</v>
      </c>
      <c r="J56" s="600">
        <v>0</v>
      </c>
      <c r="K56" s="600">
        <v>0</v>
      </c>
      <c r="L56" s="600">
        <v>0</v>
      </c>
      <c r="M56" s="600">
        <v>0</v>
      </c>
      <c r="N56" s="600">
        <v>0.200291</v>
      </c>
      <c r="O56" s="600">
        <v>0.040466</v>
      </c>
      <c r="P56" s="600">
        <v>0.02972</v>
      </c>
      <c r="Q56" s="600">
        <v>0</v>
      </c>
      <c r="R56" s="600">
        <v>0</v>
      </c>
    </row>
    <row r="57" customHeight="1" spans="1:18">
      <c r="A57" s="583" t="s">
        <v>139</v>
      </c>
      <c r="B57" s="584" t="s">
        <v>140</v>
      </c>
      <c r="C57" s="585" t="s">
        <v>141</v>
      </c>
      <c r="D57" s="597">
        <v>1342.45341</v>
      </c>
      <c r="E57" s="586">
        <v>2.02133427959517</v>
      </c>
      <c r="F57" s="600">
        <v>35.83313</v>
      </c>
      <c r="G57" s="600">
        <v>14.195424</v>
      </c>
      <c r="H57" s="600">
        <v>12.68885</v>
      </c>
      <c r="I57" s="600">
        <v>49.048017</v>
      </c>
      <c r="J57" s="600">
        <v>30.272255</v>
      </c>
      <c r="K57" s="600">
        <v>66.486547</v>
      </c>
      <c r="L57" s="600">
        <v>80.496715</v>
      </c>
      <c r="M57" s="600">
        <v>76.199006</v>
      </c>
      <c r="N57" s="600">
        <v>511.15332</v>
      </c>
      <c r="O57" s="600">
        <v>163.575542</v>
      </c>
      <c r="P57" s="600">
        <v>40.57696</v>
      </c>
      <c r="Q57" s="600">
        <v>23.782829</v>
      </c>
      <c r="R57" s="600">
        <v>238.144815</v>
      </c>
    </row>
    <row r="58" customHeight="1" spans="1:18">
      <c r="A58" s="583" t="s">
        <v>142</v>
      </c>
      <c r="B58" s="584" t="s">
        <v>143</v>
      </c>
      <c r="C58" s="585" t="s">
        <v>144</v>
      </c>
      <c r="D58" s="597">
        <v>323.385116154993</v>
      </c>
      <c r="E58" s="586">
        <v>0.486921494575335</v>
      </c>
      <c r="F58" s="600">
        <v>20.8563</v>
      </c>
      <c r="G58" s="600">
        <v>9.786409</v>
      </c>
      <c r="H58" s="600">
        <v>0.0193</v>
      </c>
      <c r="I58" s="600">
        <v>85.470065</v>
      </c>
      <c r="J58" s="600">
        <v>59.3622301549933</v>
      </c>
      <c r="K58" s="600">
        <v>0</v>
      </c>
      <c r="L58" s="600">
        <v>79.479578</v>
      </c>
      <c r="M58" s="600">
        <v>0</v>
      </c>
      <c r="N58" s="600">
        <v>9.054548</v>
      </c>
      <c r="O58" s="600">
        <v>59.356686</v>
      </c>
      <c r="P58" s="600">
        <v>0</v>
      </c>
      <c r="Q58" s="600">
        <v>0</v>
      </c>
      <c r="R58" s="600">
        <v>0</v>
      </c>
    </row>
    <row r="59" customHeight="1" spans="1:18">
      <c r="A59" s="594" t="s">
        <v>145</v>
      </c>
      <c r="B59" s="595" t="s">
        <v>146</v>
      </c>
      <c r="C59" s="596" t="s">
        <v>147</v>
      </c>
      <c r="D59" s="597">
        <v>17.670401</v>
      </c>
      <c r="E59" s="597">
        <v>0.0266063514826133</v>
      </c>
      <c r="F59" s="597">
        <v>0</v>
      </c>
      <c r="G59" s="597">
        <v>0</v>
      </c>
      <c r="H59" s="597">
        <v>3.46311</v>
      </c>
      <c r="I59" s="597">
        <v>0.1925</v>
      </c>
      <c r="J59" s="597">
        <v>0</v>
      </c>
      <c r="K59" s="597">
        <v>0.165</v>
      </c>
      <c r="L59" s="597">
        <v>0.2</v>
      </c>
      <c r="M59" s="597">
        <v>1.67</v>
      </c>
      <c r="N59" s="597">
        <v>0</v>
      </c>
      <c r="O59" s="597">
        <v>4.039791</v>
      </c>
      <c r="P59" s="597">
        <v>0</v>
      </c>
      <c r="Q59" s="597">
        <v>0</v>
      </c>
      <c r="R59" s="597">
        <v>7.94</v>
      </c>
    </row>
    <row r="60" s="569" customFormat="1" customHeight="1" spans="1:18">
      <c r="A60" s="576" t="s">
        <v>148</v>
      </c>
      <c r="B60" s="581" t="s">
        <v>149</v>
      </c>
      <c r="C60" s="577" t="s">
        <v>150</v>
      </c>
      <c r="D60" s="582">
        <v>0</v>
      </c>
      <c r="E60" s="582">
        <v>0</v>
      </c>
      <c r="F60" s="582">
        <v>0</v>
      </c>
      <c r="G60" s="582">
        <v>0</v>
      </c>
      <c r="H60" s="582">
        <v>0</v>
      </c>
      <c r="I60" s="582">
        <v>0</v>
      </c>
      <c r="J60" s="582">
        <v>0</v>
      </c>
      <c r="K60" s="582">
        <v>0</v>
      </c>
      <c r="L60" s="582">
        <v>0</v>
      </c>
      <c r="M60" s="582">
        <v>0</v>
      </c>
      <c r="N60" s="582">
        <v>0</v>
      </c>
      <c r="O60" s="582">
        <v>0</v>
      </c>
      <c r="P60" s="582">
        <v>0</v>
      </c>
      <c r="Q60" s="582">
        <v>0</v>
      </c>
      <c r="R60" s="582">
        <v>0</v>
      </c>
    </row>
  </sheetData>
  <mergeCells count="10">
    <mergeCell ref="A1:R1"/>
    <mergeCell ref="A2:R2"/>
    <mergeCell ref="A3:R3"/>
    <mergeCell ref="A4:R4"/>
    <mergeCell ref="F5:R5"/>
    <mergeCell ref="A5:A6"/>
    <mergeCell ref="B5:B6"/>
    <mergeCell ref="C5:C6"/>
    <mergeCell ref="D5:D6"/>
    <mergeCell ref="E5:E6"/>
  </mergeCells>
  <printOptions horizontalCentered="1"/>
  <pageMargins left="0.196850393700787" right="0.196850393700787" top="0.78740157480315" bottom="0.393700787401575" header="0" footer="0"/>
  <pageSetup paperSize="9" scale="8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2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694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3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6" customWidth="1"/>
    <col min="2" max="55" width="9.1" customWidth="1"/>
    <col min="56" max="56" width="10.4" customWidth="1"/>
  </cols>
  <sheetData>
    <row r="3" spans="1:56">
      <c r="A3" s="125" t="s">
        <v>695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4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4" customWidth="1"/>
    <col min="2" max="55" width="9.1" customWidth="1"/>
    <col min="56" max="56" width="10.4" customWidth="1"/>
  </cols>
  <sheetData>
    <row r="3" spans="1:56">
      <c r="A3" s="125" t="s">
        <v>696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5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7" customWidth="1"/>
    <col min="2" max="55" width="9.1" customWidth="1"/>
    <col min="56" max="56" width="10.4" customWidth="1"/>
  </cols>
  <sheetData>
    <row r="3" spans="1:56">
      <c r="A3" s="125" t="s">
        <v>697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6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698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7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9" customWidth="1"/>
    <col min="2" max="55" width="9.1" customWidth="1"/>
    <col min="56" max="56" width="10.4" customWidth="1"/>
  </cols>
  <sheetData>
    <row r="3" spans="1:56">
      <c r="A3" s="125" t="s">
        <v>699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8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9" customWidth="1"/>
    <col min="2" max="55" width="9.1" customWidth="1"/>
    <col min="56" max="56" width="10.4" customWidth="1"/>
  </cols>
  <sheetData>
    <row r="3" spans="1:56">
      <c r="A3" s="125" t="s">
        <v>700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9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2" customWidth="1"/>
    <col min="2" max="55" width="9.1" customWidth="1"/>
    <col min="56" max="56" width="10.4" customWidth="1"/>
  </cols>
  <sheetData>
    <row r="3" spans="1:56">
      <c r="A3" s="125" t="s">
        <v>701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0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7" customWidth="1"/>
    <col min="2" max="55" width="9.1" customWidth="1"/>
    <col min="56" max="56" width="10.4" customWidth="1"/>
  </cols>
  <sheetData>
    <row r="3" spans="1:56">
      <c r="A3" s="125" t="s">
        <v>702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1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1.7" customWidth="1"/>
    <col min="2" max="55" width="9.1" customWidth="1"/>
    <col min="56" max="56" width="10.4" customWidth="1"/>
  </cols>
  <sheetData>
    <row r="3" spans="1:56">
      <c r="A3" s="125" t="s">
        <v>703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CCFFFF"/>
  </sheetPr>
  <dimension ref="A1:T62"/>
  <sheetViews>
    <sheetView topLeftCell="A19" workbookViewId="0">
      <selection activeCell="E32" sqref="E32:G32"/>
    </sheetView>
  </sheetViews>
  <sheetFormatPr defaultColWidth="9" defaultRowHeight="12.75"/>
  <cols>
    <col min="1" max="1" width="4.6" style="330" customWidth="1"/>
    <col min="2" max="2" width="33.5" style="330" customWidth="1"/>
    <col min="3" max="3" width="5.1" style="330" customWidth="1"/>
    <col min="4" max="4" width="10.7" style="330" customWidth="1"/>
    <col min="5" max="5" width="9.6" style="330" customWidth="1"/>
    <col min="6" max="6" width="9.4" style="541" customWidth="1"/>
    <col min="7" max="7" width="11.9" style="541" customWidth="1"/>
    <col min="8" max="16384" width="9" style="330"/>
  </cols>
  <sheetData>
    <row r="1" s="535" customFormat="1" ht="15" spans="1:20">
      <c r="A1" s="542" t="s">
        <v>186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</row>
    <row r="2" s="536" customFormat="1" ht="14.25" spans="1:20">
      <c r="A2" s="543" t="s">
        <v>187</v>
      </c>
      <c r="B2" s="543"/>
      <c r="C2" s="543"/>
      <c r="D2" s="543"/>
      <c r="E2" s="543"/>
      <c r="F2" s="543"/>
      <c r="G2" s="543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="536" customFormat="1" ht="14.25" spans="1:20">
      <c r="A3" s="543" t="s">
        <v>1</v>
      </c>
      <c r="B3" s="543"/>
      <c r="C3" s="543"/>
      <c r="D3" s="543"/>
      <c r="E3" s="543"/>
      <c r="F3" s="543"/>
      <c r="G3" s="543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</row>
    <row r="4" s="537" customFormat="1" spans="1:20">
      <c r="A4" s="545"/>
      <c r="B4" s="545"/>
      <c r="C4" s="545"/>
      <c r="D4" s="545"/>
      <c r="E4" s="545"/>
      <c r="F4" s="545"/>
      <c r="G4" s="545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7">
      <c r="A5" s="547" t="s">
        <v>2</v>
      </c>
      <c r="B5" s="342" t="s">
        <v>188</v>
      </c>
      <c r="C5" s="342" t="s">
        <v>4</v>
      </c>
      <c r="D5" s="342" t="s">
        <v>189</v>
      </c>
      <c r="E5" s="342" t="s">
        <v>190</v>
      </c>
      <c r="F5" s="342"/>
      <c r="G5" s="342"/>
    </row>
    <row r="6" spans="1:7">
      <c r="A6" s="547"/>
      <c r="B6" s="342"/>
      <c r="C6" s="342"/>
      <c r="D6" s="342"/>
      <c r="E6" s="548" t="s">
        <v>191</v>
      </c>
      <c r="F6" s="548" t="s">
        <v>192</v>
      </c>
      <c r="G6" s="548"/>
    </row>
    <row r="7" ht="38.25" spans="1:7">
      <c r="A7" s="547"/>
      <c r="B7" s="342"/>
      <c r="C7" s="342"/>
      <c r="D7" s="342"/>
      <c r="E7" s="548"/>
      <c r="F7" s="548" t="s">
        <v>193</v>
      </c>
      <c r="G7" s="548" t="s">
        <v>194</v>
      </c>
    </row>
    <row r="8" s="486" customFormat="1" ht="11.25" spans="1:7">
      <c r="A8" s="639" t="s">
        <v>10</v>
      </c>
      <c r="B8" s="640" t="s">
        <v>11</v>
      </c>
      <c r="C8" s="640" t="s">
        <v>12</v>
      </c>
      <c r="D8" s="640" t="s">
        <v>13</v>
      </c>
      <c r="E8" s="640" t="s">
        <v>14</v>
      </c>
      <c r="F8" s="640" t="s">
        <v>195</v>
      </c>
      <c r="G8" s="640" t="s">
        <v>196</v>
      </c>
    </row>
    <row r="9" spans="1:7">
      <c r="A9" s="547"/>
      <c r="B9" s="550" t="s">
        <v>16</v>
      </c>
      <c r="C9" s="342"/>
      <c r="D9" s="551">
        <v>66414.220344</v>
      </c>
      <c r="E9" s="551">
        <v>66414.220723</v>
      </c>
      <c r="F9" s="552" t="s">
        <v>79</v>
      </c>
      <c r="G9" s="552">
        <v>100.000000570661</v>
      </c>
    </row>
    <row r="10" spans="1:7">
      <c r="A10" s="547">
        <v>1</v>
      </c>
      <c r="B10" s="550" t="s">
        <v>17</v>
      </c>
      <c r="C10" s="342" t="s">
        <v>18</v>
      </c>
      <c r="D10" s="553">
        <v>56660.391568</v>
      </c>
      <c r="E10" s="553">
        <v>58557.3097831682</v>
      </c>
      <c r="F10" s="554">
        <v>1896.9182151682</v>
      </c>
      <c r="G10" s="554">
        <v>103.347873466232</v>
      </c>
    </row>
    <row r="11" spans="1:7">
      <c r="A11" s="555" t="s">
        <v>20</v>
      </c>
      <c r="B11" s="373" t="s">
        <v>21</v>
      </c>
      <c r="C11" s="556" t="s">
        <v>22</v>
      </c>
      <c r="D11" s="557">
        <v>933.60613</v>
      </c>
      <c r="E11" s="557">
        <v>1020.482</v>
      </c>
      <c r="F11" s="558">
        <v>86.8758699999998</v>
      </c>
      <c r="G11" s="558">
        <v>109.305409123653</v>
      </c>
    </row>
    <row r="12" s="538" customFormat="1" spans="1:7">
      <c r="A12" s="559"/>
      <c r="B12" s="641" t="s">
        <v>23</v>
      </c>
      <c r="C12" s="560" t="s">
        <v>24</v>
      </c>
      <c r="D12" s="561">
        <v>74.08724</v>
      </c>
      <c r="E12" s="561">
        <v>74.08723</v>
      </c>
      <c r="F12" s="562" t="s">
        <v>79</v>
      </c>
      <c r="G12" s="562">
        <v>99.9999865023991</v>
      </c>
    </row>
    <row r="13" spans="1:10">
      <c r="A13" s="555" t="s">
        <v>25</v>
      </c>
      <c r="B13" s="378" t="s">
        <v>26</v>
      </c>
      <c r="C13" s="556" t="s">
        <v>27</v>
      </c>
      <c r="D13" s="557">
        <v>233.082993</v>
      </c>
      <c r="E13" s="557">
        <v>235.541007</v>
      </c>
      <c r="F13" s="562">
        <v>2.45801399999996</v>
      </c>
      <c r="G13" s="558">
        <v>101.054566001733</v>
      </c>
      <c r="J13" s="566"/>
    </row>
    <row r="14" spans="1:7">
      <c r="A14" s="555" t="s">
        <v>28</v>
      </c>
      <c r="B14" s="373" t="s">
        <v>29</v>
      </c>
      <c r="C14" s="556" t="s">
        <v>30</v>
      </c>
      <c r="D14" s="557">
        <v>48468.885815</v>
      </c>
      <c r="E14" s="557">
        <v>50358.4742513232</v>
      </c>
      <c r="F14" s="562">
        <v>1889.5884363232</v>
      </c>
      <c r="G14" s="558">
        <v>103.898559672974</v>
      </c>
    </row>
    <row r="15" spans="1:7">
      <c r="A15" s="555" t="s">
        <v>31</v>
      </c>
      <c r="B15" s="366" t="s">
        <v>32</v>
      </c>
      <c r="C15" s="563" t="s">
        <v>33</v>
      </c>
      <c r="D15" s="557">
        <v>512.88673</v>
      </c>
      <c r="E15" s="557">
        <v>512.886725</v>
      </c>
      <c r="F15" s="562" t="s">
        <v>79</v>
      </c>
      <c r="G15" s="558">
        <v>99.9999990251259</v>
      </c>
    </row>
    <row r="16" spans="1:7">
      <c r="A16" s="555" t="s">
        <v>34</v>
      </c>
      <c r="B16" s="366" t="s">
        <v>35</v>
      </c>
      <c r="C16" s="563" t="s">
        <v>182</v>
      </c>
      <c r="D16" s="557">
        <v>0</v>
      </c>
      <c r="E16" s="557">
        <v>0</v>
      </c>
      <c r="F16" s="562" t="s">
        <v>79</v>
      </c>
      <c r="G16" s="562" t="s">
        <v>79</v>
      </c>
    </row>
    <row r="17" spans="1:7">
      <c r="A17" s="555" t="s">
        <v>36</v>
      </c>
      <c r="B17" s="366" t="s">
        <v>37</v>
      </c>
      <c r="C17" s="563" t="s">
        <v>38</v>
      </c>
      <c r="D17" s="557">
        <v>5206.17072</v>
      </c>
      <c r="E17" s="557">
        <v>5864.184375</v>
      </c>
      <c r="F17" s="562">
        <v>658.013655</v>
      </c>
      <c r="G17" s="558">
        <v>112.639110209586</v>
      </c>
    </row>
    <row r="18" s="538" customFormat="1" spans="1:7">
      <c r="A18" s="559"/>
      <c r="B18" s="641" t="s">
        <v>39</v>
      </c>
      <c r="C18" s="560" t="s">
        <v>40</v>
      </c>
      <c r="D18" s="561">
        <v>0</v>
      </c>
      <c r="E18" s="561">
        <v>0</v>
      </c>
      <c r="F18" s="562" t="s">
        <v>79</v>
      </c>
      <c r="G18" s="562" t="s">
        <v>79</v>
      </c>
    </row>
    <row r="19" spans="1:7">
      <c r="A19" s="555" t="s">
        <v>41</v>
      </c>
      <c r="B19" s="373" t="s">
        <v>42</v>
      </c>
      <c r="C19" s="556" t="s">
        <v>43</v>
      </c>
      <c r="D19" s="557">
        <v>58.9121</v>
      </c>
      <c r="E19" s="557">
        <v>44.7262838450067</v>
      </c>
      <c r="F19" s="562">
        <v>-14.1858161549933</v>
      </c>
      <c r="G19" s="558">
        <v>75.9203692365519</v>
      </c>
    </row>
    <row r="20" spans="1:7">
      <c r="A20" s="555" t="s">
        <v>44</v>
      </c>
      <c r="B20" s="373" t="s">
        <v>45</v>
      </c>
      <c r="C20" s="556" t="s">
        <v>46</v>
      </c>
      <c r="D20" s="557">
        <v>0</v>
      </c>
      <c r="E20" s="557">
        <v>0</v>
      </c>
      <c r="F20" s="562" t="s">
        <v>79</v>
      </c>
      <c r="G20" s="562" t="s">
        <v>79</v>
      </c>
    </row>
    <row r="21" spans="1:7">
      <c r="A21" s="555" t="s">
        <v>47</v>
      </c>
      <c r="B21" s="378" t="s">
        <v>48</v>
      </c>
      <c r="C21" s="556" t="s">
        <v>49</v>
      </c>
      <c r="D21" s="557">
        <v>1246.84708</v>
      </c>
      <c r="E21" s="557">
        <v>521.015141</v>
      </c>
      <c r="F21" s="562">
        <v>-725.831939</v>
      </c>
      <c r="G21" s="558">
        <v>41.7866111536308</v>
      </c>
    </row>
    <row r="22" spans="1:9">
      <c r="A22" s="547">
        <v>2</v>
      </c>
      <c r="B22" s="550" t="s">
        <v>50</v>
      </c>
      <c r="C22" s="342" t="s">
        <v>51</v>
      </c>
      <c r="D22" s="553">
        <v>9753.828776</v>
      </c>
      <c r="E22" s="553">
        <v>7856.91093983179</v>
      </c>
      <c r="F22" s="554">
        <v>-1896.91783616821</v>
      </c>
      <c r="G22" s="554">
        <v>80.5520695541046</v>
      </c>
      <c r="I22" s="566"/>
    </row>
    <row r="23" spans="1:7">
      <c r="A23" s="555" t="s">
        <v>52</v>
      </c>
      <c r="B23" s="371" t="s">
        <v>53</v>
      </c>
      <c r="C23" s="556" t="s">
        <v>54</v>
      </c>
      <c r="D23" s="557">
        <v>596.503232</v>
      </c>
      <c r="E23" s="557">
        <v>374.661245970947</v>
      </c>
      <c r="F23" s="562">
        <v>-221.841986029053</v>
      </c>
      <c r="G23" s="558">
        <v>62.8095919471811</v>
      </c>
    </row>
    <row r="24" spans="1:7">
      <c r="A24" s="555" t="s">
        <v>55</v>
      </c>
      <c r="B24" s="371" t="s">
        <v>56</v>
      </c>
      <c r="C24" s="556" t="s">
        <v>57</v>
      </c>
      <c r="D24" s="557">
        <v>1080.13362</v>
      </c>
      <c r="E24" s="557">
        <v>1080.133578</v>
      </c>
      <c r="F24" s="562" t="s">
        <v>79</v>
      </c>
      <c r="G24" s="558">
        <v>99.9999961115922</v>
      </c>
    </row>
    <row r="25" spans="1:7">
      <c r="A25" s="555" t="s">
        <v>58</v>
      </c>
      <c r="B25" s="373" t="s">
        <v>59</v>
      </c>
      <c r="C25" s="556" t="s">
        <v>60</v>
      </c>
      <c r="D25" s="557">
        <v>863.088489</v>
      </c>
      <c r="E25" s="557">
        <v>863.088499</v>
      </c>
      <c r="F25" s="562" t="s">
        <v>79</v>
      </c>
      <c r="G25" s="558">
        <v>100.00000115863</v>
      </c>
    </row>
    <row r="26" spans="1:7">
      <c r="A26" s="555" t="s">
        <v>61</v>
      </c>
      <c r="B26" s="373" t="s">
        <v>62</v>
      </c>
      <c r="C26" s="556" t="s">
        <v>63</v>
      </c>
      <c r="D26" s="557">
        <v>40</v>
      </c>
      <c r="E26" s="557">
        <v>0</v>
      </c>
      <c r="F26" s="562">
        <v>-40</v>
      </c>
      <c r="G26" s="558">
        <v>0</v>
      </c>
    </row>
    <row r="27" spans="1:7">
      <c r="A27" s="555" t="s">
        <v>64</v>
      </c>
      <c r="B27" s="373" t="s">
        <v>65</v>
      </c>
      <c r="C27" s="556" t="s">
        <v>66</v>
      </c>
      <c r="D27" s="557">
        <v>13.68068</v>
      </c>
      <c r="E27" s="557">
        <v>9.755852</v>
      </c>
      <c r="F27" s="562">
        <v>-3.924828</v>
      </c>
      <c r="G27" s="558">
        <v>71.3111628954116</v>
      </c>
    </row>
    <row r="28" spans="1:7">
      <c r="A28" s="555" t="s">
        <v>67</v>
      </c>
      <c r="B28" s="373" t="s">
        <v>68</v>
      </c>
      <c r="C28" s="556" t="s">
        <v>69</v>
      </c>
      <c r="D28" s="557">
        <v>478.04078</v>
      </c>
      <c r="E28" s="557">
        <v>459.010793</v>
      </c>
      <c r="F28" s="562">
        <v>-19.0299869999999</v>
      </c>
      <c r="G28" s="558">
        <v>96.0191707912451</v>
      </c>
    </row>
    <row r="29" spans="1:7">
      <c r="A29" s="555" t="s">
        <v>70</v>
      </c>
      <c r="B29" s="373" t="s">
        <v>71</v>
      </c>
      <c r="C29" s="556" t="s">
        <v>72</v>
      </c>
      <c r="D29" s="557">
        <v>430.56578</v>
      </c>
      <c r="E29" s="557">
        <v>318.938372</v>
      </c>
      <c r="F29" s="562">
        <v>-111.627408</v>
      </c>
      <c r="G29" s="558">
        <v>74.0742499322636</v>
      </c>
    </row>
    <row r="30" spans="1:7">
      <c r="A30" s="555" t="s">
        <v>73</v>
      </c>
      <c r="B30" s="373" t="s">
        <v>74</v>
      </c>
      <c r="C30" s="556" t="s">
        <v>75</v>
      </c>
      <c r="D30" s="557">
        <v>188.39838</v>
      </c>
      <c r="E30" s="557">
        <v>52.113983</v>
      </c>
      <c r="F30" s="562">
        <v>-136.284397</v>
      </c>
      <c r="G30" s="558">
        <v>27.6615876421018</v>
      </c>
    </row>
    <row r="31" spans="1:7">
      <c r="A31" s="555" t="s">
        <v>76</v>
      </c>
      <c r="B31" s="373" t="s">
        <v>183</v>
      </c>
      <c r="C31" s="556" t="s">
        <v>78</v>
      </c>
      <c r="D31" s="557">
        <v>2995.180675</v>
      </c>
      <c r="E31" s="557">
        <v>2209.54918470585</v>
      </c>
      <c r="F31" s="562">
        <v>-785.631490294153</v>
      </c>
      <c r="G31" s="558">
        <v>73.7701469279761</v>
      </c>
    </row>
    <row r="32" s="538" customFormat="1" spans="1:7">
      <c r="A32" s="559"/>
      <c r="B32" s="375" t="s">
        <v>19</v>
      </c>
      <c r="C32" s="560"/>
      <c r="D32" s="561"/>
      <c r="E32" s="561"/>
      <c r="F32" s="562"/>
      <c r="G32" s="562"/>
    </row>
    <row r="33" s="538" customFormat="1" spans="1:7">
      <c r="A33" s="559" t="s">
        <v>79</v>
      </c>
      <c r="B33" s="375" t="s">
        <v>80</v>
      </c>
      <c r="C33" s="560" t="s">
        <v>81</v>
      </c>
      <c r="D33" s="561">
        <v>1930.531717</v>
      </c>
      <c r="E33" s="561">
        <v>1589.484629</v>
      </c>
      <c r="F33" s="562">
        <v>-341.047088</v>
      </c>
      <c r="G33" s="562">
        <v>82.3340334169708</v>
      </c>
    </row>
    <row r="34" s="538" customFormat="1" spans="1:7">
      <c r="A34" s="559" t="s">
        <v>79</v>
      </c>
      <c r="B34" s="375" t="s">
        <v>82</v>
      </c>
      <c r="C34" s="560" t="s">
        <v>83</v>
      </c>
      <c r="D34" s="561">
        <v>116.844552</v>
      </c>
      <c r="E34" s="561">
        <v>108.314269</v>
      </c>
      <c r="F34" s="562">
        <v>-8.53028299999998</v>
      </c>
      <c r="G34" s="562">
        <v>92.6994602195916</v>
      </c>
    </row>
    <row r="35" s="538" customFormat="1" spans="1:7">
      <c r="A35" s="559" t="s">
        <v>79</v>
      </c>
      <c r="B35" s="375" t="s">
        <v>84</v>
      </c>
      <c r="C35" s="560" t="s">
        <v>85</v>
      </c>
      <c r="D35" s="561">
        <v>28.41769</v>
      </c>
      <c r="E35" s="561">
        <v>27.312509</v>
      </c>
      <c r="F35" s="562">
        <v>-1.105181</v>
      </c>
      <c r="G35" s="562">
        <v>96.1109400517776</v>
      </c>
    </row>
    <row r="36" s="538" customFormat="1" spans="1:7">
      <c r="A36" s="559" t="s">
        <v>79</v>
      </c>
      <c r="B36" s="375" t="s">
        <v>86</v>
      </c>
      <c r="C36" s="560" t="s">
        <v>87</v>
      </c>
      <c r="D36" s="561">
        <v>32.22335</v>
      </c>
      <c r="E36" s="561">
        <v>32.223338</v>
      </c>
      <c r="F36" s="562">
        <v>-1.19999999981246e-5</v>
      </c>
      <c r="G36" s="562">
        <v>99.9999627599241</v>
      </c>
    </row>
    <row r="37" s="538" customFormat="1" spans="1:7">
      <c r="A37" s="559" t="s">
        <v>79</v>
      </c>
      <c r="B37" s="375" t="s">
        <v>88</v>
      </c>
      <c r="C37" s="560" t="s">
        <v>89</v>
      </c>
      <c r="D37" s="561">
        <v>74.433786</v>
      </c>
      <c r="E37" s="561">
        <v>65.7621557058477</v>
      </c>
      <c r="F37" s="562">
        <v>-8.67163029415225</v>
      </c>
      <c r="G37" s="562">
        <v>88.3498734107758</v>
      </c>
    </row>
    <row r="38" s="538" customFormat="1" spans="1:7">
      <c r="A38" s="559" t="s">
        <v>79</v>
      </c>
      <c r="B38" s="375" t="s">
        <v>90</v>
      </c>
      <c r="C38" s="560" t="s">
        <v>91</v>
      </c>
      <c r="D38" s="561">
        <v>22.22215</v>
      </c>
      <c r="E38" s="561">
        <v>22.222181</v>
      </c>
      <c r="F38" s="562" t="s">
        <v>79</v>
      </c>
      <c r="G38" s="562">
        <v>100.000139500453</v>
      </c>
    </row>
    <row r="39" s="538" customFormat="1" spans="1:7">
      <c r="A39" s="559" t="s">
        <v>79</v>
      </c>
      <c r="B39" s="375" t="s">
        <v>92</v>
      </c>
      <c r="C39" s="560" t="s">
        <v>93</v>
      </c>
      <c r="D39" s="561">
        <v>645.74609</v>
      </c>
      <c r="E39" s="561">
        <v>221.216113</v>
      </c>
      <c r="F39" s="562">
        <v>-424.529977</v>
      </c>
      <c r="G39" s="562">
        <v>34.2574452134894</v>
      </c>
    </row>
    <row r="40" s="538" customFormat="1" spans="1:7">
      <c r="A40" s="559" t="s">
        <v>79</v>
      </c>
      <c r="B40" s="375" t="s">
        <v>94</v>
      </c>
      <c r="C40" s="560" t="s">
        <v>95</v>
      </c>
      <c r="D40" s="561">
        <v>1.64568</v>
      </c>
      <c r="E40" s="561">
        <v>1.645676</v>
      </c>
      <c r="F40" s="562" t="s">
        <v>79</v>
      </c>
      <c r="G40" s="562">
        <v>99.9997569393807</v>
      </c>
    </row>
    <row r="41" s="538" customFormat="1" spans="1:7">
      <c r="A41" s="559" t="s">
        <v>79</v>
      </c>
      <c r="B41" s="375" t="s">
        <v>96</v>
      </c>
      <c r="C41" s="560" t="s">
        <v>97</v>
      </c>
      <c r="D41" s="561">
        <v>0</v>
      </c>
      <c r="E41" s="561">
        <v>0</v>
      </c>
      <c r="F41" s="562" t="s">
        <v>79</v>
      </c>
      <c r="G41" s="562" t="s">
        <v>79</v>
      </c>
    </row>
    <row r="42" s="538" customFormat="1" spans="1:7">
      <c r="A42" s="559" t="s">
        <v>79</v>
      </c>
      <c r="B42" s="375" t="s">
        <v>184</v>
      </c>
      <c r="C42" s="560" t="s">
        <v>99</v>
      </c>
      <c r="D42" s="561">
        <v>0</v>
      </c>
      <c r="E42" s="561">
        <v>1.572659</v>
      </c>
      <c r="F42" s="562">
        <v>1.572659</v>
      </c>
      <c r="G42" s="562" t="s">
        <v>79</v>
      </c>
    </row>
    <row r="43" s="538" customFormat="1" spans="1:7">
      <c r="A43" s="559" t="s">
        <v>79</v>
      </c>
      <c r="B43" s="375" t="s">
        <v>100</v>
      </c>
      <c r="C43" s="560" t="s">
        <v>101</v>
      </c>
      <c r="D43" s="561">
        <v>24.57333</v>
      </c>
      <c r="E43" s="561">
        <v>24.573335</v>
      </c>
      <c r="F43" s="562" t="s">
        <v>79</v>
      </c>
      <c r="G43" s="562">
        <v>100.000020347263</v>
      </c>
    </row>
    <row r="44" s="538" customFormat="1" spans="1:7">
      <c r="A44" s="559" t="s">
        <v>79</v>
      </c>
      <c r="B44" s="375" t="s">
        <v>102</v>
      </c>
      <c r="C44" s="560" t="s">
        <v>103</v>
      </c>
      <c r="D44" s="561">
        <v>13.95234</v>
      </c>
      <c r="E44" s="561">
        <v>13.322334</v>
      </c>
      <c r="F44" s="562">
        <v>-0.630006000000005</v>
      </c>
      <c r="G44" s="562">
        <v>95.4845853813768</v>
      </c>
    </row>
    <row r="45" s="538" customFormat="1" spans="1:7">
      <c r="A45" s="559" t="s">
        <v>79</v>
      </c>
      <c r="B45" s="375" t="s">
        <v>104</v>
      </c>
      <c r="C45" s="560" t="s">
        <v>105</v>
      </c>
      <c r="D45" s="561">
        <v>98.49247</v>
      </c>
      <c r="E45" s="561">
        <v>97.492464</v>
      </c>
      <c r="F45" s="562">
        <v>-1.00000599999997</v>
      </c>
      <c r="G45" s="562">
        <v>98.9846878649708</v>
      </c>
    </row>
    <row r="46" s="538" customFormat="1" spans="1:7">
      <c r="A46" s="559" t="s">
        <v>79</v>
      </c>
      <c r="B46" s="375" t="s">
        <v>106</v>
      </c>
      <c r="C46" s="560" t="s">
        <v>107</v>
      </c>
      <c r="D46" s="561">
        <v>0</v>
      </c>
      <c r="E46" s="561">
        <v>0</v>
      </c>
      <c r="F46" s="562" t="s">
        <v>79</v>
      </c>
      <c r="G46" s="562" t="s">
        <v>79</v>
      </c>
    </row>
    <row r="47" s="538" customFormat="1" spans="1:7">
      <c r="A47" s="559" t="s">
        <v>79</v>
      </c>
      <c r="B47" s="377" t="s">
        <v>108</v>
      </c>
      <c r="C47" s="560" t="s">
        <v>109</v>
      </c>
      <c r="D47" s="561">
        <v>0</v>
      </c>
      <c r="E47" s="561">
        <v>0</v>
      </c>
      <c r="F47" s="562" t="s">
        <v>79</v>
      </c>
      <c r="G47" s="562" t="s">
        <v>79</v>
      </c>
    </row>
    <row r="48" s="538" customFormat="1" spans="1:7">
      <c r="A48" s="559" t="s">
        <v>79</v>
      </c>
      <c r="B48" s="377" t="s">
        <v>110</v>
      </c>
      <c r="C48" s="560" t="s">
        <v>111</v>
      </c>
      <c r="D48" s="561">
        <v>6.09752</v>
      </c>
      <c r="E48" s="561">
        <v>4.407522</v>
      </c>
      <c r="F48" s="562">
        <v>-1.689998</v>
      </c>
      <c r="G48" s="562">
        <v>72.2838465474488</v>
      </c>
    </row>
    <row r="49" spans="1:7">
      <c r="A49" s="555" t="s">
        <v>112</v>
      </c>
      <c r="B49" s="373" t="s">
        <v>113</v>
      </c>
      <c r="C49" s="556" t="s">
        <v>114</v>
      </c>
      <c r="D49" s="557">
        <v>0</v>
      </c>
      <c r="E49" s="557">
        <v>0</v>
      </c>
      <c r="F49" s="562" t="s">
        <v>79</v>
      </c>
      <c r="G49" s="562" t="s">
        <v>79</v>
      </c>
    </row>
    <row r="50" spans="1:7">
      <c r="A50" s="555" t="s">
        <v>115</v>
      </c>
      <c r="B50" s="373" t="s">
        <v>116</v>
      </c>
      <c r="C50" s="556" t="s">
        <v>117</v>
      </c>
      <c r="D50" s="557">
        <v>14.42193</v>
      </c>
      <c r="E50" s="557">
        <v>12.401898</v>
      </c>
      <c r="F50" s="558">
        <v>-2.020032</v>
      </c>
      <c r="G50" s="558">
        <v>85.9933309896803</v>
      </c>
    </row>
    <row r="51" spans="1:7">
      <c r="A51" s="555" t="s">
        <v>118</v>
      </c>
      <c r="B51" s="373" t="s">
        <v>119</v>
      </c>
      <c r="C51" s="556" t="s">
        <v>120</v>
      </c>
      <c r="D51" s="557">
        <v>9.91387</v>
      </c>
      <c r="E51" s="557">
        <v>10.963878</v>
      </c>
      <c r="F51" s="558">
        <v>1.050008</v>
      </c>
      <c r="G51" s="558">
        <v>110.591302891807</v>
      </c>
    </row>
    <row r="52" spans="1:7">
      <c r="A52" s="555" t="s">
        <v>121</v>
      </c>
      <c r="B52" s="373" t="s">
        <v>122</v>
      </c>
      <c r="C52" s="556" t="s">
        <v>123</v>
      </c>
      <c r="D52" s="557">
        <v>784.769845</v>
      </c>
      <c r="E52" s="557">
        <v>610.954627</v>
      </c>
      <c r="F52" s="558">
        <v>-173.815218</v>
      </c>
      <c r="G52" s="558">
        <v>77.851440252524</v>
      </c>
    </row>
    <row r="53" spans="1:7">
      <c r="A53" s="555" t="s">
        <v>124</v>
      </c>
      <c r="B53" s="373" t="s">
        <v>125</v>
      </c>
      <c r="C53" s="556" t="s">
        <v>126</v>
      </c>
      <c r="D53" s="557">
        <v>210.433859</v>
      </c>
      <c r="E53" s="557">
        <v>134.973837</v>
      </c>
      <c r="F53" s="558">
        <v>-75.460022</v>
      </c>
      <c r="G53" s="558">
        <v>64.1407412482988</v>
      </c>
    </row>
    <row r="54" spans="1:7">
      <c r="A54" s="555" t="s">
        <v>127</v>
      </c>
      <c r="B54" s="373" t="s">
        <v>128</v>
      </c>
      <c r="C54" s="556" t="s">
        <v>129</v>
      </c>
      <c r="D54" s="557">
        <v>35.8565</v>
      </c>
      <c r="E54" s="557">
        <v>36.096492</v>
      </c>
      <c r="F54" s="558">
        <v>0.239991999999994</v>
      </c>
      <c r="G54" s="558">
        <v>100.669312398031</v>
      </c>
    </row>
    <row r="55" spans="1:7">
      <c r="A55" s="555" t="s">
        <v>130</v>
      </c>
      <c r="B55" s="373" t="s">
        <v>131</v>
      </c>
      <c r="C55" s="556" t="s">
        <v>132</v>
      </c>
      <c r="D55" s="557">
        <v>0.4893</v>
      </c>
      <c r="E55" s="557">
        <v>0.489296</v>
      </c>
      <c r="F55" s="562" t="s">
        <v>79</v>
      </c>
      <c r="G55" s="558">
        <v>99.9991825056203</v>
      </c>
    </row>
    <row r="56" spans="1:7">
      <c r="A56" s="555" t="s">
        <v>133</v>
      </c>
      <c r="B56" s="373" t="s">
        <v>134</v>
      </c>
      <c r="C56" s="556" t="s">
        <v>135</v>
      </c>
      <c r="D56" s="557">
        <v>0</v>
      </c>
      <c r="E56" s="557">
        <v>0</v>
      </c>
      <c r="F56" s="562" t="s">
        <v>79</v>
      </c>
      <c r="G56" s="562" t="s">
        <v>79</v>
      </c>
    </row>
    <row r="57" spans="1:7">
      <c r="A57" s="555" t="s">
        <v>136</v>
      </c>
      <c r="B57" s="373" t="s">
        <v>185</v>
      </c>
      <c r="C57" s="556" t="s">
        <v>138</v>
      </c>
      <c r="D57" s="557">
        <v>0.69793</v>
      </c>
      <c r="E57" s="557">
        <v>0.270477</v>
      </c>
      <c r="F57" s="558">
        <v>-0.427453</v>
      </c>
      <c r="G57" s="558">
        <v>38.7541730546043</v>
      </c>
    </row>
    <row r="58" spans="1:7">
      <c r="A58" s="555" t="s">
        <v>139</v>
      </c>
      <c r="B58" s="378" t="s">
        <v>140</v>
      </c>
      <c r="C58" s="556" t="s">
        <v>141</v>
      </c>
      <c r="D58" s="557">
        <v>1342.453346</v>
      </c>
      <c r="E58" s="557">
        <v>1342.45341</v>
      </c>
      <c r="F58" s="562" t="s">
        <v>79</v>
      </c>
      <c r="G58" s="558">
        <v>100.000004767391</v>
      </c>
    </row>
    <row r="59" spans="1:7">
      <c r="A59" s="555" t="s">
        <v>142</v>
      </c>
      <c r="B59" s="378" t="s">
        <v>143</v>
      </c>
      <c r="C59" s="556" t="s">
        <v>144</v>
      </c>
      <c r="D59" s="557">
        <v>308.98726</v>
      </c>
      <c r="E59" s="557">
        <v>323.385116154993</v>
      </c>
      <c r="F59" s="558">
        <v>14.3978561549934</v>
      </c>
      <c r="G59" s="558">
        <v>104.65969249185</v>
      </c>
    </row>
    <row r="60" spans="1:7">
      <c r="A60" s="555" t="s">
        <v>145</v>
      </c>
      <c r="B60" s="378" t="s">
        <v>146</v>
      </c>
      <c r="C60" s="556" t="s">
        <v>147</v>
      </c>
      <c r="D60" s="557">
        <v>360.2133</v>
      </c>
      <c r="E60" s="557">
        <v>17.670401</v>
      </c>
      <c r="F60" s="564">
        <v>-342.542899</v>
      </c>
      <c r="G60" s="558">
        <v>4.90553819084415</v>
      </c>
    </row>
    <row r="61" s="539" customFormat="1" spans="1:7">
      <c r="A61" s="547" t="s">
        <v>148</v>
      </c>
      <c r="B61" s="550" t="s">
        <v>149</v>
      </c>
      <c r="C61" s="342" t="s">
        <v>150</v>
      </c>
      <c r="D61" s="553">
        <v>0</v>
      </c>
      <c r="E61" s="553">
        <v>0</v>
      </c>
      <c r="F61" s="562" t="s">
        <v>79</v>
      </c>
      <c r="G61" s="562" t="s">
        <v>79</v>
      </c>
    </row>
    <row r="62" s="540" customFormat="1" ht="27.75" customHeight="1" spans="1:7">
      <c r="A62" s="565" t="s">
        <v>197</v>
      </c>
      <c r="B62" s="565"/>
      <c r="C62" s="565"/>
      <c r="D62" s="565"/>
      <c r="E62" s="565"/>
      <c r="F62" s="565"/>
      <c r="G62" s="565"/>
    </row>
  </sheetData>
  <mergeCells count="11">
    <mergeCell ref="A1:G1"/>
    <mergeCell ref="A2:G2"/>
    <mergeCell ref="A3:G3"/>
    <mergeCell ref="E5:G5"/>
    <mergeCell ref="F6:G6"/>
    <mergeCell ref="A62:G62"/>
    <mergeCell ref="A5:A7"/>
    <mergeCell ref="B5:B7"/>
    <mergeCell ref="C5:C7"/>
    <mergeCell ref="D5:D7"/>
    <mergeCell ref="E6:E7"/>
  </mergeCells>
  <printOptions horizontalCentered="1"/>
  <pageMargins left="0.78740157480315" right="0.393700787401575" top="0.78740157480315" bottom="0.78740157480315" header="0.511811023622047" footer="0.433070866141732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2">
    <tabColor rgb="FFFF0000"/>
  </sheetPr>
  <dimension ref="A3:BD59"/>
  <sheetViews>
    <sheetView workbookViewId="0">
      <selection activeCell="A1" sqref="A1"/>
    </sheetView>
  </sheetViews>
  <sheetFormatPr defaultColWidth="9" defaultRowHeight="14.25"/>
  <cols>
    <col min="1" max="1" width="14" customWidth="1"/>
    <col min="2" max="55" width="9.1" customWidth="1"/>
    <col min="56" max="56" width="10.4" customWidth="1"/>
  </cols>
  <sheetData>
    <row r="3" spans="1:56">
      <c r="A3" s="125" t="s">
        <v>704</v>
      </c>
      <c r="B3" s="125" t="s">
        <v>682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36"/>
    </row>
    <row r="4" spans="1:56">
      <c r="A4" s="125" t="s">
        <v>683</v>
      </c>
      <c r="B4" s="125" t="s">
        <v>57</v>
      </c>
      <c r="C4" s="127" t="s">
        <v>30</v>
      </c>
      <c r="D4" s="127" t="s">
        <v>54</v>
      </c>
      <c r="E4" s="127" t="s">
        <v>150</v>
      </c>
      <c r="F4" s="127" t="s">
        <v>95</v>
      </c>
      <c r="G4" s="127" t="s">
        <v>111</v>
      </c>
      <c r="H4" s="127" t="s">
        <v>114</v>
      </c>
      <c r="I4" s="127" t="s">
        <v>99</v>
      </c>
      <c r="J4" s="127" t="s">
        <v>89</v>
      </c>
      <c r="K4" s="127" t="s">
        <v>81</v>
      </c>
      <c r="L4" s="127" t="s">
        <v>78</v>
      </c>
      <c r="M4" s="127" t="s">
        <v>120</v>
      </c>
      <c r="N4" s="127" t="s">
        <v>135</v>
      </c>
      <c r="O4" s="127" t="s">
        <v>93</v>
      </c>
      <c r="P4" s="127" t="s">
        <v>101</v>
      </c>
      <c r="Q4" s="127" t="s">
        <v>117</v>
      </c>
      <c r="R4" s="127" t="s">
        <v>83</v>
      </c>
      <c r="S4" s="127" t="s">
        <v>132</v>
      </c>
      <c r="T4" s="127" t="s">
        <v>91</v>
      </c>
      <c r="U4" s="127" t="s">
        <v>85</v>
      </c>
      <c r="V4" s="127" t="s">
        <v>109</v>
      </c>
      <c r="W4" s="127" t="s">
        <v>87</v>
      </c>
      <c r="X4" s="127" t="s">
        <v>27</v>
      </c>
      <c r="Y4" s="127" t="s">
        <v>46</v>
      </c>
      <c r="Z4" s="127" t="s">
        <v>22</v>
      </c>
      <c r="AA4" s="127" t="s">
        <v>24</v>
      </c>
      <c r="AB4" s="127" t="s">
        <v>465</v>
      </c>
      <c r="AC4" s="127" t="s">
        <v>684</v>
      </c>
      <c r="AD4" s="127" t="s">
        <v>144</v>
      </c>
      <c r="AE4" s="127" t="s">
        <v>685</v>
      </c>
      <c r="AF4" s="127" t="s">
        <v>49</v>
      </c>
      <c r="AG4" s="127" t="s">
        <v>18</v>
      </c>
      <c r="AH4" s="127" t="s">
        <v>105</v>
      </c>
      <c r="AI4" s="127" t="s">
        <v>43</v>
      </c>
      <c r="AJ4" s="127" t="s">
        <v>126</v>
      </c>
      <c r="AK4" s="127" t="s">
        <v>123</v>
      </c>
      <c r="AL4" s="127" t="s">
        <v>147</v>
      </c>
      <c r="AM4" s="127" t="s">
        <v>51</v>
      </c>
      <c r="AN4" s="127" t="s">
        <v>182</v>
      </c>
      <c r="AO4" s="127" t="s">
        <v>33</v>
      </c>
      <c r="AP4" s="127" t="s">
        <v>38</v>
      </c>
      <c r="AQ4" s="127" t="s">
        <v>69</v>
      </c>
      <c r="AR4" s="127" t="s">
        <v>60</v>
      </c>
      <c r="AS4" s="127" t="s">
        <v>63</v>
      </c>
      <c r="AT4" s="127" t="s">
        <v>72</v>
      </c>
      <c r="AU4" s="127" t="s">
        <v>686</v>
      </c>
      <c r="AV4" s="127" t="s">
        <v>75</v>
      </c>
      <c r="AW4" s="127" t="s">
        <v>141</v>
      </c>
      <c r="AX4" s="127" t="s">
        <v>138</v>
      </c>
      <c r="AY4" s="127" t="s">
        <v>66</v>
      </c>
      <c r="AZ4" s="127" t="s">
        <v>103</v>
      </c>
      <c r="BA4" s="127" t="s">
        <v>129</v>
      </c>
      <c r="BB4" s="127" t="s">
        <v>687</v>
      </c>
      <c r="BC4" s="127" t="s">
        <v>97</v>
      </c>
      <c r="BD4" s="137" t="s">
        <v>688</v>
      </c>
    </row>
    <row r="5" spans="1:56">
      <c r="A5" s="125" t="s">
        <v>57</v>
      </c>
      <c r="B5" s="128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8">
        <v>0</v>
      </c>
    </row>
    <row r="6" spans="1:56">
      <c r="A6" s="130" t="s">
        <v>30</v>
      </c>
      <c r="B6" s="131"/>
      <c r="C6" s="132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9">
        <v>0</v>
      </c>
    </row>
    <row r="7" spans="1:56">
      <c r="A7" s="130" t="s">
        <v>54</v>
      </c>
      <c r="B7" s="131"/>
      <c r="C7" s="132"/>
      <c r="D7" s="132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9">
        <v>0</v>
      </c>
    </row>
    <row r="8" spans="1:56">
      <c r="A8" s="130" t="s">
        <v>150</v>
      </c>
      <c r="B8" s="131"/>
      <c r="C8" s="132"/>
      <c r="D8" s="132"/>
      <c r="E8" s="132">
        <v>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9">
        <v>0</v>
      </c>
    </row>
    <row r="9" spans="1:56">
      <c r="A9" s="130" t="s">
        <v>95</v>
      </c>
      <c r="B9" s="131"/>
      <c r="C9" s="132"/>
      <c r="D9" s="132"/>
      <c r="E9" s="132"/>
      <c r="F9" s="132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9">
        <v>0</v>
      </c>
    </row>
    <row r="10" spans="1:56">
      <c r="A10" s="130" t="s">
        <v>111</v>
      </c>
      <c r="B10" s="131"/>
      <c r="C10" s="132"/>
      <c r="D10" s="132"/>
      <c r="E10" s="132"/>
      <c r="F10" s="132"/>
      <c r="G10" s="132"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9">
        <v>0</v>
      </c>
    </row>
    <row r="11" spans="1:56">
      <c r="A11" s="130" t="s">
        <v>114</v>
      </c>
      <c r="B11" s="131"/>
      <c r="C11" s="132"/>
      <c r="D11" s="132"/>
      <c r="E11" s="132"/>
      <c r="F11" s="132"/>
      <c r="G11" s="132"/>
      <c r="H11" s="132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9">
        <v>0</v>
      </c>
    </row>
    <row r="12" spans="1:56">
      <c r="A12" s="130" t="s">
        <v>99</v>
      </c>
      <c r="B12" s="131"/>
      <c r="C12" s="132"/>
      <c r="D12" s="132"/>
      <c r="E12" s="132"/>
      <c r="F12" s="132"/>
      <c r="G12" s="132"/>
      <c r="H12" s="132"/>
      <c r="I12" s="132">
        <v>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9">
        <v>0</v>
      </c>
    </row>
    <row r="13" spans="1:56">
      <c r="A13" s="130" t="s">
        <v>89</v>
      </c>
      <c r="B13" s="131"/>
      <c r="C13" s="132"/>
      <c r="D13" s="132"/>
      <c r="E13" s="132"/>
      <c r="F13" s="132"/>
      <c r="G13" s="132"/>
      <c r="H13" s="132"/>
      <c r="I13" s="132"/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9">
        <v>0</v>
      </c>
    </row>
    <row r="14" spans="1:56">
      <c r="A14" s="130" t="s">
        <v>81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>
        <v>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9">
        <v>0</v>
      </c>
    </row>
    <row r="15" spans="1:56">
      <c r="A15" s="130" t="s">
        <v>78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9">
        <v>0</v>
      </c>
    </row>
    <row r="16" spans="1:56">
      <c r="A16" s="130" t="s">
        <v>120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9">
        <v>0</v>
      </c>
    </row>
    <row r="17" spans="1:56">
      <c r="A17" s="130" t="s">
        <v>135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v>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9">
        <v>0</v>
      </c>
    </row>
    <row r="18" spans="1:56">
      <c r="A18" s="130" t="s">
        <v>93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9">
        <v>0</v>
      </c>
    </row>
    <row r="19" spans="1:56">
      <c r="A19" s="130" t="s">
        <v>101</v>
      </c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9">
        <v>0</v>
      </c>
    </row>
    <row r="20" spans="1:56">
      <c r="A20" s="130" t="s">
        <v>117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0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9">
        <v>0</v>
      </c>
    </row>
    <row r="21" spans="1:56">
      <c r="A21" s="130" t="s">
        <v>83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>
        <v>0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9">
        <v>0</v>
      </c>
    </row>
    <row r="22" spans="1:56">
      <c r="A22" s="130" t="s">
        <v>132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9">
        <v>0</v>
      </c>
    </row>
    <row r="23" spans="1:56">
      <c r="A23" s="130" t="s">
        <v>91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9">
        <v>0</v>
      </c>
    </row>
    <row r="24" spans="1:56">
      <c r="A24" s="130" t="s">
        <v>85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9">
        <v>0</v>
      </c>
    </row>
    <row r="25" spans="1:56">
      <c r="A25" s="130" t="s">
        <v>109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>
        <v>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9">
        <v>0</v>
      </c>
    </row>
    <row r="26" spans="1:56">
      <c r="A26" s="130" t="s">
        <v>87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9">
        <v>0</v>
      </c>
    </row>
    <row r="27" spans="1:56">
      <c r="A27" s="130" t="s">
        <v>27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0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9">
        <v>0</v>
      </c>
    </row>
    <row r="28" spans="1:56">
      <c r="A28" s="130" t="s">
        <v>46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9">
        <v>0</v>
      </c>
    </row>
    <row r="29" spans="1:56">
      <c r="A29" s="130" t="s">
        <v>22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>
        <v>0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9">
        <v>0</v>
      </c>
    </row>
    <row r="30" spans="1:56">
      <c r="A30" s="130" t="s">
        <v>24</v>
      </c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0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9">
        <v>0</v>
      </c>
    </row>
    <row r="31" spans="1:56">
      <c r="A31" s="130" t="s">
        <v>465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>
        <v>0</v>
      </c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9">
        <v>0</v>
      </c>
    </row>
    <row r="32" spans="1:56">
      <c r="A32" s="130" t="s">
        <v>684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9">
        <v>0</v>
      </c>
    </row>
    <row r="33" spans="1:56">
      <c r="A33" s="130" t="s">
        <v>144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>
        <v>0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9">
        <v>0</v>
      </c>
    </row>
    <row r="34" spans="1:56">
      <c r="A34" s="130" t="s">
        <v>685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>
        <v>0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9">
        <v>0</v>
      </c>
    </row>
    <row r="35" spans="1:56">
      <c r="A35" s="130" t="s">
        <v>49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9">
        <v>0</v>
      </c>
    </row>
    <row r="36" spans="1:56">
      <c r="A36" s="130" t="s">
        <v>18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>
        <v>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9">
        <v>0</v>
      </c>
    </row>
    <row r="37" spans="1:56">
      <c r="A37" s="130" t="s">
        <v>105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0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9">
        <v>0</v>
      </c>
    </row>
    <row r="38" spans="1:56">
      <c r="A38" s="130" t="s">
        <v>43</v>
      </c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>
        <v>0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9">
        <v>0</v>
      </c>
    </row>
    <row r="39" spans="1:56">
      <c r="A39" s="130" t="s">
        <v>126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0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9">
        <v>0</v>
      </c>
    </row>
    <row r="40" spans="1:56">
      <c r="A40" s="130" t="s">
        <v>123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>
        <v>0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9">
        <v>0</v>
      </c>
    </row>
    <row r="41" spans="1:56">
      <c r="A41" s="130" t="s">
        <v>147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9">
        <v>0</v>
      </c>
    </row>
    <row r="42" spans="1:56">
      <c r="A42" s="130" t="s">
        <v>51</v>
      </c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>
        <v>0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9">
        <v>0</v>
      </c>
    </row>
    <row r="43" spans="1:56">
      <c r="A43" s="130" t="s">
        <v>182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>
        <v>0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9">
        <v>0</v>
      </c>
    </row>
    <row r="44" spans="1:56">
      <c r="A44" s="130" t="s">
        <v>33</v>
      </c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>
        <v>0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9">
        <v>0</v>
      </c>
    </row>
    <row r="45" spans="1:56">
      <c r="A45" s="130" t="s">
        <v>38</v>
      </c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0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9">
        <v>0</v>
      </c>
    </row>
    <row r="46" spans="1:56">
      <c r="A46" s="130" t="s">
        <v>69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>
        <v>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9">
        <v>0</v>
      </c>
    </row>
    <row r="47" spans="1:56">
      <c r="A47" s="130" t="s">
        <v>60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>
        <v>0</v>
      </c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9">
        <v>0</v>
      </c>
    </row>
    <row r="48" spans="1:56">
      <c r="A48" s="130" t="s">
        <v>63</v>
      </c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>
        <v>0</v>
      </c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9">
        <v>0</v>
      </c>
    </row>
    <row r="49" spans="1:56">
      <c r="A49" s="130" t="s">
        <v>72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>
        <v>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9">
        <v>0</v>
      </c>
    </row>
    <row r="50" spans="1:56">
      <c r="A50" s="130" t="s">
        <v>686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>
        <v>0</v>
      </c>
      <c r="AV50" s="132"/>
      <c r="AW50" s="132"/>
      <c r="AX50" s="132"/>
      <c r="AY50" s="132"/>
      <c r="AZ50" s="132"/>
      <c r="BA50" s="132"/>
      <c r="BB50" s="132"/>
      <c r="BC50" s="132"/>
      <c r="BD50" s="139">
        <v>0</v>
      </c>
    </row>
    <row r="51" spans="1:56">
      <c r="A51" s="130" t="s">
        <v>75</v>
      </c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>
        <v>0</v>
      </c>
      <c r="AW51" s="132"/>
      <c r="AX51" s="132"/>
      <c r="AY51" s="132"/>
      <c r="AZ51" s="132"/>
      <c r="BA51" s="132"/>
      <c r="BB51" s="132"/>
      <c r="BC51" s="132"/>
      <c r="BD51" s="139">
        <v>0</v>
      </c>
    </row>
    <row r="52" spans="1:56">
      <c r="A52" s="130" t="s">
        <v>141</v>
      </c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>
        <v>0</v>
      </c>
      <c r="AX52" s="132"/>
      <c r="AY52" s="132"/>
      <c r="AZ52" s="132"/>
      <c r="BA52" s="132"/>
      <c r="BB52" s="132"/>
      <c r="BC52" s="132"/>
      <c r="BD52" s="139">
        <v>0</v>
      </c>
    </row>
    <row r="53" spans="1:56">
      <c r="A53" s="130" t="s">
        <v>138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>
        <v>0</v>
      </c>
      <c r="AY53" s="132"/>
      <c r="AZ53" s="132"/>
      <c r="BA53" s="132"/>
      <c r="BB53" s="132"/>
      <c r="BC53" s="132"/>
      <c r="BD53" s="139">
        <v>0</v>
      </c>
    </row>
    <row r="54" spans="1:56">
      <c r="A54" s="130" t="s">
        <v>66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>
        <v>0</v>
      </c>
      <c r="AZ54" s="132"/>
      <c r="BA54" s="132"/>
      <c r="BB54" s="132"/>
      <c r="BC54" s="132"/>
      <c r="BD54" s="139">
        <v>0</v>
      </c>
    </row>
    <row r="55" spans="1:56">
      <c r="A55" s="130" t="s">
        <v>103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>
        <v>0</v>
      </c>
      <c r="BA55" s="132"/>
      <c r="BB55" s="132"/>
      <c r="BC55" s="132"/>
      <c r="BD55" s="139">
        <v>0</v>
      </c>
    </row>
    <row r="56" spans="1:56">
      <c r="A56" s="130" t="s">
        <v>129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>
        <v>0</v>
      </c>
      <c r="BB56" s="132"/>
      <c r="BC56" s="132"/>
      <c r="BD56" s="139">
        <v>0</v>
      </c>
    </row>
    <row r="57" spans="1:56">
      <c r="A57" s="130" t="s">
        <v>687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>
        <v>0</v>
      </c>
      <c r="BC57" s="132"/>
      <c r="BD57" s="139">
        <v>0</v>
      </c>
    </row>
    <row r="58" spans="1:56">
      <c r="A58" s="130" t="s">
        <v>97</v>
      </c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>
        <v>0</v>
      </c>
      <c r="BD58" s="139">
        <v>0</v>
      </c>
    </row>
    <row r="59" spans="1:56">
      <c r="A59" s="133" t="s">
        <v>688</v>
      </c>
      <c r="B59" s="134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40">
        <v>0</v>
      </c>
    </row>
  </sheetData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9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+GETPIVOTDATA("TNG4",'ngaigiao (2016)'!$A$3,"MA_HT","LUC","MA_QH","LUK")</f>
        <v>0</v>
      </c>
      <c r="I8" s="50">
        <f ca="1">+GETPIVOTDATA("TNG4",'ngaigiao (2016)'!$A$3,"MA_HT","LUC","MA_QH","LUN")</f>
        <v>0</v>
      </c>
      <c r="J8" s="50">
        <f ca="1">+GETPIVOTDATA("TNG4",'ngaigiao (2016)'!$A$3,"MA_HT","LUC","MA_QH","HNK")</f>
        <v>0</v>
      </c>
      <c r="K8" s="50">
        <f ca="1">+GETPIVOTDATA("TNG4",'ngaigiao (2016)'!$A$3,"MA_HT","LUC","MA_QH","CLN")</f>
        <v>0</v>
      </c>
      <c r="L8" s="50">
        <f ca="1">+GETPIVOTDATA("TNG4",'ngaigiao (2016)'!$A$3,"MA_HT","LUC","MA_QH","RSX")</f>
        <v>0</v>
      </c>
      <c r="M8" s="50">
        <f ca="1">+GETPIVOTDATA("TNG4",'ngaigiao (2016)'!$A$3,"MA_HT","LUC","MA_QH","RPH")</f>
        <v>0</v>
      </c>
      <c r="N8" s="50">
        <f ca="1">+GETPIVOTDATA("TNG4",'ngaigiao (2016)'!$A$3,"MA_HT","LUC","MA_QH","RDD")</f>
        <v>0</v>
      </c>
      <c r="O8" s="50">
        <f ca="1">+GETPIVOTDATA("TNG4",'ngaigiao (2016)'!$A$3,"MA_HT","LUC","MA_QH","NTS")</f>
        <v>0</v>
      </c>
      <c r="P8" s="50">
        <f ca="1">+GETPIVOTDATA("TNG4",'ngaigiao (2016)'!$A$3,"MA_HT","LUC","MA_QH","LMU")</f>
        <v>0</v>
      </c>
      <c r="Q8" s="50">
        <f ca="1">+GETPIVOTDATA("TNG4",'ngaigiao (2016)'!$A$3,"MA_HT","LUC","MA_QH","NKH")</f>
        <v>0</v>
      </c>
      <c r="R8" s="48">
        <f ca="1" t="shared" si="2"/>
        <v>0</v>
      </c>
      <c r="S8" s="50">
        <f ca="1">+GETPIVOTDATA("TNG4",'ngaigiao (2016)'!$A$3,"MA_HT","LUC","MA_QH","CQP")</f>
        <v>0</v>
      </c>
      <c r="T8" s="50">
        <f ca="1">+GETPIVOTDATA("TNG4",'ngaigiao (2016)'!$A$3,"MA_HT","LUC","MA_QH","CAN")</f>
        <v>0</v>
      </c>
      <c r="U8" s="50">
        <f ca="1">+GETPIVOTDATA("TNG4",'ngaigiao (2016)'!$A$3,"MA_HT","LUC","MA_QH","SKK")</f>
        <v>0</v>
      </c>
      <c r="V8" s="50">
        <f ca="1">+GETPIVOTDATA("TNG4",'ngaigiao (2016)'!$A$3,"MA_HT","LUC","MA_QH","SKT")</f>
        <v>0</v>
      </c>
      <c r="W8" s="50">
        <f ca="1">+GETPIVOTDATA("TNG4",'ngaigiao (2016)'!$A$3,"MA_HT","LUC","MA_QH","SKN")</f>
        <v>0</v>
      </c>
      <c r="X8" s="50">
        <f ca="1">+GETPIVOTDATA("TNG4",'ngaigiao (2016)'!$A$3,"MA_HT","LUC","MA_QH","TMD")</f>
        <v>0</v>
      </c>
      <c r="Y8" s="50">
        <f ca="1">+GETPIVOTDATA("TNG4",'ngaigiao (2016)'!$A$3,"MA_HT","LUC","MA_QH","SKC")</f>
        <v>0</v>
      </c>
      <c r="Z8" s="50">
        <f ca="1">+GETPIVOTDATA("TNG4",'ngaigiao (2016)'!$A$3,"MA_HT","LUC","MA_QH","SKS")</f>
        <v>0</v>
      </c>
      <c r="AA8" s="52">
        <f ca="1" t="shared" si="4"/>
        <v>0</v>
      </c>
      <c r="AB8" s="50">
        <f ca="1">+GETPIVOTDATA("TNG4",'ngaigiao (2016)'!$A$3,"MA_HT","LUC","MA_QH","DGT")</f>
        <v>0</v>
      </c>
      <c r="AC8" s="50">
        <f ca="1">+GETPIVOTDATA("TNG4",'ngaigiao (2016)'!$A$3,"MA_HT","LUC","MA_QH","DTL")</f>
        <v>0</v>
      </c>
      <c r="AD8" s="50">
        <f ca="1">+GETPIVOTDATA("TNG4",'ngaigiao (2016)'!$A$3,"MA_HT","LUC","MA_QH","DNL")</f>
        <v>0</v>
      </c>
      <c r="AE8" s="50">
        <f ca="1">+GETPIVOTDATA("TNG4",'ngaigiao (2016)'!$A$3,"MA_HT","LUC","MA_QH","DBV")</f>
        <v>0</v>
      </c>
      <c r="AF8" s="50">
        <f ca="1">+GETPIVOTDATA("TNG4",'ngaigiao (2016)'!$A$3,"MA_HT","LUC","MA_QH","DVH")</f>
        <v>0</v>
      </c>
      <c r="AG8" s="50">
        <f ca="1">+GETPIVOTDATA("TNG4",'ngaigiao (2016)'!$A$3,"MA_HT","LUC","MA_QH","DYT")</f>
        <v>0</v>
      </c>
      <c r="AH8" s="50">
        <f ca="1">+GETPIVOTDATA("TNG4",'ngaigiao (2016)'!$A$3,"MA_HT","LUC","MA_QH","DGD")</f>
        <v>0</v>
      </c>
      <c r="AI8" s="50">
        <f ca="1">+GETPIVOTDATA("TNG4",'ngaigiao (2016)'!$A$3,"MA_HT","LUC","MA_QH","DTT")</f>
        <v>0</v>
      </c>
      <c r="AJ8" s="50">
        <f ca="1">+GETPIVOTDATA("TNG4",'ngaigiao (2016)'!$A$3,"MA_HT","LUC","MA_QH","NCK")</f>
        <v>0</v>
      </c>
      <c r="AK8" s="50">
        <f ca="1">+GETPIVOTDATA("TNG4",'ngaigiao (2016)'!$A$3,"MA_HT","LUC","MA_QH","DXH")</f>
        <v>0</v>
      </c>
      <c r="AL8" s="50">
        <f ca="1">+GETPIVOTDATA("TNG4",'ngaigiao (2016)'!$A$3,"MA_HT","LUC","MA_QH","DCH")</f>
        <v>0</v>
      </c>
      <c r="AM8" s="50">
        <f ca="1">+GETPIVOTDATA("TNG4",'ngaigiao (2016)'!$A$3,"MA_HT","LUC","MA_QH","DKG")</f>
        <v>0</v>
      </c>
      <c r="AN8" s="50">
        <f ca="1">+GETPIVOTDATA("TNG4",'ngaigiao (2016)'!$A$3,"MA_HT","LUC","MA_QH","DDT")</f>
        <v>0</v>
      </c>
      <c r="AO8" s="50">
        <f ca="1">+GETPIVOTDATA("TNG4",'ngaigiao (2016)'!$A$3,"MA_HT","LUC","MA_QH","DDL")</f>
        <v>0</v>
      </c>
      <c r="AP8" s="50">
        <f ca="1">+GETPIVOTDATA("TNG4",'ngaigiao (2016)'!$A$3,"MA_HT","LUC","MA_QH","DRA")</f>
        <v>0</v>
      </c>
      <c r="AQ8" s="50">
        <f ca="1">+GETPIVOTDATA("TNG4",'ngaigiao (2016)'!$A$3,"MA_HT","LUC","MA_QH","ONT")</f>
        <v>0</v>
      </c>
      <c r="AR8" s="50">
        <f ca="1">+GETPIVOTDATA("TNG4",'ngaigiao (2016)'!$A$3,"MA_HT","LUC","MA_QH","ODT")</f>
        <v>0</v>
      </c>
      <c r="AS8" s="50">
        <f ca="1">+GETPIVOTDATA("TNG4",'ngaigiao (2016)'!$A$3,"MA_HT","LUC","MA_QH","TSC")</f>
        <v>0</v>
      </c>
      <c r="AT8" s="50">
        <f ca="1">+GETPIVOTDATA("TNG4",'ngaigiao (2016)'!$A$3,"MA_HT","LUC","MA_QH","DTS")</f>
        <v>0</v>
      </c>
      <c r="AU8" s="50">
        <f ca="1">+GETPIVOTDATA("TNG4",'ngaigiao (2016)'!$A$3,"MA_HT","LUC","MA_QH","DNG")</f>
        <v>0</v>
      </c>
      <c r="AV8" s="50">
        <f ca="1">+GETPIVOTDATA("TNG4",'ngaigiao (2016)'!$A$3,"MA_HT","LUC","MA_QH","TON")</f>
        <v>0</v>
      </c>
      <c r="AW8" s="50">
        <f ca="1">+GETPIVOTDATA("TNG4",'ngaigiao (2016)'!$A$3,"MA_HT","LUC","MA_QH","NTD")</f>
        <v>0</v>
      </c>
      <c r="AX8" s="50">
        <f ca="1">+GETPIVOTDATA("TNG4",'ngaigiao (2016)'!$A$3,"MA_HT","LUC","MA_QH","SKX")</f>
        <v>0</v>
      </c>
      <c r="AY8" s="50">
        <f ca="1">+GETPIVOTDATA("TNG4",'ngaigiao (2016)'!$A$3,"MA_HT","LUC","MA_QH","DSH")</f>
        <v>0</v>
      </c>
      <c r="AZ8" s="50">
        <f ca="1">+GETPIVOTDATA("TNG4",'ngaigiao (2016)'!$A$3,"MA_HT","LUC","MA_QH","DKV")</f>
        <v>0</v>
      </c>
      <c r="BA8" s="88">
        <f ca="1">+GETPIVOTDATA("TNG4",'ngaigiao (2016)'!$A$3,"MA_HT","LUC","MA_QH","TIN")</f>
        <v>0</v>
      </c>
      <c r="BB8" s="50">
        <f ca="1">+GETPIVOTDATA("TNG4",'ngaigiao (2016)'!$A$3,"MA_HT","LUC","MA_QH","SON")</f>
        <v>0</v>
      </c>
      <c r="BC8" s="50">
        <f ca="1">+GETPIVOTDATA("TNG4",'ngaigiao (2016)'!$A$3,"MA_HT","LUC","MA_QH","MNC")</f>
        <v>0</v>
      </c>
      <c r="BD8" s="50">
        <f ca="1">+GETPIVOTDATA("TNG4",'ngaigiao (2016)'!$A$3,"MA_HT","LUC","MA_QH","PNK")</f>
        <v>0</v>
      </c>
      <c r="BE8" s="80">
        <f ca="1">+GETPIVOTDATA("TNG4",'ngaigiao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+GETPIVOTDATA("TNG4",'ngaigiao (2016)'!$A$3,"MA_HT","LUK","MA_QH","LUC")</f>
        <v>0</v>
      </c>
      <c r="H9" s="49" t="e">
        <f ca="1">$D9-$BF9</f>
        <v>#REF!</v>
      </c>
      <c r="I9" s="50">
        <f ca="1">+GETPIVOTDATA("TNG4",'ngaigiao (2016)'!$A$3,"MA_HT","LUK","MA_QH","LUN")</f>
        <v>0</v>
      </c>
      <c r="J9" s="50">
        <f ca="1">+GETPIVOTDATA("TNG4",'ngaigiao (2016)'!$A$3,"MA_HT","LUK","MA_QH","HNK")</f>
        <v>0</v>
      </c>
      <c r="K9" s="50">
        <f ca="1">+GETPIVOTDATA("TNG4",'ngaigiao (2016)'!$A$3,"MA_HT","LUK","MA_QH","CLN")</f>
        <v>0</v>
      </c>
      <c r="L9" s="50">
        <f ca="1">+GETPIVOTDATA("TNG4",'ngaigiao (2016)'!$A$3,"MA_HT","LUK","MA_QH","RSX")</f>
        <v>0</v>
      </c>
      <c r="M9" s="50">
        <f ca="1">+GETPIVOTDATA("TNG4",'ngaigiao (2016)'!$A$3,"MA_HT","LUK","MA_QH","RPH")</f>
        <v>0</v>
      </c>
      <c r="N9" s="50">
        <f ca="1">+GETPIVOTDATA("TNG4",'ngaigiao (2016)'!$A$3,"MA_HT","LUK","MA_QH","RDD")</f>
        <v>0</v>
      </c>
      <c r="O9" s="50">
        <f ca="1">+GETPIVOTDATA("TNG4",'ngaigiao (2016)'!$A$3,"MA_HT","LUK","MA_QH","NTS")</f>
        <v>0</v>
      </c>
      <c r="P9" s="50">
        <f ca="1">+GETPIVOTDATA("TNG4",'ngaigiao (2016)'!$A$3,"MA_HT","LUK","MA_QH","LMU")</f>
        <v>0</v>
      </c>
      <c r="Q9" s="50">
        <f ca="1">+GETPIVOTDATA("TNG4",'ngaigiao (2016)'!$A$3,"MA_HT","LUK","MA_QH","NKH")</f>
        <v>0</v>
      </c>
      <c r="R9" s="48">
        <f ca="1" t="shared" si="2"/>
        <v>0</v>
      </c>
      <c r="S9" s="50">
        <f ca="1">+GETPIVOTDATA("TNG4",'ngaigiao (2016)'!$A$3,"MA_HT","LUK","MA_QH","CQP")</f>
        <v>0</v>
      </c>
      <c r="T9" s="50">
        <f ca="1">+GETPIVOTDATA("TNG4",'ngaigiao (2016)'!$A$3,"MA_HT","LUK","MA_QH","CAN")</f>
        <v>0</v>
      </c>
      <c r="U9" s="50">
        <f ca="1">+GETPIVOTDATA("TNG4",'ngaigiao (2016)'!$A$3,"MA_HT","LUK","MA_QH","SKK")</f>
        <v>0</v>
      </c>
      <c r="V9" s="50">
        <f ca="1">+GETPIVOTDATA("TNG4",'ngaigiao (2016)'!$A$3,"MA_HT","LUK","MA_QH","SKT")</f>
        <v>0</v>
      </c>
      <c r="W9" s="50">
        <f ca="1">+GETPIVOTDATA("TNG4",'ngaigiao (2016)'!$A$3,"MA_HT","LUK","MA_QH","SKN")</f>
        <v>0</v>
      </c>
      <c r="X9" s="50">
        <f ca="1">+GETPIVOTDATA("TNG4",'ngaigiao (2016)'!$A$3,"MA_HT","LUK","MA_QH","TMD")</f>
        <v>0</v>
      </c>
      <c r="Y9" s="50">
        <f ca="1">+GETPIVOTDATA("TNG4",'ngaigiao (2016)'!$A$3,"MA_HT","LUK","MA_QH","SKC")</f>
        <v>0</v>
      </c>
      <c r="Z9" s="50">
        <f ca="1">+GETPIVOTDATA("TNG4",'ngaigiao (2016)'!$A$3,"MA_HT","LUK","MA_QH","SKS")</f>
        <v>0</v>
      </c>
      <c r="AA9" s="52">
        <f ca="1" t="shared" si="4"/>
        <v>0</v>
      </c>
      <c r="AB9" s="50">
        <f ca="1">+GETPIVOTDATA("TNG4",'ngaigiao (2016)'!$A$3,"MA_HT","LUK","MA_QH","DGT")</f>
        <v>0</v>
      </c>
      <c r="AC9" s="50">
        <f ca="1">+GETPIVOTDATA("TNG4",'ngaigiao (2016)'!$A$3,"MA_HT","LUK","MA_QH","DTL")</f>
        <v>0</v>
      </c>
      <c r="AD9" s="50">
        <f ca="1">+GETPIVOTDATA("TNG4",'ngaigiao (2016)'!$A$3,"MA_HT","LUK","MA_QH","DNL")</f>
        <v>0</v>
      </c>
      <c r="AE9" s="50">
        <f ca="1">+GETPIVOTDATA("TNG4",'ngaigiao (2016)'!$A$3,"MA_HT","LUK","MA_QH","DBV")</f>
        <v>0</v>
      </c>
      <c r="AF9" s="50">
        <f ca="1">+GETPIVOTDATA("TNG4",'ngaigiao (2016)'!$A$3,"MA_HT","LUK","MA_QH","DVH")</f>
        <v>0</v>
      </c>
      <c r="AG9" s="50">
        <f ca="1">+GETPIVOTDATA("TNG4",'ngaigiao (2016)'!$A$3,"MA_HT","LUK","MA_QH","DYT")</f>
        <v>0</v>
      </c>
      <c r="AH9" s="50">
        <f ca="1">+GETPIVOTDATA("TNG4",'ngaigiao (2016)'!$A$3,"MA_HT","LUK","MA_QH","DGD")</f>
        <v>0</v>
      </c>
      <c r="AI9" s="50">
        <f ca="1">+GETPIVOTDATA("TNG4",'ngaigiao (2016)'!$A$3,"MA_HT","LUK","MA_QH","DTT")</f>
        <v>0</v>
      </c>
      <c r="AJ9" s="50">
        <f ca="1">+GETPIVOTDATA("TNG4",'ngaigiao (2016)'!$A$3,"MA_HT","LUK","MA_QH","NCK")</f>
        <v>0</v>
      </c>
      <c r="AK9" s="50">
        <f ca="1">+GETPIVOTDATA("TNG4",'ngaigiao (2016)'!$A$3,"MA_HT","LUK","MA_QH","DXH")</f>
        <v>0</v>
      </c>
      <c r="AL9" s="50">
        <f ca="1">+GETPIVOTDATA("TNG4",'ngaigiao (2016)'!$A$3,"MA_HT","LUK","MA_QH","DCH")</f>
        <v>0</v>
      </c>
      <c r="AM9" s="50">
        <f ca="1">+GETPIVOTDATA("TNG4",'ngaigiao (2016)'!$A$3,"MA_HT","LUK","MA_QH","DKG")</f>
        <v>0</v>
      </c>
      <c r="AN9" s="50">
        <f ca="1">+GETPIVOTDATA("TNG4",'ngaigiao (2016)'!$A$3,"MA_HT","LUK","MA_QH","DDT")</f>
        <v>0</v>
      </c>
      <c r="AO9" s="50">
        <f ca="1">+GETPIVOTDATA("TNG4",'ngaigiao (2016)'!$A$3,"MA_HT","LUK","MA_QH","DDL")</f>
        <v>0</v>
      </c>
      <c r="AP9" s="50">
        <f ca="1">+GETPIVOTDATA("TNG4",'ngaigiao (2016)'!$A$3,"MA_HT","LUK","MA_QH","DRA")</f>
        <v>0</v>
      </c>
      <c r="AQ9" s="50">
        <f ca="1">+GETPIVOTDATA("TNG4",'ngaigiao (2016)'!$A$3,"MA_HT","LUK","MA_QH","ONT")</f>
        <v>0</v>
      </c>
      <c r="AR9" s="50">
        <f ca="1">+GETPIVOTDATA("TNG4",'ngaigiao (2016)'!$A$3,"MA_HT","LUK","MA_QH","ODT")</f>
        <v>0</v>
      </c>
      <c r="AS9" s="50">
        <f ca="1">+GETPIVOTDATA("TNG4",'ngaigiao (2016)'!$A$3,"MA_HT","LUK","MA_QH","TSC")</f>
        <v>0</v>
      </c>
      <c r="AT9" s="50">
        <f ca="1">+GETPIVOTDATA("TNG4",'ngaigiao (2016)'!$A$3,"MA_HT","LUK","MA_QH","DTS")</f>
        <v>0</v>
      </c>
      <c r="AU9" s="50">
        <f ca="1">+GETPIVOTDATA("TNG4",'ngaigiao (2016)'!$A$3,"MA_HT","LUK","MA_QH","DNG")</f>
        <v>0</v>
      </c>
      <c r="AV9" s="50">
        <f ca="1">+GETPIVOTDATA("TNG4",'ngaigiao (2016)'!$A$3,"MA_HT","LUK","MA_QH","TON")</f>
        <v>0</v>
      </c>
      <c r="AW9" s="50">
        <f ca="1">+GETPIVOTDATA("TNG4",'ngaigiao (2016)'!$A$3,"MA_HT","LUK","MA_QH","NTD")</f>
        <v>0</v>
      </c>
      <c r="AX9" s="50">
        <f ca="1">+GETPIVOTDATA("TNG4",'ngaigiao (2016)'!$A$3,"MA_HT","LUK","MA_QH","SKX")</f>
        <v>0</v>
      </c>
      <c r="AY9" s="50">
        <f ca="1">+GETPIVOTDATA("TNG4",'ngaigiao (2016)'!$A$3,"MA_HT","LUK","MA_QH","DSH")</f>
        <v>0</v>
      </c>
      <c r="AZ9" s="50">
        <f ca="1">+GETPIVOTDATA("TNG4",'ngaigiao (2016)'!$A$3,"MA_HT","LUK","MA_QH","DKV")</f>
        <v>0</v>
      </c>
      <c r="BA9" s="88">
        <f ca="1">+GETPIVOTDATA("TNG4",'ngaigiao (2016)'!$A$3,"MA_HT","LUK","MA_QH","TIN")</f>
        <v>0</v>
      </c>
      <c r="BB9" s="50">
        <f ca="1">+GETPIVOTDATA("TNG4",'ngaigiao (2016)'!$A$3,"MA_HT","LUK","MA_QH","SON")</f>
        <v>0</v>
      </c>
      <c r="BC9" s="50">
        <f ca="1">+GETPIVOTDATA("TNG4",'ngaigiao (2016)'!$A$3,"MA_HT","LUK","MA_QH","MNC")</f>
        <v>0</v>
      </c>
      <c r="BD9" s="50">
        <f ca="1">+GETPIVOTDATA("TNG4",'ngaigiao (2016)'!$A$3,"MA_HT","LUK","MA_QH","PNK")</f>
        <v>0</v>
      </c>
      <c r="BE9" s="80">
        <f ca="1">+GETPIVOTDATA("TNG4",'ngaigiao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+GETPIVOTDATA("TNG4",'ngaigiao (2016)'!$A$3,"MA_HT","LUN","MA_QH","LUC")</f>
        <v>0</v>
      </c>
      <c r="H10" s="50">
        <f ca="1">+GETPIVOTDATA("TNG4",'ngaigiao (2016)'!$A$3,"MA_HT","LUN","MA_QH","LUK")</f>
        <v>0</v>
      </c>
      <c r="I10" s="49" t="e">
        <f ca="1">$D10-$BF10</f>
        <v>#REF!</v>
      </c>
      <c r="J10" s="50">
        <f ca="1">+GETPIVOTDATA("TNG4",'ngaigiao (2016)'!$A$3,"MA_HT","LUN","MA_QH","HNK")</f>
        <v>0</v>
      </c>
      <c r="K10" s="50">
        <f ca="1">+GETPIVOTDATA("TNG4",'ngaigiao (2016)'!$A$3,"MA_HT","LUN","MA_QH","CLN")</f>
        <v>0</v>
      </c>
      <c r="L10" s="50">
        <f ca="1">+GETPIVOTDATA("TNG4",'ngaigiao (2016)'!$A$3,"MA_HT","LUN","MA_QH","RSX")</f>
        <v>0</v>
      </c>
      <c r="M10" s="50">
        <f ca="1">+GETPIVOTDATA("TNG4",'ngaigiao (2016)'!$A$3,"MA_HT","LUN","MA_QH","RPH")</f>
        <v>0</v>
      </c>
      <c r="N10" s="50">
        <f ca="1">+GETPIVOTDATA("TNG4",'ngaigiao (2016)'!$A$3,"MA_HT","LUN","MA_QH","RDD")</f>
        <v>0</v>
      </c>
      <c r="O10" s="50">
        <f ca="1">+GETPIVOTDATA("TNG4",'ngaigiao (2016)'!$A$3,"MA_HT","LUN","MA_QH","NTS")</f>
        <v>0</v>
      </c>
      <c r="P10" s="50">
        <f ca="1">+GETPIVOTDATA("TNG4",'ngaigiao (2016)'!$A$3,"MA_HT","LUN","MA_QH","LMU")</f>
        <v>0</v>
      </c>
      <c r="Q10" s="50">
        <f ca="1">+GETPIVOTDATA("TNG4",'ngaigiao (2016)'!$A$3,"MA_HT","LUN","MA_QH","NKH")</f>
        <v>0</v>
      </c>
      <c r="R10" s="48">
        <f ca="1" t="shared" si="2"/>
        <v>0</v>
      </c>
      <c r="S10" s="50">
        <f ca="1">+GETPIVOTDATA("TNG4",'ngaigiao (2016)'!$A$3,"MA_HT","LUN","MA_QH","CQP")</f>
        <v>0</v>
      </c>
      <c r="T10" s="50">
        <f ca="1">+GETPIVOTDATA("TNG4",'ngaigiao (2016)'!$A$3,"MA_HT","LUN","MA_QH","CAN")</f>
        <v>0</v>
      </c>
      <c r="U10" s="50">
        <f ca="1">+GETPIVOTDATA("TNG4",'ngaigiao (2016)'!$A$3,"MA_HT","LUN","MA_QH","SKK")</f>
        <v>0</v>
      </c>
      <c r="V10" s="50">
        <f ca="1">+GETPIVOTDATA("TNG4",'ngaigiao (2016)'!$A$3,"MA_HT","LUN","MA_QH","SKT")</f>
        <v>0</v>
      </c>
      <c r="W10" s="50">
        <f ca="1">+GETPIVOTDATA("TNG4",'ngaigiao (2016)'!$A$3,"MA_HT","LUN","MA_QH","SKN")</f>
        <v>0</v>
      </c>
      <c r="X10" s="50">
        <f ca="1">+GETPIVOTDATA("TNG4",'ngaigiao (2016)'!$A$3,"MA_HT","LUN","MA_QH","TMD")</f>
        <v>0</v>
      </c>
      <c r="Y10" s="50">
        <f ca="1">+GETPIVOTDATA("TNG4",'ngaigiao (2016)'!$A$3,"MA_HT","LUN","MA_QH","SKC")</f>
        <v>0</v>
      </c>
      <c r="Z10" s="50">
        <f ca="1">+GETPIVOTDATA("TNG4",'ngaigiao (2016)'!$A$3,"MA_HT","LUN","MA_QH","SKS")</f>
        <v>0</v>
      </c>
      <c r="AA10" s="52">
        <f ca="1" t="shared" si="4"/>
        <v>0</v>
      </c>
      <c r="AB10" s="50">
        <f ca="1">+GETPIVOTDATA("TNG4",'ngaigiao (2016)'!$A$3,"MA_HT","LUN","MA_QH","DGT")</f>
        <v>0</v>
      </c>
      <c r="AC10" s="50">
        <f ca="1">+GETPIVOTDATA("TNG4",'ngaigiao (2016)'!$A$3,"MA_HT","LUN","MA_QH","DTL")</f>
        <v>0</v>
      </c>
      <c r="AD10" s="50">
        <f ca="1">+GETPIVOTDATA("TNG4",'ngaigiao (2016)'!$A$3,"MA_HT","LUN","MA_QH","DNL")</f>
        <v>0</v>
      </c>
      <c r="AE10" s="50">
        <f ca="1">+GETPIVOTDATA("TNG4",'ngaigiao (2016)'!$A$3,"MA_HT","LUN","MA_QH","DBV")</f>
        <v>0</v>
      </c>
      <c r="AF10" s="50">
        <f ca="1">+GETPIVOTDATA("TNG4",'ngaigiao (2016)'!$A$3,"MA_HT","LUN","MA_QH","DVH")</f>
        <v>0</v>
      </c>
      <c r="AG10" s="50">
        <f ca="1">+GETPIVOTDATA("TNG4",'ngaigiao (2016)'!$A$3,"MA_HT","LUN","MA_QH","DYT")</f>
        <v>0</v>
      </c>
      <c r="AH10" s="50">
        <f ca="1">+GETPIVOTDATA("TNG4",'ngaigiao (2016)'!$A$3,"MA_HT","LUN","MA_QH","DGD")</f>
        <v>0</v>
      </c>
      <c r="AI10" s="50">
        <f ca="1">+GETPIVOTDATA("TNG4",'ngaigiao (2016)'!$A$3,"MA_HT","LUN","MA_QH","DTT")</f>
        <v>0</v>
      </c>
      <c r="AJ10" s="50">
        <f ca="1">+GETPIVOTDATA("TNG4",'ngaigiao (2016)'!$A$3,"MA_HT","LUN","MA_QH","NCK")</f>
        <v>0</v>
      </c>
      <c r="AK10" s="50">
        <f ca="1">+GETPIVOTDATA("TNG4",'ngaigiao (2016)'!$A$3,"MA_HT","LUN","MA_QH","DXH")</f>
        <v>0</v>
      </c>
      <c r="AL10" s="50">
        <f ca="1">+GETPIVOTDATA("TNG4",'ngaigiao (2016)'!$A$3,"MA_HT","LUN","MA_QH","DCH")</f>
        <v>0</v>
      </c>
      <c r="AM10" s="50">
        <f ca="1">+GETPIVOTDATA("TNG4",'ngaigiao (2016)'!$A$3,"MA_HT","LUN","MA_QH","DKG")</f>
        <v>0</v>
      </c>
      <c r="AN10" s="50">
        <f ca="1">+GETPIVOTDATA("TNG4",'ngaigiao (2016)'!$A$3,"MA_HT","LUN","MA_QH","DDT")</f>
        <v>0</v>
      </c>
      <c r="AO10" s="50">
        <f ca="1">+GETPIVOTDATA("TNG4",'ngaigiao (2016)'!$A$3,"MA_HT","LUN","MA_QH","DDL")</f>
        <v>0</v>
      </c>
      <c r="AP10" s="50">
        <f ca="1">+GETPIVOTDATA("TNG4",'ngaigiao (2016)'!$A$3,"MA_HT","LUN","MA_QH","DRA")</f>
        <v>0</v>
      </c>
      <c r="AQ10" s="50">
        <f ca="1">+GETPIVOTDATA("TNG4",'ngaigiao (2016)'!$A$3,"MA_HT","LUN","MA_QH","ONT")</f>
        <v>0</v>
      </c>
      <c r="AR10" s="50">
        <f ca="1">+GETPIVOTDATA("TNG4",'ngaigiao (2016)'!$A$3,"MA_HT","LUN","MA_QH","ODT")</f>
        <v>0</v>
      </c>
      <c r="AS10" s="50">
        <f ca="1">+GETPIVOTDATA("TNG4",'ngaigiao (2016)'!$A$3,"MA_HT","LUN","MA_QH","TSC")</f>
        <v>0</v>
      </c>
      <c r="AT10" s="50">
        <f ca="1">+GETPIVOTDATA("TNG4",'ngaigiao (2016)'!$A$3,"MA_HT","LUN","MA_QH","DTS")</f>
        <v>0</v>
      </c>
      <c r="AU10" s="50">
        <f ca="1">+GETPIVOTDATA("TNG4",'ngaigiao (2016)'!$A$3,"MA_HT","LUN","MA_QH","DNG")</f>
        <v>0</v>
      </c>
      <c r="AV10" s="50">
        <f ca="1">+GETPIVOTDATA("TNG4",'ngaigiao (2016)'!$A$3,"MA_HT","LUN","MA_QH","TON")</f>
        <v>0</v>
      </c>
      <c r="AW10" s="50">
        <f ca="1">+GETPIVOTDATA("TNG4",'ngaigiao (2016)'!$A$3,"MA_HT","LUN","MA_QH","NTD")</f>
        <v>0</v>
      </c>
      <c r="AX10" s="50">
        <f ca="1">+GETPIVOTDATA("TNG4",'ngaigiao (2016)'!$A$3,"MA_HT","LUN","MA_QH","SKX")</f>
        <v>0</v>
      </c>
      <c r="AY10" s="50">
        <f ca="1">+GETPIVOTDATA("TNG4",'ngaigiao (2016)'!$A$3,"MA_HT","LUN","MA_QH","DSH")</f>
        <v>0</v>
      </c>
      <c r="AZ10" s="50">
        <f ca="1">+GETPIVOTDATA("TNG4",'ngaigiao (2016)'!$A$3,"MA_HT","LUN","MA_QH","DKV")</f>
        <v>0</v>
      </c>
      <c r="BA10" s="88">
        <f ca="1">+GETPIVOTDATA("TNG4",'ngaigiao (2016)'!$A$3,"MA_HT","LUN","MA_QH","TIN")</f>
        <v>0</v>
      </c>
      <c r="BB10" s="50">
        <f ca="1">+GETPIVOTDATA("TNG4",'ngaigiao (2016)'!$A$3,"MA_HT","LUN","MA_QH","SON")</f>
        <v>0</v>
      </c>
      <c r="BC10" s="50">
        <f ca="1">+GETPIVOTDATA("TNG4",'ngaigiao (2016)'!$A$3,"MA_HT","LUN","MA_QH","MNC")</f>
        <v>0</v>
      </c>
      <c r="BD10" s="50">
        <f ca="1">+GETPIVOTDATA("TNG4",'ngaigiao (2016)'!$A$3,"MA_HT","LUN","MA_QH","PNK")</f>
        <v>0</v>
      </c>
      <c r="BE10" s="80">
        <f ca="1">+GETPIVOTDATA("TNG4",'ngaigiao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+GETPIVOTDATA("TNG4",'ngaigiao (2016)'!$A$3,"MA_HT","HNK","MA_QH","LUC")</f>
        <v>0</v>
      </c>
      <c r="H11" s="22">
        <f ca="1">+GETPIVOTDATA("TNG4",'ngaigiao (2016)'!$A$3,"MA_HT","HNK","MA_QH","LUK")</f>
        <v>0</v>
      </c>
      <c r="I11" s="22">
        <f ca="1">+GETPIVOTDATA("TNG4",'ngaigiao (2016)'!$A$3,"MA_HT","HNK","MA_QH","LUN")</f>
        <v>0</v>
      </c>
      <c r="J11" s="43" t="e">
        <f ca="1">$D11-$BF11</f>
        <v>#REF!</v>
      </c>
      <c r="K11" s="22">
        <f ca="1">+GETPIVOTDATA("TNG4",'ngaigiao (2016)'!$A$3,"MA_HT","HNK","MA_QH","CLN")</f>
        <v>0</v>
      </c>
      <c r="L11" s="22">
        <f ca="1">+GETPIVOTDATA("TNG4",'ngaigiao (2016)'!$A$3,"MA_HT","HNK","MA_QH","RSX")</f>
        <v>0</v>
      </c>
      <c r="M11" s="22">
        <f ca="1">+GETPIVOTDATA("TNG4",'ngaigiao (2016)'!$A$3,"MA_HT","HNK","MA_QH","RPH")</f>
        <v>0</v>
      </c>
      <c r="N11" s="22">
        <f ca="1">+GETPIVOTDATA("TNG4",'ngaigiao (2016)'!$A$3,"MA_HT","HNK","MA_QH","RDD")</f>
        <v>0</v>
      </c>
      <c r="O11" s="22">
        <f ca="1">+GETPIVOTDATA("TNG4",'ngaigiao (2016)'!$A$3,"MA_HT","HNK","MA_QH","NTS")</f>
        <v>0</v>
      </c>
      <c r="P11" s="22">
        <f ca="1">+GETPIVOTDATA("TNG4",'ngaigiao (2016)'!$A$3,"MA_HT","HNK","MA_QH","LMU")</f>
        <v>0</v>
      </c>
      <c r="Q11" s="22">
        <f ca="1">+GETPIVOTDATA("TNG4",'ngaigiao (2016)'!$A$3,"MA_HT","HNK","MA_QH","NKH")</f>
        <v>0</v>
      </c>
      <c r="R11" s="42">
        <f ca="1" t="shared" si="2"/>
        <v>0</v>
      </c>
      <c r="S11" s="22">
        <f ca="1">+GETPIVOTDATA("TNG4",'ngaigiao (2016)'!$A$3,"MA_HT","HNK","MA_QH","CQP")</f>
        <v>0</v>
      </c>
      <c r="T11" s="22">
        <f ca="1">+GETPIVOTDATA("TNG4",'ngaigiao (2016)'!$A$3,"MA_HT","HNK","MA_QH","CAN")</f>
        <v>0</v>
      </c>
      <c r="U11" s="22">
        <f ca="1">+GETPIVOTDATA("TNG4",'ngaigiao (2016)'!$A$3,"MA_HT","HNK","MA_QH","SKK")</f>
        <v>0</v>
      </c>
      <c r="V11" s="22">
        <f ca="1">+GETPIVOTDATA("TNG4",'ngaigiao (2016)'!$A$3,"MA_HT","HNK","MA_QH","SKT")</f>
        <v>0</v>
      </c>
      <c r="W11" s="22">
        <f ca="1">+GETPIVOTDATA("TNG4",'ngaigiao (2016)'!$A$3,"MA_HT","HNK","MA_QH","SKN")</f>
        <v>0</v>
      </c>
      <c r="X11" s="22">
        <f ca="1">+GETPIVOTDATA("TNG4",'ngaigiao (2016)'!$A$3,"MA_HT","HNK","MA_QH","TMD")</f>
        <v>0</v>
      </c>
      <c r="Y11" s="22">
        <f ca="1">+GETPIVOTDATA("TNG4",'ngaigiao (2016)'!$A$3,"MA_HT","HNK","MA_QH","SKC")</f>
        <v>0</v>
      </c>
      <c r="Z11" s="22">
        <f ca="1">+GETPIVOTDATA("TNG4",'ngaigiao (2016)'!$A$3,"MA_HT","HNK","MA_QH","SKS")</f>
        <v>0</v>
      </c>
      <c r="AA11" s="52">
        <f ca="1" t="shared" si="4"/>
        <v>0</v>
      </c>
      <c r="AB11" s="22">
        <f ca="1">+GETPIVOTDATA("TNG4",'ngaigiao (2016)'!$A$3,"MA_HT","HNK","MA_QH","DGT")</f>
        <v>0</v>
      </c>
      <c r="AC11" s="22">
        <f ca="1">+GETPIVOTDATA("TNG4",'ngaigiao (2016)'!$A$3,"MA_HT","HNK","MA_QH","DTL")</f>
        <v>0</v>
      </c>
      <c r="AD11" s="22">
        <f ca="1">+GETPIVOTDATA("TNG4",'ngaigiao (2016)'!$A$3,"MA_HT","HNK","MA_QH","DNL")</f>
        <v>0</v>
      </c>
      <c r="AE11" s="22">
        <f ca="1">+GETPIVOTDATA("TNG4",'ngaigiao (2016)'!$A$3,"MA_HT","HNK","MA_QH","DBV")</f>
        <v>0</v>
      </c>
      <c r="AF11" s="22">
        <f ca="1">+GETPIVOTDATA("TNG4",'ngaigiao (2016)'!$A$3,"MA_HT","HNK","MA_QH","DVH")</f>
        <v>0</v>
      </c>
      <c r="AG11" s="22">
        <f ca="1">+GETPIVOTDATA("TNG4",'ngaigiao (2016)'!$A$3,"MA_HT","HNK","MA_QH","DYT")</f>
        <v>0</v>
      </c>
      <c r="AH11" s="22">
        <f ca="1">+GETPIVOTDATA("TNG4",'ngaigiao (2016)'!$A$3,"MA_HT","HNK","MA_QH","DGD")</f>
        <v>0</v>
      </c>
      <c r="AI11" s="22">
        <f ca="1">+GETPIVOTDATA("TNG4",'ngaigiao (2016)'!$A$3,"MA_HT","HNK","MA_QH","DTT")</f>
        <v>0</v>
      </c>
      <c r="AJ11" s="22">
        <f ca="1">+GETPIVOTDATA("TNG4",'ngaigiao (2016)'!$A$3,"MA_HT","HNK","MA_QH","NCK")</f>
        <v>0</v>
      </c>
      <c r="AK11" s="22">
        <f ca="1">+GETPIVOTDATA("TNG4",'ngaigiao (2016)'!$A$3,"MA_HT","HNK","MA_QH","DXH")</f>
        <v>0</v>
      </c>
      <c r="AL11" s="22">
        <f ca="1">+GETPIVOTDATA("TNG4",'ngaigiao (2016)'!$A$3,"MA_HT","HNK","MA_QH","DCH")</f>
        <v>0</v>
      </c>
      <c r="AM11" s="22">
        <f ca="1">+GETPIVOTDATA("TNG4",'ngaigiao (2016)'!$A$3,"MA_HT","HNK","MA_QH","DKG")</f>
        <v>0</v>
      </c>
      <c r="AN11" s="22">
        <f ca="1">+GETPIVOTDATA("TNG4",'ngaigiao (2016)'!$A$3,"MA_HT","HNK","MA_QH","DDT")</f>
        <v>0</v>
      </c>
      <c r="AO11" s="22">
        <f ca="1">+GETPIVOTDATA("TNG4",'ngaigiao (2016)'!$A$3,"MA_HT","HNK","MA_QH","DDL")</f>
        <v>0</v>
      </c>
      <c r="AP11" s="22">
        <f ca="1">+GETPIVOTDATA("TNG4",'ngaigiao (2016)'!$A$3,"MA_HT","HNK","MA_QH","DRA")</f>
        <v>0</v>
      </c>
      <c r="AQ11" s="22">
        <f ca="1">+GETPIVOTDATA("TNG4",'ngaigiao (2016)'!$A$3,"MA_HT","HNK","MA_QH","ONT")</f>
        <v>0</v>
      </c>
      <c r="AR11" s="22">
        <f ca="1">+GETPIVOTDATA("TNG4",'ngaigiao (2016)'!$A$3,"MA_HT","HNK","MA_QH","ODT")</f>
        <v>0</v>
      </c>
      <c r="AS11" s="22">
        <f ca="1">+GETPIVOTDATA("TNG4",'ngaigiao (2016)'!$A$3,"MA_HT","HNK","MA_QH","TSC")</f>
        <v>0</v>
      </c>
      <c r="AT11" s="22">
        <f ca="1">+GETPIVOTDATA("TNG4",'ngaigiao (2016)'!$A$3,"MA_HT","HNK","MA_QH","DTS")</f>
        <v>0</v>
      </c>
      <c r="AU11" s="22">
        <f ca="1">+GETPIVOTDATA("TNG4",'ngaigiao (2016)'!$A$3,"MA_HT","HNK","MA_QH","DNG")</f>
        <v>0</v>
      </c>
      <c r="AV11" s="22">
        <f ca="1">+GETPIVOTDATA("TNG4",'ngaigiao (2016)'!$A$3,"MA_HT","HNK","MA_QH","TON")</f>
        <v>0</v>
      </c>
      <c r="AW11" s="22">
        <f ca="1">+GETPIVOTDATA("TNG4",'ngaigiao (2016)'!$A$3,"MA_HT","HNK","MA_QH","NTD")</f>
        <v>0</v>
      </c>
      <c r="AX11" s="22">
        <f ca="1">+GETPIVOTDATA("TNG4",'ngaigiao (2016)'!$A$3,"MA_HT","HNK","MA_QH","SKX")</f>
        <v>0</v>
      </c>
      <c r="AY11" s="22">
        <f ca="1">+GETPIVOTDATA("TNG4",'ngaigiao (2016)'!$A$3,"MA_HT","HNK","MA_QH","DSH")</f>
        <v>0</v>
      </c>
      <c r="AZ11" s="22">
        <f ca="1">+GETPIVOTDATA("TNG4",'ngaigiao (2016)'!$A$3,"MA_HT","HNK","MA_QH","DKV")</f>
        <v>0</v>
      </c>
      <c r="BA11" s="89">
        <f ca="1">+GETPIVOTDATA("TNG4",'ngaigiao (2016)'!$A$3,"MA_HT","HNK","MA_QH","TIN")</f>
        <v>0</v>
      </c>
      <c r="BB11" s="50">
        <f ca="1">+GETPIVOTDATA("TNG4",'ngaigiao (2016)'!$A$3,"MA_HT","HNK","MA_QH","SON")</f>
        <v>0</v>
      </c>
      <c r="BC11" s="50">
        <f ca="1">+GETPIVOTDATA("TNG4",'ngaigiao (2016)'!$A$3,"MA_HT","HNK","MA_QH","MNC")</f>
        <v>0</v>
      </c>
      <c r="BD11" s="22">
        <f ca="1">+GETPIVOTDATA("TNG4",'ngaigiao (2016)'!$A$3,"MA_HT","HNK","MA_QH","PNK")</f>
        <v>0</v>
      </c>
      <c r="BE11" s="71">
        <f ca="1">+GETPIVOTDATA("TNG4",'ngaigiao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+GETPIVOTDATA("TNG4",'ngaigiao (2016)'!$A$3,"MA_HT","CLN","MA_QH","LUC")</f>
        <v>0</v>
      </c>
      <c r="H12" s="22">
        <f ca="1">+GETPIVOTDATA("TNG4",'ngaigiao (2016)'!$A$3,"MA_HT","CLN","MA_QH","LUK")</f>
        <v>0</v>
      </c>
      <c r="I12" s="22">
        <f ca="1">+GETPIVOTDATA("TNG4",'ngaigiao (2016)'!$A$3,"MA_HT","CLN","MA_QH","LUN")</f>
        <v>0</v>
      </c>
      <c r="J12" s="22">
        <f ca="1">+GETPIVOTDATA("TNG4",'ngaigiao (2016)'!$A$3,"MA_HT","CLN","MA_QH","HNK")</f>
        <v>0</v>
      </c>
      <c r="K12" s="43" t="e">
        <f ca="1">$D12-$BF12</f>
        <v>#REF!</v>
      </c>
      <c r="L12" s="22">
        <f ca="1">+GETPIVOTDATA("TNG4",'ngaigiao (2016)'!$A$3,"MA_HT","CLN","MA_QH","RSX")</f>
        <v>0</v>
      </c>
      <c r="M12" s="22">
        <f ca="1">+GETPIVOTDATA("TNG4",'ngaigiao (2016)'!$A$3,"MA_HT","CLN","MA_QH","RPH")</f>
        <v>0</v>
      </c>
      <c r="N12" s="22">
        <f ca="1">+GETPIVOTDATA("TNG4",'ngaigiao (2016)'!$A$3,"MA_HT","CLN","MA_QH","RDD")</f>
        <v>0</v>
      </c>
      <c r="O12" s="22">
        <f ca="1">+GETPIVOTDATA("TNG4",'ngaigiao (2016)'!$A$3,"MA_HT","CLN","MA_QH","NTS")</f>
        <v>0</v>
      </c>
      <c r="P12" s="22">
        <f ca="1">+GETPIVOTDATA("TNG4",'ngaigiao (2016)'!$A$3,"MA_HT","CLN","MA_QH","LMU")</f>
        <v>0</v>
      </c>
      <c r="Q12" s="22">
        <f ca="1">+GETPIVOTDATA("TNG4",'ngaigiao (2016)'!$A$3,"MA_HT","CLN","MA_QH","NKH")</f>
        <v>0</v>
      </c>
      <c r="R12" s="42">
        <f ca="1" t="shared" si="2"/>
        <v>0</v>
      </c>
      <c r="S12" s="22">
        <f ca="1">+GETPIVOTDATA("TNG4",'ngaigiao (2016)'!$A$3,"MA_HT","CLN","MA_QH","CQP")</f>
        <v>0</v>
      </c>
      <c r="T12" s="22">
        <f ca="1">+GETPIVOTDATA("TNG4",'ngaigiao (2016)'!$A$3,"MA_HT","CLN","MA_QH","CAN")</f>
        <v>0</v>
      </c>
      <c r="U12" s="22">
        <f ca="1">+GETPIVOTDATA("TNG4",'ngaigiao (2016)'!$A$3,"MA_HT","CLN","MA_QH","SKK")</f>
        <v>0</v>
      </c>
      <c r="V12" s="22">
        <f ca="1">+GETPIVOTDATA("TNG4",'ngaigiao (2016)'!$A$3,"MA_HT","CLN","MA_QH","SKT")</f>
        <v>0</v>
      </c>
      <c r="W12" s="22">
        <f ca="1">+GETPIVOTDATA("TNG4",'ngaigiao (2016)'!$A$3,"MA_HT","CLN","MA_QH","SKN")</f>
        <v>0</v>
      </c>
      <c r="X12" s="22">
        <f ca="1">+GETPIVOTDATA("TNG4",'ngaigiao (2016)'!$A$3,"MA_HT","CLN","MA_QH","TMD")</f>
        <v>0</v>
      </c>
      <c r="Y12" s="22">
        <f ca="1">+GETPIVOTDATA("TNG4",'ngaigiao (2016)'!$A$3,"MA_HT","CLN","MA_QH","SKC")</f>
        <v>0</v>
      </c>
      <c r="Z12" s="22">
        <f ca="1">+GETPIVOTDATA("TNG4",'ngaigiao (2016)'!$A$3,"MA_HT","CLN","MA_QH","SKS")</f>
        <v>0</v>
      </c>
      <c r="AA12" s="52">
        <f ca="1" t="shared" si="4"/>
        <v>0</v>
      </c>
      <c r="AB12" s="22">
        <f ca="1">+GETPIVOTDATA("TNG4",'ngaigiao (2016)'!$A$3,"MA_HT","CLN","MA_QH","DGT")</f>
        <v>0</v>
      </c>
      <c r="AC12" s="22">
        <f ca="1">+GETPIVOTDATA("TNG4",'ngaigiao (2016)'!$A$3,"MA_HT","CLN","MA_QH","DTL")</f>
        <v>0</v>
      </c>
      <c r="AD12" s="22">
        <f ca="1">+GETPIVOTDATA("TNG4",'ngaigiao (2016)'!$A$3,"MA_HT","CLN","MA_QH","DNL")</f>
        <v>0</v>
      </c>
      <c r="AE12" s="22">
        <f ca="1">+GETPIVOTDATA("TNG4",'ngaigiao (2016)'!$A$3,"MA_HT","CLN","MA_QH","DBV")</f>
        <v>0</v>
      </c>
      <c r="AF12" s="22">
        <f ca="1">+GETPIVOTDATA("TNG4",'ngaigiao (2016)'!$A$3,"MA_HT","CLN","MA_QH","DVH")</f>
        <v>0</v>
      </c>
      <c r="AG12" s="22">
        <f ca="1">+GETPIVOTDATA("TNG4",'ngaigiao (2016)'!$A$3,"MA_HT","CLN","MA_QH","DYT")</f>
        <v>0</v>
      </c>
      <c r="AH12" s="22">
        <f ca="1">+GETPIVOTDATA("TNG4",'ngaigiao (2016)'!$A$3,"MA_HT","CLN","MA_QH","DGD")</f>
        <v>0</v>
      </c>
      <c r="AI12" s="22">
        <f ca="1">+GETPIVOTDATA("TNG4",'ngaigiao (2016)'!$A$3,"MA_HT","CLN","MA_QH","DTT")</f>
        <v>0</v>
      </c>
      <c r="AJ12" s="22">
        <f ca="1">+GETPIVOTDATA("TNG4",'ngaigiao (2016)'!$A$3,"MA_HT","CLN","MA_QH","NCK")</f>
        <v>0</v>
      </c>
      <c r="AK12" s="22">
        <f ca="1">+GETPIVOTDATA("TNG4",'ngaigiao (2016)'!$A$3,"MA_HT","CLN","MA_QH","DXH")</f>
        <v>0</v>
      </c>
      <c r="AL12" s="22">
        <f ca="1">+GETPIVOTDATA("TNG4",'ngaigiao (2016)'!$A$3,"MA_HT","CLN","MA_QH","DCH")</f>
        <v>0</v>
      </c>
      <c r="AM12" s="22">
        <f ca="1">+GETPIVOTDATA("TNG4",'ngaigiao (2016)'!$A$3,"MA_HT","CLN","MA_QH","DKG")</f>
        <v>0</v>
      </c>
      <c r="AN12" s="22">
        <f ca="1">+GETPIVOTDATA("TNG4",'ngaigiao (2016)'!$A$3,"MA_HT","CLN","MA_QH","DDT")</f>
        <v>0</v>
      </c>
      <c r="AO12" s="22">
        <f ca="1">+GETPIVOTDATA("TNG4",'ngaigiao (2016)'!$A$3,"MA_HT","CLN","MA_QH","DDL")</f>
        <v>0</v>
      </c>
      <c r="AP12" s="22">
        <f ca="1">+GETPIVOTDATA("TNG4",'ngaigiao (2016)'!$A$3,"MA_HT","CLN","MA_QH","DRA")</f>
        <v>0</v>
      </c>
      <c r="AQ12" s="22">
        <f ca="1">+GETPIVOTDATA("TNG4",'ngaigiao (2016)'!$A$3,"MA_HT","CLN","MA_QH","ONT")</f>
        <v>0</v>
      </c>
      <c r="AR12" s="22">
        <f ca="1">+GETPIVOTDATA("TNG4",'ngaigiao (2016)'!$A$3,"MA_HT","CLN","MA_QH","ODT")</f>
        <v>0</v>
      </c>
      <c r="AS12" s="22">
        <f ca="1">+GETPIVOTDATA("TNG4",'ngaigiao (2016)'!$A$3,"MA_HT","CLN","MA_QH","TSC")</f>
        <v>0</v>
      </c>
      <c r="AT12" s="22">
        <f ca="1">+GETPIVOTDATA("TNG4",'ngaigiao (2016)'!$A$3,"MA_HT","CLN","MA_QH","DTS")</f>
        <v>0</v>
      </c>
      <c r="AU12" s="22">
        <f ca="1">+GETPIVOTDATA("TNG4",'ngaigiao (2016)'!$A$3,"MA_HT","CLN","MA_QH","DNG")</f>
        <v>0</v>
      </c>
      <c r="AV12" s="22">
        <f ca="1">+GETPIVOTDATA("TNG4",'ngaigiao (2016)'!$A$3,"MA_HT","CLN","MA_QH","TON")</f>
        <v>0</v>
      </c>
      <c r="AW12" s="22">
        <f ca="1">+GETPIVOTDATA("TNG4",'ngaigiao (2016)'!$A$3,"MA_HT","CLN","MA_QH","NTD")</f>
        <v>0</v>
      </c>
      <c r="AX12" s="22">
        <f ca="1">+GETPIVOTDATA("TNG4",'ngaigiao (2016)'!$A$3,"MA_HT","CLN","MA_QH","SKX")</f>
        <v>0</v>
      </c>
      <c r="AY12" s="22">
        <f ca="1">+GETPIVOTDATA("TNG4",'ngaigiao (2016)'!$A$3,"MA_HT","CLN","MA_QH","DSH")</f>
        <v>0</v>
      </c>
      <c r="AZ12" s="22">
        <f ca="1">+GETPIVOTDATA("TNG4",'ngaigiao (2016)'!$A$3,"MA_HT","CLN","MA_QH","DKV")</f>
        <v>0</v>
      </c>
      <c r="BA12" s="89">
        <f ca="1">+GETPIVOTDATA("TNG4",'ngaigiao (2016)'!$A$3,"MA_HT","CLN","MA_QH","TIN")</f>
        <v>0</v>
      </c>
      <c r="BB12" s="50">
        <f ca="1">+GETPIVOTDATA("TNG4",'ngaigiao (2016)'!$A$3,"MA_HT","CLN","MA_QH","SON")</f>
        <v>0</v>
      </c>
      <c r="BC12" s="50">
        <f ca="1">+GETPIVOTDATA("TNG4",'ngaigiao (2016)'!$A$3,"MA_HT","CLN","MA_QH","MNC")</f>
        <v>0</v>
      </c>
      <c r="BD12" s="22">
        <f ca="1">+GETPIVOTDATA("TNG4",'ngaigiao (2016)'!$A$3,"MA_HT","CLN","MA_QH","PNK")</f>
        <v>0</v>
      </c>
      <c r="BE12" s="71">
        <f ca="1">+GETPIVOTDATA("TNG4",'ngaigiao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+GETPIVOTDATA("TNG4",'ngaigiao (2016)'!$A$3,"MA_HT","RSX","MA_QH","LUC")</f>
        <v>0</v>
      </c>
      <c r="H13" s="22">
        <f ca="1">+GETPIVOTDATA("TNG4",'ngaigiao (2016)'!$A$3,"MA_HT","RSX","MA_QH","LUK")</f>
        <v>0</v>
      </c>
      <c r="I13" s="22">
        <f ca="1">+GETPIVOTDATA("TNG4",'ngaigiao (2016)'!$A$3,"MA_HT","RSX","MA_QH","LUN")</f>
        <v>0</v>
      </c>
      <c r="J13" s="22">
        <f ca="1">+GETPIVOTDATA("TNG4",'ngaigiao (2016)'!$A$3,"MA_HT","RSX","MA_QH","HNK")</f>
        <v>0</v>
      </c>
      <c r="K13" s="22">
        <f ca="1">+GETPIVOTDATA("TNG4",'ngaigiao (2016)'!$A$3,"MA_HT","RSX","MA_QH","CLN")</f>
        <v>0</v>
      </c>
      <c r="L13" s="43" t="e">
        <f ca="1">$D13-$BF13</f>
        <v>#REF!</v>
      </c>
      <c r="M13" s="22">
        <f ca="1">+GETPIVOTDATA("TNG4",'ngaigiao (2016)'!$A$3,"MA_HT","RSX","MA_QH","RPH")</f>
        <v>0</v>
      </c>
      <c r="N13" s="22">
        <f ca="1">+GETPIVOTDATA("TNG4",'ngaigiao (2016)'!$A$3,"MA_HT","RSX","MA_QH","RDD")</f>
        <v>0</v>
      </c>
      <c r="O13" s="22">
        <f ca="1">+GETPIVOTDATA("TNG4",'ngaigiao (2016)'!$A$3,"MA_HT","RSX","MA_QH","NTS")</f>
        <v>0</v>
      </c>
      <c r="P13" s="22">
        <f ca="1">+GETPIVOTDATA("TNG4",'ngaigiao (2016)'!$A$3,"MA_HT","RSX","MA_QH","LMU")</f>
        <v>0</v>
      </c>
      <c r="Q13" s="22">
        <f ca="1">+GETPIVOTDATA("TNG4",'ngaigiao (2016)'!$A$3,"MA_HT","RSX","MA_QH","NKH")</f>
        <v>0</v>
      </c>
      <c r="R13" s="42">
        <f ca="1" t="shared" si="2"/>
        <v>0</v>
      </c>
      <c r="S13" s="22">
        <f ca="1">+GETPIVOTDATA("TNG4",'ngaigiao (2016)'!$A$3,"MA_HT","RSX","MA_QH","CQP")</f>
        <v>0</v>
      </c>
      <c r="T13" s="22">
        <f ca="1">+GETPIVOTDATA("TNG4",'ngaigiao (2016)'!$A$3,"MA_HT","RSX","MA_QH","CAN")</f>
        <v>0</v>
      </c>
      <c r="U13" s="22">
        <f ca="1">+GETPIVOTDATA("TNG4",'ngaigiao (2016)'!$A$3,"MA_HT","RSX","MA_QH","SKK")</f>
        <v>0</v>
      </c>
      <c r="V13" s="22">
        <f ca="1">+GETPIVOTDATA("TNG4",'ngaigiao (2016)'!$A$3,"MA_HT","RSX","MA_QH","SKT")</f>
        <v>0</v>
      </c>
      <c r="W13" s="22">
        <f ca="1">+GETPIVOTDATA("TNG4",'ngaigiao (2016)'!$A$3,"MA_HT","RSX","MA_QH","SKN")</f>
        <v>0</v>
      </c>
      <c r="X13" s="22">
        <f ca="1">+GETPIVOTDATA("TNG4",'ngaigiao (2016)'!$A$3,"MA_HT","RSX","MA_QH","TMD")</f>
        <v>0</v>
      </c>
      <c r="Y13" s="22">
        <f ca="1">+GETPIVOTDATA("TNG4",'ngaigiao (2016)'!$A$3,"MA_HT","RSX","MA_QH","SKC")</f>
        <v>0</v>
      </c>
      <c r="Z13" s="22">
        <f ca="1">+GETPIVOTDATA("TNG4",'ngaigiao (2016)'!$A$3,"MA_HT","RSX","MA_QH","SKS")</f>
        <v>0</v>
      </c>
      <c r="AA13" s="52">
        <f ca="1" t="shared" si="4"/>
        <v>0</v>
      </c>
      <c r="AB13" s="22">
        <f ca="1">+GETPIVOTDATA("TNG4",'ngaigiao (2016)'!$A$3,"MA_HT","RSX","MA_QH","DGT")</f>
        <v>0</v>
      </c>
      <c r="AC13" s="22">
        <f ca="1">+GETPIVOTDATA("TNG4",'ngaigiao (2016)'!$A$3,"MA_HT","RSX","MA_QH","DTL")</f>
        <v>0</v>
      </c>
      <c r="AD13" s="22">
        <f ca="1">+GETPIVOTDATA("TNG4",'ngaigiao (2016)'!$A$3,"MA_HT","RSX","MA_QH","DNL")</f>
        <v>0</v>
      </c>
      <c r="AE13" s="22">
        <f ca="1">+GETPIVOTDATA("TNG4",'ngaigiao (2016)'!$A$3,"MA_HT","RSX","MA_QH","DBV")</f>
        <v>0</v>
      </c>
      <c r="AF13" s="22">
        <f ca="1">+GETPIVOTDATA("TNG4",'ngaigiao (2016)'!$A$3,"MA_HT","RSX","MA_QH","DVH")</f>
        <v>0</v>
      </c>
      <c r="AG13" s="22">
        <f ca="1">+GETPIVOTDATA("TNG4",'ngaigiao (2016)'!$A$3,"MA_HT","RSX","MA_QH","DYT")</f>
        <v>0</v>
      </c>
      <c r="AH13" s="22">
        <f ca="1">+GETPIVOTDATA("TNG4",'ngaigiao (2016)'!$A$3,"MA_HT","RSX","MA_QH","DGD")</f>
        <v>0</v>
      </c>
      <c r="AI13" s="22">
        <f ca="1">+GETPIVOTDATA("TNG4",'ngaigiao (2016)'!$A$3,"MA_HT","RSX","MA_QH","DTT")</f>
        <v>0</v>
      </c>
      <c r="AJ13" s="22">
        <f ca="1">+GETPIVOTDATA("TNG4",'ngaigiao (2016)'!$A$3,"MA_HT","RSX","MA_QH","NCK")</f>
        <v>0</v>
      </c>
      <c r="AK13" s="22">
        <f ca="1">+GETPIVOTDATA("TNG4",'ngaigiao (2016)'!$A$3,"MA_HT","RSX","MA_QH","DXH")</f>
        <v>0</v>
      </c>
      <c r="AL13" s="22">
        <f ca="1">+GETPIVOTDATA("TNG4",'ngaigiao (2016)'!$A$3,"MA_HT","RSX","MA_QH","DCH")</f>
        <v>0</v>
      </c>
      <c r="AM13" s="22">
        <f ca="1">+GETPIVOTDATA("TNG4",'ngaigiao (2016)'!$A$3,"MA_HT","RSX","MA_QH","DKG")</f>
        <v>0</v>
      </c>
      <c r="AN13" s="22">
        <f ca="1">+GETPIVOTDATA("TNG4",'ngaigiao (2016)'!$A$3,"MA_HT","RSX","MA_QH","DDT")</f>
        <v>0</v>
      </c>
      <c r="AO13" s="22">
        <f ca="1">+GETPIVOTDATA("TNG4",'ngaigiao (2016)'!$A$3,"MA_HT","RSX","MA_QH","DDL")</f>
        <v>0</v>
      </c>
      <c r="AP13" s="22">
        <f ca="1">+GETPIVOTDATA("TNG4",'ngaigiao (2016)'!$A$3,"MA_HT","RSX","MA_QH","DRA")</f>
        <v>0</v>
      </c>
      <c r="AQ13" s="22">
        <f ca="1">+GETPIVOTDATA("TNG4",'ngaigiao (2016)'!$A$3,"MA_HT","RSX","MA_QH","ONT")</f>
        <v>0</v>
      </c>
      <c r="AR13" s="22">
        <f ca="1">+GETPIVOTDATA("TNG4",'ngaigiao (2016)'!$A$3,"MA_HT","RSX","MA_QH","ODT")</f>
        <v>0</v>
      </c>
      <c r="AS13" s="22">
        <f ca="1">+GETPIVOTDATA("TNG4",'ngaigiao (2016)'!$A$3,"MA_HT","RSX","MA_QH","TSC")</f>
        <v>0</v>
      </c>
      <c r="AT13" s="22">
        <f ca="1">+GETPIVOTDATA("TNG4",'ngaigiao (2016)'!$A$3,"MA_HT","RSX","MA_QH","DTS")</f>
        <v>0</v>
      </c>
      <c r="AU13" s="22">
        <f ca="1">+GETPIVOTDATA("TNG4",'ngaigiao (2016)'!$A$3,"MA_HT","RSX","MA_QH","DNG")</f>
        <v>0</v>
      </c>
      <c r="AV13" s="22">
        <f ca="1">+GETPIVOTDATA("TNG4",'ngaigiao (2016)'!$A$3,"MA_HT","RSX","MA_QH","TON")</f>
        <v>0</v>
      </c>
      <c r="AW13" s="22">
        <f ca="1">+GETPIVOTDATA("TNG4",'ngaigiao (2016)'!$A$3,"MA_HT","RSX","MA_QH","NTD")</f>
        <v>0</v>
      </c>
      <c r="AX13" s="22">
        <f ca="1">+GETPIVOTDATA("TNG4",'ngaigiao (2016)'!$A$3,"MA_HT","RSX","MA_QH","SKX")</f>
        <v>0</v>
      </c>
      <c r="AY13" s="22">
        <f ca="1">+GETPIVOTDATA("TNG4",'ngaigiao (2016)'!$A$3,"MA_HT","RSX","MA_QH","DSH")</f>
        <v>0</v>
      </c>
      <c r="AZ13" s="22">
        <f ca="1">+GETPIVOTDATA("TNG4",'ngaigiao (2016)'!$A$3,"MA_HT","RSX","MA_QH","DKV")</f>
        <v>0</v>
      </c>
      <c r="BA13" s="89">
        <f ca="1">+GETPIVOTDATA("TNG4",'ngaigiao (2016)'!$A$3,"MA_HT","RSX","MA_QH","TIN")</f>
        <v>0</v>
      </c>
      <c r="BB13" s="50">
        <f ca="1">+GETPIVOTDATA("TNG4",'ngaigiao (2016)'!$A$3,"MA_HT","RSX","MA_QH","SON")</f>
        <v>0</v>
      </c>
      <c r="BC13" s="50">
        <f ca="1">+GETPIVOTDATA("TNG4",'ngaigiao (2016)'!$A$3,"MA_HT","RSX","MA_QH","MNC")</f>
        <v>0</v>
      </c>
      <c r="BD13" s="22">
        <f ca="1">+GETPIVOTDATA("TNG4",'ngaigiao (2016)'!$A$3,"MA_HT","RSX","MA_QH","PNK")</f>
        <v>0</v>
      </c>
      <c r="BE13" s="71">
        <f ca="1">+GETPIVOTDATA("TNG4",'ngaigiao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+GETPIVOTDATA("TNG4",'ngaigiao (2016)'!$A$3,"MA_HT","RPH","MA_QH","LUC")</f>
        <v>0</v>
      </c>
      <c r="H14" s="22">
        <f ca="1">+GETPIVOTDATA("TNG4",'ngaigiao (2016)'!$A$3,"MA_HT","RPH","MA_QH","LUK")</f>
        <v>0</v>
      </c>
      <c r="I14" s="22">
        <f ca="1">+GETPIVOTDATA("TNG4",'ngaigiao (2016)'!$A$3,"MA_HT","RPH","MA_QH","LUN")</f>
        <v>0</v>
      </c>
      <c r="J14" s="22">
        <f ca="1">+GETPIVOTDATA("TNG4",'ngaigiao (2016)'!$A$3,"MA_HT","RPH","MA_QH","HNK")</f>
        <v>0</v>
      </c>
      <c r="K14" s="22">
        <f ca="1">+GETPIVOTDATA("TNG4",'ngaigiao (2016)'!$A$3,"MA_HT","RPH","MA_QH","CLN")</f>
        <v>0</v>
      </c>
      <c r="L14" s="22">
        <f ca="1">+GETPIVOTDATA("TNG4",'ngaigiao (2016)'!$A$3,"MA_HT","RPH","MA_QH","RSX")</f>
        <v>0</v>
      </c>
      <c r="M14" s="43" t="e">
        <f ca="1">$D14-$BF14</f>
        <v>#REF!</v>
      </c>
      <c r="N14" s="22">
        <f ca="1">+GETPIVOTDATA("TNG4",'ngaigiao (2016)'!$A$3,"MA_HT","RPH","MA_QH","RDD")</f>
        <v>0</v>
      </c>
      <c r="O14" s="22">
        <f ca="1">+GETPIVOTDATA("TNG4",'ngaigiao (2016)'!$A$3,"MA_HT","RPH","MA_QH","NTS")</f>
        <v>0</v>
      </c>
      <c r="P14" s="22">
        <f ca="1">+GETPIVOTDATA("TNG4",'ngaigiao (2016)'!$A$3,"MA_HT","RPH","MA_QH","LMU")</f>
        <v>0</v>
      </c>
      <c r="Q14" s="22">
        <f ca="1">+GETPIVOTDATA("TNG4",'ngaigiao (2016)'!$A$3,"MA_HT","RPH","MA_QH","NKH")</f>
        <v>0</v>
      </c>
      <c r="R14" s="42">
        <f ca="1" t="shared" si="2"/>
        <v>0</v>
      </c>
      <c r="S14" s="22">
        <f ca="1">+GETPIVOTDATA("TNG4",'ngaigiao (2016)'!$A$3,"MA_HT","RPH","MA_QH","CQP")</f>
        <v>0</v>
      </c>
      <c r="T14" s="22">
        <f ca="1">+GETPIVOTDATA("TNG4",'ngaigiao (2016)'!$A$3,"MA_HT","RPH","MA_QH","CAN")</f>
        <v>0</v>
      </c>
      <c r="U14" s="22">
        <f ca="1">+GETPIVOTDATA("TNG4",'ngaigiao (2016)'!$A$3,"MA_HT","RPH","MA_QH","SKK")</f>
        <v>0</v>
      </c>
      <c r="V14" s="22">
        <f ca="1">+GETPIVOTDATA("TNG4",'ngaigiao (2016)'!$A$3,"MA_HT","RPH","MA_QH","SKT")</f>
        <v>0</v>
      </c>
      <c r="W14" s="22">
        <f ca="1">+GETPIVOTDATA("TNG4",'ngaigiao (2016)'!$A$3,"MA_HT","RPH","MA_QH","SKN")</f>
        <v>0</v>
      </c>
      <c r="X14" s="22">
        <f ca="1">+GETPIVOTDATA("TNG4",'ngaigiao (2016)'!$A$3,"MA_HT","RPH","MA_QH","TMD")</f>
        <v>0</v>
      </c>
      <c r="Y14" s="22">
        <f ca="1">+GETPIVOTDATA("TNG4",'ngaigiao (2016)'!$A$3,"MA_HT","RPH","MA_QH","SKC")</f>
        <v>0</v>
      </c>
      <c r="Z14" s="22">
        <f ca="1">+GETPIVOTDATA("TNG4",'ngaigiao (2016)'!$A$3,"MA_HT","RPH","MA_QH","SKS")</f>
        <v>0</v>
      </c>
      <c r="AA14" s="52">
        <f ca="1" t="shared" si="4"/>
        <v>0</v>
      </c>
      <c r="AB14" s="22">
        <f ca="1">+GETPIVOTDATA("TNG4",'ngaigiao (2016)'!$A$3,"MA_HT","RPH","MA_QH","DGT")</f>
        <v>0</v>
      </c>
      <c r="AC14" s="22">
        <f ca="1">+GETPIVOTDATA("TNG4",'ngaigiao (2016)'!$A$3,"MA_HT","RPH","MA_QH","DTL")</f>
        <v>0</v>
      </c>
      <c r="AD14" s="22">
        <f ca="1">+GETPIVOTDATA("TNG4",'ngaigiao (2016)'!$A$3,"MA_HT","RPH","MA_QH","DNL")</f>
        <v>0</v>
      </c>
      <c r="AE14" s="22">
        <f ca="1">+GETPIVOTDATA("TNG4",'ngaigiao (2016)'!$A$3,"MA_HT","RPH","MA_QH","DBV")</f>
        <v>0</v>
      </c>
      <c r="AF14" s="22">
        <f ca="1">+GETPIVOTDATA("TNG4",'ngaigiao (2016)'!$A$3,"MA_HT","RPH","MA_QH","DVH")</f>
        <v>0</v>
      </c>
      <c r="AG14" s="22">
        <f ca="1">+GETPIVOTDATA("TNG4",'ngaigiao (2016)'!$A$3,"MA_HT","RPH","MA_QH","DYT")</f>
        <v>0</v>
      </c>
      <c r="AH14" s="22">
        <f ca="1">+GETPIVOTDATA("TNG4",'ngaigiao (2016)'!$A$3,"MA_HT","RPH","MA_QH","DGD")</f>
        <v>0</v>
      </c>
      <c r="AI14" s="22">
        <f ca="1">+GETPIVOTDATA("TNG4",'ngaigiao (2016)'!$A$3,"MA_HT","RPH","MA_QH","DTT")</f>
        <v>0</v>
      </c>
      <c r="AJ14" s="22">
        <f ca="1">+GETPIVOTDATA("TNG4",'ngaigiao (2016)'!$A$3,"MA_HT","RPH","MA_QH","NCK")</f>
        <v>0</v>
      </c>
      <c r="AK14" s="22">
        <f ca="1">+GETPIVOTDATA("TNG4",'ngaigiao (2016)'!$A$3,"MA_HT","RPH","MA_QH","DXH")</f>
        <v>0</v>
      </c>
      <c r="AL14" s="22">
        <f ca="1">+GETPIVOTDATA("TNG4",'ngaigiao (2016)'!$A$3,"MA_HT","RPH","MA_QH","DCH")</f>
        <v>0</v>
      </c>
      <c r="AM14" s="22">
        <f ca="1">+GETPIVOTDATA("TNG4",'ngaigiao (2016)'!$A$3,"MA_HT","RPH","MA_QH","DKG")</f>
        <v>0</v>
      </c>
      <c r="AN14" s="22">
        <f ca="1">+GETPIVOTDATA("TNG4",'ngaigiao (2016)'!$A$3,"MA_HT","RPH","MA_QH","DDT")</f>
        <v>0</v>
      </c>
      <c r="AO14" s="22">
        <f ca="1">+GETPIVOTDATA("TNG4",'ngaigiao (2016)'!$A$3,"MA_HT","RPH","MA_QH","DDL")</f>
        <v>0</v>
      </c>
      <c r="AP14" s="22">
        <f ca="1">+GETPIVOTDATA("TNG4",'ngaigiao (2016)'!$A$3,"MA_HT","RPH","MA_QH","DRA")</f>
        <v>0</v>
      </c>
      <c r="AQ14" s="22">
        <f ca="1">+GETPIVOTDATA("TNG4",'ngaigiao (2016)'!$A$3,"MA_HT","RPH","MA_QH","ONT")</f>
        <v>0</v>
      </c>
      <c r="AR14" s="22">
        <f ca="1">+GETPIVOTDATA("TNG4",'ngaigiao (2016)'!$A$3,"MA_HT","RPH","MA_QH","ODT")</f>
        <v>0</v>
      </c>
      <c r="AS14" s="22">
        <f ca="1">+GETPIVOTDATA("TNG4",'ngaigiao (2016)'!$A$3,"MA_HT","RPH","MA_QH","TSC")</f>
        <v>0</v>
      </c>
      <c r="AT14" s="22">
        <f ca="1">+GETPIVOTDATA("TNG4",'ngaigiao (2016)'!$A$3,"MA_HT","RPH","MA_QH","DTS")</f>
        <v>0</v>
      </c>
      <c r="AU14" s="22">
        <f ca="1">+GETPIVOTDATA("TNG4",'ngaigiao (2016)'!$A$3,"MA_HT","RPH","MA_QH","DNG")</f>
        <v>0</v>
      </c>
      <c r="AV14" s="22">
        <f ca="1">+GETPIVOTDATA("TNG4",'ngaigiao (2016)'!$A$3,"MA_HT","RPH","MA_QH","TON")</f>
        <v>0</v>
      </c>
      <c r="AW14" s="22">
        <f ca="1">+GETPIVOTDATA("TNG4",'ngaigiao (2016)'!$A$3,"MA_HT","RPH","MA_QH","NTD")</f>
        <v>0</v>
      </c>
      <c r="AX14" s="22">
        <f ca="1">+GETPIVOTDATA("TNG4",'ngaigiao (2016)'!$A$3,"MA_HT","RPH","MA_QH","SKX")</f>
        <v>0</v>
      </c>
      <c r="AY14" s="22">
        <f ca="1">+GETPIVOTDATA("TNG4",'ngaigiao (2016)'!$A$3,"MA_HT","RPH","MA_QH","DSH")</f>
        <v>0</v>
      </c>
      <c r="AZ14" s="22">
        <f ca="1">+GETPIVOTDATA("TNG4",'ngaigiao (2016)'!$A$3,"MA_HT","RPH","MA_QH","DKV")</f>
        <v>0</v>
      </c>
      <c r="BA14" s="89">
        <f ca="1">+GETPIVOTDATA("TNG4",'ngaigiao (2016)'!$A$3,"MA_HT","RPH","MA_QH","TIN")</f>
        <v>0</v>
      </c>
      <c r="BB14" s="50">
        <f ca="1">+GETPIVOTDATA("TNG4",'ngaigiao (2016)'!$A$3,"MA_HT","RPH","MA_QH","SON")</f>
        <v>0</v>
      </c>
      <c r="BC14" s="50">
        <f ca="1">+GETPIVOTDATA("TNG4",'ngaigiao (2016)'!$A$3,"MA_HT","RPH","MA_QH","MNC")</f>
        <v>0</v>
      </c>
      <c r="BD14" s="22">
        <f ca="1">+GETPIVOTDATA("TNG4",'ngaigiao (2016)'!$A$3,"MA_HT","RPH","MA_QH","PNK")</f>
        <v>0</v>
      </c>
      <c r="BE14" s="71">
        <f ca="1">+GETPIVOTDATA("TNG4",'ngaigiao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+GETPIVOTDATA("TNG4",'ngaigiao (2016)'!$A$3,"MA_HT","RDD","MA_QH","LUC")</f>
        <v>0</v>
      </c>
      <c r="H15" s="22">
        <f ca="1">+GETPIVOTDATA("TNG4",'ngaigiao (2016)'!$A$3,"MA_HT","RDD","MA_QH","LUK")</f>
        <v>0</v>
      </c>
      <c r="I15" s="22">
        <f ca="1">+GETPIVOTDATA("TNG4",'ngaigiao (2016)'!$A$3,"MA_HT","RDD","MA_QH","LUN")</f>
        <v>0</v>
      </c>
      <c r="J15" s="22">
        <f ca="1">+GETPIVOTDATA("TNG4",'ngaigiao (2016)'!$A$3,"MA_HT","RDD","MA_QH","HNK")</f>
        <v>0</v>
      </c>
      <c r="K15" s="22">
        <f ca="1">+GETPIVOTDATA("TNG4",'ngaigiao (2016)'!$A$3,"MA_HT","RDD","MA_QH","CLN")</f>
        <v>0</v>
      </c>
      <c r="L15" s="22">
        <f ca="1">+GETPIVOTDATA("TNG4",'ngaigiao (2016)'!$A$3,"MA_HT","RDD","MA_QH","RSX")</f>
        <v>0</v>
      </c>
      <c r="M15" s="22">
        <f ca="1">+GETPIVOTDATA("TNG4",'ngaigiao (2016)'!$A$3,"MA_HT","RDD","MA_QH","RPH")</f>
        <v>0</v>
      </c>
      <c r="N15" s="43" t="e">
        <f ca="1">$D15-$BF15</f>
        <v>#REF!</v>
      </c>
      <c r="O15" s="22">
        <f ca="1">+GETPIVOTDATA("TNG4",'ngaigiao (2016)'!$A$3,"MA_HT","RDD","MA_QH","NTS")</f>
        <v>0</v>
      </c>
      <c r="P15" s="22">
        <f ca="1">+GETPIVOTDATA("TNG4",'ngaigiao (2016)'!$A$3,"MA_HT","RDD","MA_QH","LMU")</f>
        <v>0</v>
      </c>
      <c r="Q15" s="22">
        <f ca="1">+GETPIVOTDATA("TNG4",'ngaigiao (2016)'!$A$3,"MA_HT","RDD","MA_QH","NKH")</f>
        <v>0</v>
      </c>
      <c r="R15" s="42">
        <f ca="1" t="shared" si="2"/>
        <v>0</v>
      </c>
      <c r="S15" s="22">
        <f ca="1">+GETPIVOTDATA("TNG4",'ngaigiao (2016)'!$A$3,"MA_HT","RDD","MA_QH","CQP")</f>
        <v>0</v>
      </c>
      <c r="T15" s="22">
        <f ca="1">+GETPIVOTDATA("TNG4",'ngaigiao (2016)'!$A$3,"MA_HT","RDD","MA_QH","CAN")</f>
        <v>0</v>
      </c>
      <c r="U15" s="22">
        <f ca="1">+GETPIVOTDATA("TNG4",'ngaigiao (2016)'!$A$3,"MA_HT","RDD","MA_QH","SKK")</f>
        <v>0</v>
      </c>
      <c r="V15" s="22">
        <f ca="1">+GETPIVOTDATA("TNG4",'ngaigiao (2016)'!$A$3,"MA_HT","RDD","MA_QH","SKT")</f>
        <v>0</v>
      </c>
      <c r="W15" s="22">
        <f ca="1">+GETPIVOTDATA("TNG4",'ngaigiao (2016)'!$A$3,"MA_HT","RDD","MA_QH","SKN")</f>
        <v>0</v>
      </c>
      <c r="X15" s="22">
        <f ca="1">+GETPIVOTDATA("TNG4",'ngaigiao (2016)'!$A$3,"MA_HT","RDD","MA_QH","TMD")</f>
        <v>0</v>
      </c>
      <c r="Y15" s="22">
        <f ca="1">+GETPIVOTDATA("TNG4",'ngaigiao (2016)'!$A$3,"MA_HT","RDD","MA_QH","SKC")</f>
        <v>0</v>
      </c>
      <c r="Z15" s="22">
        <f ca="1">+GETPIVOTDATA("TNG4",'ngaigiao (2016)'!$A$3,"MA_HT","RDD","MA_QH","SKS")</f>
        <v>0</v>
      </c>
      <c r="AA15" s="52">
        <f ca="1" t="shared" si="4"/>
        <v>0</v>
      </c>
      <c r="AB15" s="22">
        <f ca="1">+GETPIVOTDATA("TNG4",'ngaigiao (2016)'!$A$3,"MA_HT","RDD","MA_QH","DGT")</f>
        <v>0</v>
      </c>
      <c r="AC15" s="22">
        <f ca="1">+GETPIVOTDATA("TNG4",'ngaigiao (2016)'!$A$3,"MA_HT","RDD","MA_QH","DTL")</f>
        <v>0</v>
      </c>
      <c r="AD15" s="22">
        <f ca="1">+GETPIVOTDATA("TNG4",'ngaigiao (2016)'!$A$3,"MA_HT","RDD","MA_QH","DNL")</f>
        <v>0</v>
      </c>
      <c r="AE15" s="22">
        <f ca="1">+GETPIVOTDATA("TNG4",'ngaigiao (2016)'!$A$3,"MA_HT","RDD","MA_QH","DBV")</f>
        <v>0</v>
      </c>
      <c r="AF15" s="22">
        <f ca="1">+GETPIVOTDATA("TNG4",'ngaigiao (2016)'!$A$3,"MA_HT","RDD","MA_QH","DVH")</f>
        <v>0</v>
      </c>
      <c r="AG15" s="22">
        <f ca="1">+GETPIVOTDATA("TNG4",'ngaigiao (2016)'!$A$3,"MA_HT","RDD","MA_QH","DYT")</f>
        <v>0</v>
      </c>
      <c r="AH15" s="22">
        <f ca="1">+GETPIVOTDATA("TNG4",'ngaigiao (2016)'!$A$3,"MA_HT","RDD","MA_QH","DGD")</f>
        <v>0</v>
      </c>
      <c r="AI15" s="22">
        <f ca="1">+GETPIVOTDATA("TNG4",'ngaigiao (2016)'!$A$3,"MA_HT","RDD","MA_QH","DTT")</f>
        <v>0</v>
      </c>
      <c r="AJ15" s="22">
        <f ca="1">+GETPIVOTDATA("TNG4",'ngaigiao (2016)'!$A$3,"MA_HT","RDD","MA_QH","NCK")</f>
        <v>0</v>
      </c>
      <c r="AK15" s="22">
        <f ca="1">+GETPIVOTDATA("TNG4",'ngaigiao (2016)'!$A$3,"MA_HT","RDD","MA_QH","DXH")</f>
        <v>0</v>
      </c>
      <c r="AL15" s="22">
        <f ca="1">+GETPIVOTDATA("TNG4",'ngaigiao (2016)'!$A$3,"MA_HT","RDD","MA_QH","DCH")</f>
        <v>0</v>
      </c>
      <c r="AM15" s="22">
        <f ca="1">+GETPIVOTDATA("TNG4",'ngaigiao (2016)'!$A$3,"MA_HT","RDD","MA_QH","DKG")</f>
        <v>0</v>
      </c>
      <c r="AN15" s="22">
        <f ca="1">+GETPIVOTDATA("TNG4",'ngaigiao (2016)'!$A$3,"MA_HT","RDD","MA_QH","DDT")</f>
        <v>0</v>
      </c>
      <c r="AO15" s="22">
        <f ca="1">+GETPIVOTDATA("TNG4",'ngaigiao (2016)'!$A$3,"MA_HT","RDD","MA_QH","DDL")</f>
        <v>0</v>
      </c>
      <c r="AP15" s="22">
        <f ca="1">+GETPIVOTDATA("TNG4",'ngaigiao (2016)'!$A$3,"MA_HT","RDD","MA_QH","DRA")</f>
        <v>0</v>
      </c>
      <c r="AQ15" s="22">
        <f ca="1">+GETPIVOTDATA("TNG4",'ngaigiao (2016)'!$A$3,"MA_HT","RDD","MA_QH","ONT")</f>
        <v>0</v>
      </c>
      <c r="AR15" s="22">
        <f ca="1">+GETPIVOTDATA("TNG4",'ngaigiao (2016)'!$A$3,"MA_HT","RDD","MA_QH","ODT")</f>
        <v>0</v>
      </c>
      <c r="AS15" s="22">
        <f ca="1">+GETPIVOTDATA("TNG4",'ngaigiao (2016)'!$A$3,"MA_HT","RDD","MA_QH","TSC")</f>
        <v>0</v>
      </c>
      <c r="AT15" s="22">
        <f ca="1">+GETPIVOTDATA("TNG4",'ngaigiao (2016)'!$A$3,"MA_HT","RDD","MA_QH","DTS")</f>
        <v>0</v>
      </c>
      <c r="AU15" s="22">
        <f ca="1">+GETPIVOTDATA("TNG4",'ngaigiao (2016)'!$A$3,"MA_HT","RDD","MA_QH","DNG")</f>
        <v>0</v>
      </c>
      <c r="AV15" s="22">
        <f ca="1">+GETPIVOTDATA("TNG4",'ngaigiao (2016)'!$A$3,"MA_HT","RDD","MA_QH","TON")</f>
        <v>0</v>
      </c>
      <c r="AW15" s="22">
        <f ca="1">+GETPIVOTDATA("TNG4",'ngaigiao (2016)'!$A$3,"MA_HT","RDD","MA_QH","NTD")</f>
        <v>0</v>
      </c>
      <c r="AX15" s="22">
        <f ca="1">+GETPIVOTDATA("TNG4",'ngaigiao (2016)'!$A$3,"MA_HT","RDD","MA_QH","SKX")</f>
        <v>0</v>
      </c>
      <c r="AY15" s="22">
        <f ca="1">+GETPIVOTDATA("TNG4",'ngaigiao (2016)'!$A$3,"MA_HT","RDD","MA_QH","DSH")</f>
        <v>0</v>
      </c>
      <c r="AZ15" s="22">
        <f ca="1">+GETPIVOTDATA("TNG4",'ngaigiao (2016)'!$A$3,"MA_HT","RDD","MA_QH","DKV")</f>
        <v>0</v>
      </c>
      <c r="BA15" s="89">
        <f ca="1">+GETPIVOTDATA("TNG4",'ngaigiao (2016)'!$A$3,"MA_HT","RDD","MA_QH","TIN")</f>
        <v>0</v>
      </c>
      <c r="BB15" s="50">
        <f ca="1">+GETPIVOTDATA("TNG4",'ngaigiao (2016)'!$A$3,"MA_HT","RDD","MA_QH","SON")</f>
        <v>0</v>
      </c>
      <c r="BC15" s="50">
        <f ca="1">+GETPIVOTDATA("TNG4",'ngaigiao (2016)'!$A$3,"MA_HT","RDD","MA_QH","MNC")</f>
        <v>0</v>
      </c>
      <c r="BD15" s="22">
        <f ca="1">+GETPIVOTDATA("TNG4",'ngaigiao (2016)'!$A$3,"MA_HT","RDD","MA_QH","PNK")</f>
        <v>0</v>
      </c>
      <c r="BE15" s="71">
        <f ca="1">+GETPIVOTDATA("TNG4",'ngaigiao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+GETPIVOTDATA("TNG4",'ngaigiao (2016)'!$A$3,"MA_HT","NTS","MA_QH","LUC")</f>
        <v>0</v>
      </c>
      <c r="H16" s="22">
        <f ca="1">+GETPIVOTDATA("TNG4",'ngaigiao (2016)'!$A$3,"MA_HT","NTS","MA_QH","LUK")</f>
        <v>0</v>
      </c>
      <c r="I16" s="22">
        <f ca="1">+GETPIVOTDATA("TNG4",'ngaigiao (2016)'!$A$3,"MA_HT","NTS","MA_QH","LUN")</f>
        <v>0</v>
      </c>
      <c r="J16" s="22">
        <f ca="1">+GETPIVOTDATA("TNG4",'ngaigiao (2016)'!$A$3,"MA_HT","NTS","MA_QH","HNK")</f>
        <v>0</v>
      </c>
      <c r="K16" s="22">
        <f ca="1">+GETPIVOTDATA("TNG4",'ngaigiao (2016)'!$A$3,"MA_HT","NTS","MA_QH","CLN")</f>
        <v>0</v>
      </c>
      <c r="L16" s="22">
        <f ca="1">+GETPIVOTDATA("TNG4",'ngaigiao (2016)'!$A$3,"MA_HT","NTS","MA_QH","RSX")</f>
        <v>0</v>
      </c>
      <c r="M16" s="22">
        <f ca="1">+GETPIVOTDATA("TNG4",'ngaigiao (2016)'!$A$3,"MA_HT","NTS","MA_QH","RPH")</f>
        <v>0</v>
      </c>
      <c r="N16" s="22">
        <f ca="1">+GETPIVOTDATA("TNG4",'ngaigiao (2016)'!$A$3,"MA_HT","NTS","MA_QH","RDD")</f>
        <v>0</v>
      </c>
      <c r="O16" s="43" t="e">
        <f ca="1">$D16-$BF16</f>
        <v>#REF!</v>
      </c>
      <c r="P16" s="22">
        <f ca="1">+GETPIVOTDATA("TNG4",'ngaigiao (2016)'!$A$3,"MA_HT","NTS","MA_QH","LMU")</f>
        <v>0</v>
      </c>
      <c r="Q16" s="22">
        <f ca="1">+GETPIVOTDATA("TNG4",'ngaigiao (2016)'!$A$3,"MA_HT","NTS","MA_QH","NKH")</f>
        <v>0</v>
      </c>
      <c r="R16" s="42">
        <f ca="1" t="shared" si="2"/>
        <v>0</v>
      </c>
      <c r="S16" s="22">
        <f ca="1">+GETPIVOTDATA("TNG4",'ngaigiao (2016)'!$A$3,"MA_HT","NTS","MA_QH","CQP")</f>
        <v>0</v>
      </c>
      <c r="T16" s="22">
        <f ca="1">+GETPIVOTDATA("TNG4",'ngaigiao (2016)'!$A$3,"MA_HT","NTS","MA_QH","CAN")</f>
        <v>0</v>
      </c>
      <c r="U16" s="22">
        <f ca="1">+GETPIVOTDATA("TNG4",'ngaigiao (2016)'!$A$3,"MA_HT","NTS","MA_QH","SKK")</f>
        <v>0</v>
      </c>
      <c r="V16" s="22">
        <f ca="1">+GETPIVOTDATA("TNG4",'ngaigiao (2016)'!$A$3,"MA_HT","NTS","MA_QH","SKT")</f>
        <v>0</v>
      </c>
      <c r="W16" s="22">
        <f ca="1">+GETPIVOTDATA("TNG4",'ngaigiao (2016)'!$A$3,"MA_HT","NTS","MA_QH","SKN")</f>
        <v>0</v>
      </c>
      <c r="X16" s="22">
        <f ca="1">+GETPIVOTDATA("TNG4",'ngaigiao (2016)'!$A$3,"MA_HT","NTS","MA_QH","TMD")</f>
        <v>0</v>
      </c>
      <c r="Y16" s="22">
        <f ca="1">+GETPIVOTDATA("TNG4",'ngaigiao (2016)'!$A$3,"MA_HT","NTS","MA_QH","SKC")</f>
        <v>0</v>
      </c>
      <c r="Z16" s="22">
        <f ca="1">+GETPIVOTDATA("TNG4",'ngaigiao (2016)'!$A$3,"MA_HT","NTS","MA_QH","SKS")</f>
        <v>0</v>
      </c>
      <c r="AA16" s="52">
        <f ca="1" t="shared" si="4"/>
        <v>0</v>
      </c>
      <c r="AB16" s="22">
        <f ca="1">+GETPIVOTDATA("TNG4",'ngaigiao (2016)'!$A$3,"MA_HT","NTS","MA_QH","DGT")</f>
        <v>0</v>
      </c>
      <c r="AC16" s="22">
        <f ca="1">+GETPIVOTDATA("TNG4",'ngaigiao (2016)'!$A$3,"MA_HT","NTS","MA_QH","DTL")</f>
        <v>0</v>
      </c>
      <c r="AD16" s="22">
        <f ca="1">+GETPIVOTDATA("TNG4",'ngaigiao (2016)'!$A$3,"MA_HT","NTS","MA_QH","DNL")</f>
        <v>0</v>
      </c>
      <c r="AE16" s="22">
        <f ca="1">+GETPIVOTDATA("TNG4",'ngaigiao (2016)'!$A$3,"MA_HT","NTS","MA_QH","DBV")</f>
        <v>0</v>
      </c>
      <c r="AF16" s="22">
        <f ca="1">+GETPIVOTDATA("TNG4",'ngaigiao (2016)'!$A$3,"MA_HT","NTS","MA_QH","DVH")</f>
        <v>0</v>
      </c>
      <c r="AG16" s="22">
        <f ca="1">+GETPIVOTDATA("TNG4",'ngaigiao (2016)'!$A$3,"MA_HT","NTS","MA_QH","DYT")</f>
        <v>0</v>
      </c>
      <c r="AH16" s="22">
        <f ca="1">+GETPIVOTDATA("TNG4",'ngaigiao (2016)'!$A$3,"MA_HT","NTS","MA_QH","DGD")</f>
        <v>0</v>
      </c>
      <c r="AI16" s="22">
        <f ca="1">+GETPIVOTDATA("TNG4",'ngaigiao (2016)'!$A$3,"MA_HT","NTS","MA_QH","DTT")</f>
        <v>0</v>
      </c>
      <c r="AJ16" s="22">
        <f ca="1">+GETPIVOTDATA("TNG4",'ngaigiao (2016)'!$A$3,"MA_HT","NTS","MA_QH","NCK")</f>
        <v>0</v>
      </c>
      <c r="AK16" s="22">
        <f ca="1">+GETPIVOTDATA("TNG4",'ngaigiao (2016)'!$A$3,"MA_HT","NTS","MA_QH","DXH")</f>
        <v>0</v>
      </c>
      <c r="AL16" s="22">
        <f ca="1">+GETPIVOTDATA("TNG4",'ngaigiao (2016)'!$A$3,"MA_HT","NTS","MA_QH","DCH")</f>
        <v>0</v>
      </c>
      <c r="AM16" s="22">
        <f ca="1">+GETPIVOTDATA("TNG4",'ngaigiao (2016)'!$A$3,"MA_HT","NTS","MA_QH","DKG")</f>
        <v>0</v>
      </c>
      <c r="AN16" s="22">
        <f ca="1">+GETPIVOTDATA("TNG4",'ngaigiao (2016)'!$A$3,"MA_HT","NTS","MA_QH","DDT")</f>
        <v>0</v>
      </c>
      <c r="AO16" s="22">
        <f ca="1">+GETPIVOTDATA("TNG4",'ngaigiao (2016)'!$A$3,"MA_HT","NTS","MA_QH","DDL")</f>
        <v>0</v>
      </c>
      <c r="AP16" s="22">
        <f ca="1">+GETPIVOTDATA("TNG4",'ngaigiao (2016)'!$A$3,"MA_HT","NTS","MA_QH","DRA")</f>
        <v>0</v>
      </c>
      <c r="AQ16" s="22">
        <f ca="1">+GETPIVOTDATA("TNG4",'ngaigiao (2016)'!$A$3,"MA_HT","NTS","MA_QH","ONT")</f>
        <v>0</v>
      </c>
      <c r="AR16" s="22">
        <f ca="1">+GETPIVOTDATA("TNG4",'ngaigiao (2016)'!$A$3,"MA_HT","NTS","MA_QH","ODT")</f>
        <v>0</v>
      </c>
      <c r="AS16" s="22">
        <f ca="1">+GETPIVOTDATA("TNG4",'ngaigiao (2016)'!$A$3,"MA_HT","NTS","MA_QH","TSC")</f>
        <v>0</v>
      </c>
      <c r="AT16" s="22">
        <f ca="1">+GETPIVOTDATA("TNG4",'ngaigiao (2016)'!$A$3,"MA_HT","NTS","MA_QH","DTS")</f>
        <v>0</v>
      </c>
      <c r="AU16" s="22">
        <f ca="1">+GETPIVOTDATA("TNG4",'ngaigiao (2016)'!$A$3,"MA_HT","NTS","MA_QH","DNG")</f>
        <v>0</v>
      </c>
      <c r="AV16" s="22">
        <f ca="1">+GETPIVOTDATA("TNG4",'ngaigiao (2016)'!$A$3,"MA_HT","NTS","MA_QH","TON")</f>
        <v>0</v>
      </c>
      <c r="AW16" s="22">
        <f ca="1">+GETPIVOTDATA("TNG4",'ngaigiao (2016)'!$A$3,"MA_HT","NTS","MA_QH","NTD")</f>
        <v>0</v>
      </c>
      <c r="AX16" s="22">
        <f ca="1">+GETPIVOTDATA("TNG4",'ngaigiao (2016)'!$A$3,"MA_HT","NTS","MA_QH","SKX")</f>
        <v>0</v>
      </c>
      <c r="AY16" s="22">
        <f ca="1">+GETPIVOTDATA("TNG4",'ngaigiao (2016)'!$A$3,"MA_HT","NTS","MA_QH","DSH")</f>
        <v>0</v>
      </c>
      <c r="AZ16" s="22">
        <f ca="1">+GETPIVOTDATA("TNG4",'ngaigiao (2016)'!$A$3,"MA_HT","NTS","MA_QH","DKV")</f>
        <v>0</v>
      </c>
      <c r="BA16" s="89">
        <f ca="1">+GETPIVOTDATA("TNG4",'ngaigiao (2016)'!$A$3,"MA_HT","NTS","MA_QH","TIN")</f>
        <v>0</v>
      </c>
      <c r="BB16" s="50">
        <f ca="1">+GETPIVOTDATA("TNG4",'ngaigiao (2016)'!$A$3,"MA_HT","NTS","MA_QH","SON")</f>
        <v>0</v>
      </c>
      <c r="BC16" s="50">
        <f ca="1">+GETPIVOTDATA("TNG4",'ngaigiao (2016)'!$A$3,"MA_HT","NTS","MA_QH","MNC")</f>
        <v>0</v>
      </c>
      <c r="BD16" s="22">
        <f ca="1">+GETPIVOTDATA("TNG4",'ngaigiao (2016)'!$A$3,"MA_HT","NTS","MA_QH","PNK")</f>
        <v>0</v>
      </c>
      <c r="BE16" s="71">
        <f ca="1">+GETPIVOTDATA("TNG4",'ngaigiao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+GETPIVOTDATA("TNG4",'ngaigiao (2016)'!$A$3,"MA_HT","LMU","MA_QH","LUC")</f>
        <v>0</v>
      </c>
      <c r="H17" s="22">
        <f ca="1">+GETPIVOTDATA("TNG4",'ngaigiao (2016)'!$A$3,"MA_HT","LMU","MA_QH","LUK")</f>
        <v>0</v>
      </c>
      <c r="I17" s="22">
        <f ca="1">+GETPIVOTDATA("TNG4",'ngaigiao (2016)'!$A$3,"MA_HT","LMU","MA_QH","LUN")</f>
        <v>0</v>
      </c>
      <c r="J17" s="22">
        <f ca="1">+GETPIVOTDATA("TNG4",'ngaigiao (2016)'!$A$3,"MA_HT","LMU","MA_QH","HNK")</f>
        <v>0</v>
      </c>
      <c r="K17" s="22">
        <f ca="1">+GETPIVOTDATA("TNG4",'ngaigiao (2016)'!$A$3,"MA_HT","LMU","MA_QH","CLN")</f>
        <v>0</v>
      </c>
      <c r="L17" s="22">
        <f ca="1">+GETPIVOTDATA("TNG4",'ngaigiao (2016)'!$A$3,"MA_HT","LMU","MA_QH","RSX")</f>
        <v>0</v>
      </c>
      <c r="M17" s="22">
        <f ca="1">+GETPIVOTDATA("TNG4",'ngaigiao (2016)'!$A$3,"MA_HT","LMU","MA_QH","RPH")</f>
        <v>0</v>
      </c>
      <c r="N17" s="22">
        <f ca="1">+GETPIVOTDATA("TNG4",'ngaigiao (2016)'!$A$3,"MA_HT","LMU","MA_QH","RDD")</f>
        <v>0</v>
      </c>
      <c r="O17" s="22">
        <f ca="1">+GETPIVOTDATA("TNG4",'ngaigiao (2016)'!$A$3,"MA_HT","LMU","MA_QH","NTS")</f>
        <v>0</v>
      </c>
      <c r="P17" s="43" t="e">
        <f ca="1">$D17-$BF17</f>
        <v>#REF!</v>
      </c>
      <c r="Q17" s="22">
        <f ca="1">+GETPIVOTDATA("TNG4",'ngaigiao (2016)'!$A$3,"MA_HT","LMU","MA_QH","NKH")</f>
        <v>0</v>
      </c>
      <c r="R17" s="42">
        <f ca="1" t="shared" si="2"/>
        <v>0</v>
      </c>
      <c r="S17" s="22">
        <f ca="1">+GETPIVOTDATA("TNG4",'ngaigiao (2016)'!$A$3,"MA_HT","LMU","MA_QH","CQP")</f>
        <v>0</v>
      </c>
      <c r="T17" s="22">
        <f ca="1">+GETPIVOTDATA("TNG4",'ngaigiao (2016)'!$A$3,"MA_HT","LMU","MA_QH","CAN")</f>
        <v>0</v>
      </c>
      <c r="U17" s="22">
        <f ca="1">+GETPIVOTDATA("TNG4",'ngaigiao (2016)'!$A$3,"MA_HT","LMU","MA_QH","SKK")</f>
        <v>0</v>
      </c>
      <c r="V17" s="22">
        <f ca="1">+GETPIVOTDATA("TNG4",'ngaigiao (2016)'!$A$3,"MA_HT","LMU","MA_QH","SKT")</f>
        <v>0</v>
      </c>
      <c r="W17" s="22">
        <f ca="1">+GETPIVOTDATA("TNG4",'ngaigiao (2016)'!$A$3,"MA_HT","LMU","MA_QH","SKN")</f>
        <v>0</v>
      </c>
      <c r="X17" s="22">
        <f ca="1">+GETPIVOTDATA("TNG4",'ngaigiao (2016)'!$A$3,"MA_HT","LMU","MA_QH","TMD")</f>
        <v>0</v>
      </c>
      <c r="Y17" s="22">
        <f ca="1">+GETPIVOTDATA("TNG4",'ngaigiao (2016)'!$A$3,"MA_HT","LMU","MA_QH","SKC")</f>
        <v>0</v>
      </c>
      <c r="Z17" s="22">
        <f ca="1">+GETPIVOTDATA("TNG4",'ngaigiao (2016)'!$A$3,"MA_HT","LMU","MA_QH","SKS")</f>
        <v>0</v>
      </c>
      <c r="AA17" s="52">
        <f ca="1" t="shared" si="4"/>
        <v>0</v>
      </c>
      <c r="AB17" s="22">
        <f ca="1">+GETPIVOTDATA("TNG4",'ngaigiao (2016)'!$A$3,"MA_HT","LMU","MA_QH","DGT")</f>
        <v>0</v>
      </c>
      <c r="AC17" s="22">
        <f ca="1">+GETPIVOTDATA("TNG4",'ngaigiao (2016)'!$A$3,"MA_HT","LMU","MA_QH","DTL")</f>
        <v>0</v>
      </c>
      <c r="AD17" s="22">
        <f ca="1">+GETPIVOTDATA("TNG4",'ngaigiao (2016)'!$A$3,"MA_HT","LMU","MA_QH","DNL")</f>
        <v>0</v>
      </c>
      <c r="AE17" s="22">
        <f ca="1">+GETPIVOTDATA("TNG4",'ngaigiao (2016)'!$A$3,"MA_HT","LMU","MA_QH","DBV")</f>
        <v>0</v>
      </c>
      <c r="AF17" s="22">
        <f ca="1">+GETPIVOTDATA("TNG4",'ngaigiao (2016)'!$A$3,"MA_HT","LMU","MA_QH","DVH")</f>
        <v>0</v>
      </c>
      <c r="AG17" s="22">
        <f ca="1">+GETPIVOTDATA("TNG4",'ngaigiao (2016)'!$A$3,"MA_HT","LMU","MA_QH","DYT")</f>
        <v>0</v>
      </c>
      <c r="AH17" s="22">
        <f ca="1">+GETPIVOTDATA("TNG4",'ngaigiao (2016)'!$A$3,"MA_HT","LMU","MA_QH","DGD")</f>
        <v>0</v>
      </c>
      <c r="AI17" s="22">
        <f ca="1">+GETPIVOTDATA("TNG4",'ngaigiao (2016)'!$A$3,"MA_HT","LMU","MA_QH","DTT")</f>
        <v>0</v>
      </c>
      <c r="AJ17" s="22">
        <f ca="1">+GETPIVOTDATA("TNG4",'ngaigiao (2016)'!$A$3,"MA_HT","LMU","MA_QH","NCK")</f>
        <v>0</v>
      </c>
      <c r="AK17" s="22">
        <f ca="1">+GETPIVOTDATA("TNG4",'ngaigiao (2016)'!$A$3,"MA_HT","LMU","MA_QH","DXH")</f>
        <v>0</v>
      </c>
      <c r="AL17" s="22">
        <f ca="1">+GETPIVOTDATA("TNG4",'ngaigiao (2016)'!$A$3,"MA_HT","LMU","MA_QH","DCH")</f>
        <v>0</v>
      </c>
      <c r="AM17" s="22">
        <f ca="1">+GETPIVOTDATA("TNG4",'ngaigiao (2016)'!$A$3,"MA_HT","LMU","MA_QH","DKG")</f>
        <v>0</v>
      </c>
      <c r="AN17" s="22">
        <f ca="1">+GETPIVOTDATA("TNG4",'ngaigiao (2016)'!$A$3,"MA_HT","LMU","MA_QH","DDT")</f>
        <v>0</v>
      </c>
      <c r="AO17" s="22">
        <f ca="1">+GETPIVOTDATA("TNG4",'ngaigiao (2016)'!$A$3,"MA_HT","LMU","MA_QH","DDL")</f>
        <v>0</v>
      </c>
      <c r="AP17" s="22">
        <f ca="1">+GETPIVOTDATA("TNG4",'ngaigiao (2016)'!$A$3,"MA_HT","LMU","MA_QH","DRA")</f>
        <v>0</v>
      </c>
      <c r="AQ17" s="22">
        <f ca="1">+GETPIVOTDATA("TNG4",'ngaigiao (2016)'!$A$3,"MA_HT","LMU","MA_QH","ONT")</f>
        <v>0</v>
      </c>
      <c r="AR17" s="22">
        <f ca="1">+GETPIVOTDATA("TNG4",'ngaigiao (2016)'!$A$3,"MA_HT","LMU","MA_QH","ODT")</f>
        <v>0</v>
      </c>
      <c r="AS17" s="22">
        <f ca="1">+GETPIVOTDATA("TNG4",'ngaigiao (2016)'!$A$3,"MA_HT","LMU","MA_QH","TSC")</f>
        <v>0</v>
      </c>
      <c r="AT17" s="22">
        <f ca="1">+GETPIVOTDATA("TNG4",'ngaigiao (2016)'!$A$3,"MA_HT","LMU","MA_QH","DTS")</f>
        <v>0</v>
      </c>
      <c r="AU17" s="22">
        <f ca="1">+GETPIVOTDATA("TNG4",'ngaigiao (2016)'!$A$3,"MA_HT","LMU","MA_QH","DNG")</f>
        <v>0</v>
      </c>
      <c r="AV17" s="22">
        <f ca="1">+GETPIVOTDATA("TNG4",'ngaigiao (2016)'!$A$3,"MA_HT","LMU","MA_QH","TON")</f>
        <v>0</v>
      </c>
      <c r="AW17" s="22">
        <f ca="1">+GETPIVOTDATA("TNG4",'ngaigiao (2016)'!$A$3,"MA_HT","LMU","MA_QH","NTD")</f>
        <v>0</v>
      </c>
      <c r="AX17" s="22">
        <f ca="1">+GETPIVOTDATA("TNG4",'ngaigiao (2016)'!$A$3,"MA_HT","LMU","MA_QH","SKX")</f>
        <v>0</v>
      </c>
      <c r="AY17" s="22">
        <f ca="1">+GETPIVOTDATA("TNG4",'ngaigiao (2016)'!$A$3,"MA_HT","LMU","MA_QH","DSH")</f>
        <v>0</v>
      </c>
      <c r="AZ17" s="22">
        <f ca="1">+GETPIVOTDATA("TNG4",'ngaigiao (2016)'!$A$3,"MA_HT","LMU","MA_QH","DKV")</f>
        <v>0</v>
      </c>
      <c r="BA17" s="89">
        <f ca="1">+GETPIVOTDATA("TNG4",'ngaigiao (2016)'!$A$3,"MA_HT","LMU","MA_QH","TIN")</f>
        <v>0</v>
      </c>
      <c r="BB17" s="50">
        <f ca="1">+GETPIVOTDATA("TNG4",'ngaigiao (2016)'!$A$3,"MA_HT","LMU","MA_QH","SON")</f>
        <v>0</v>
      </c>
      <c r="BC17" s="50">
        <f ca="1">+GETPIVOTDATA("TNG4",'ngaigiao (2016)'!$A$3,"MA_HT","LMU","MA_QH","MNC")</f>
        <v>0</v>
      </c>
      <c r="BD17" s="22">
        <f ca="1">+GETPIVOTDATA("TNG4",'ngaigiao (2016)'!$A$3,"MA_HT","LMU","MA_QH","PNK")</f>
        <v>0</v>
      </c>
      <c r="BE17" s="71">
        <f ca="1">+GETPIVOTDATA("TNG4",'ngaigiao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+GETPIVOTDATA("TNG4",'ngaigiao (2016)'!$A$3,"MA_HT","NKH","MA_QH","LUC")</f>
        <v>0</v>
      </c>
      <c r="H18" s="22">
        <f ca="1">+GETPIVOTDATA("TNG4",'ngaigiao (2016)'!$A$3,"MA_HT","NKH","MA_QH","LUK")</f>
        <v>0</v>
      </c>
      <c r="I18" s="22">
        <f ca="1">+GETPIVOTDATA("TNG4",'ngaigiao (2016)'!$A$3,"MA_HT","NKH","MA_QH","LUN")</f>
        <v>0</v>
      </c>
      <c r="J18" s="22">
        <f ca="1">+GETPIVOTDATA("TNG4",'ngaigiao (2016)'!$A$3,"MA_HT","NKH","MA_QH","HNK")</f>
        <v>0</v>
      </c>
      <c r="K18" s="22">
        <f ca="1">+GETPIVOTDATA("TNG4",'ngaigiao (2016)'!$A$3,"MA_HT","NKH","MA_QH","CLN")</f>
        <v>0</v>
      </c>
      <c r="L18" s="22">
        <f ca="1">+GETPIVOTDATA("TNG4",'ngaigiao (2016)'!$A$3,"MA_HT","NKH","MA_QH","RSX")</f>
        <v>0</v>
      </c>
      <c r="M18" s="22">
        <f ca="1">+GETPIVOTDATA("TNG4",'ngaigiao (2016)'!$A$3,"MA_HT","NKH","MA_QH","RPH")</f>
        <v>0</v>
      </c>
      <c r="N18" s="22">
        <f ca="1">+GETPIVOTDATA("TNG4",'ngaigiao (2016)'!$A$3,"MA_HT","NKH","MA_QH","RDD")</f>
        <v>0</v>
      </c>
      <c r="O18" s="22">
        <f ca="1">+GETPIVOTDATA("TNG4",'ngaigiao (2016)'!$A$3,"MA_HT","NKH","MA_QH","NTS")</f>
        <v>0</v>
      </c>
      <c r="P18" s="22">
        <f ca="1">+GETPIVOTDATA("TNG4",'ngaigiao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+GETPIVOTDATA("TNG4",'ngaigiao (2016)'!$A$3,"MA_HT","NKH","MA_QH","CQP")</f>
        <v>0</v>
      </c>
      <c r="T18" s="22">
        <f ca="1">+GETPIVOTDATA("TNG4",'ngaigiao (2016)'!$A$3,"MA_HT","NKH","MA_QH","CAN")</f>
        <v>0</v>
      </c>
      <c r="U18" s="22">
        <f ca="1">+GETPIVOTDATA("TNG4",'ngaigiao (2016)'!$A$3,"MA_HT","NKH","MA_QH","SKK")</f>
        <v>0</v>
      </c>
      <c r="V18" s="22">
        <f ca="1">+GETPIVOTDATA("TNG4",'ngaigiao (2016)'!$A$3,"MA_HT","NKH","MA_QH","SKT")</f>
        <v>0</v>
      </c>
      <c r="W18" s="22">
        <f ca="1">+GETPIVOTDATA("TNG4",'ngaigiao (2016)'!$A$3,"MA_HT","NKH","MA_QH","SKN")</f>
        <v>0</v>
      </c>
      <c r="X18" s="22">
        <f ca="1">+GETPIVOTDATA("TNG4",'ngaigiao (2016)'!$A$3,"MA_HT","NKH","MA_QH","TMD")</f>
        <v>0</v>
      </c>
      <c r="Y18" s="22">
        <f ca="1">+GETPIVOTDATA("TNG4",'ngaigiao (2016)'!$A$3,"MA_HT","NKH","MA_QH","SKC")</f>
        <v>0</v>
      </c>
      <c r="Z18" s="22">
        <f ca="1">+GETPIVOTDATA("TNG4",'ngaigiao (2016)'!$A$3,"MA_HT","NKH","MA_QH","SKS")</f>
        <v>0</v>
      </c>
      <c r="AA18" s="52">
        <f ca="1" t="shared" si="4"/>
        <v>0</v>
      </c>
      <c r="AB18" s="22">
        <f ca="1">+GETPIVOTDATA("TNG4",'ngaigiao (2016)'!$A$3,"MA_HT","NKH","MA_QH","DGT")</f>
        <v>0</v>
      </c>
      <c r="AC18" s="22">
        <f ca="1">+GETPIVOTDATA("TNG4",'ngaigiao (2016)'!$A$3,"MA_HT","NKH","MA_QH","DTL")</f>
        <v>0</v>
      </c>
      <c r="AD18" s="22">
        <f ca="1">+GETPIVOTDATA("TNG4",'ngaigiao (2016)'!$A$3,"MA_HT","NKH","MA_QH","DNL")</f>
        <v>0</v>
      </c>
      <c r="AE18" s="22">
        <f ca="1">+GETPIVOTDATA("TNG4",'ngaigiao (2016)'!$A$3,"MA_HT","NKH","MA_QH","DBV")</f>
        <v>0</v>
      </c>
      <c r="AF18" s="22">
        <f ca="1">+GETPIVOTDATA("TNG4",'ngaigiao (2016)'!$A$3,"MA_HT","NKH","MA_QH","DVH")</f>
        <v>0</v>
      </c>
      <c r="AG18" s="22">
        <f ca="1">+GETPIVOTDATA("TNG4",'ngaigiao (2016)'!$A$3,"MA_HT","NKH","MA_QH","DYT")</f>
        <v>0</v>
      </c>
      <c r="AH18" s="22">
        <f ca="1">+GETPIVOTDATA("TNG4",'ngaigiao (2016)'!$A$3,"MA_HT","NKH","MA_QH","DGD")</f>
        <v>0</v>
      </c>
      <c r="AI18" s="22">
        <f ca="1">+GETPIVOTDATA("TNG4",'ngaigiao (2016)'!$A$3,"MA_HT","NKH","MA_QH","DTT")</f>
        <v>0</v>
      </c>
      <c r="AJ18" s="22">
        <f ca="1">+GETPIVOTDATA("TNG4",'ngaigiao (2016)'!$A$3,"MA_HT","NKH","MA_QH","NCK")</f>
        <v>0</v>
      </c>
      <c r="AK18" s="22">
        <f ca="1">+GETPIVOTDATA("TNG4",'ngaigiao (2016)'!$A$3,"MA_HT","NKH","MA_QH","DXH")</f>
        <v>0</v>
      </c>
      <c r="AL18" s="22">
        <f ca="1">+GETPIVOTDATA("TNG4",'ngaigiao (2016)'!$A$3,"MA_HT","NKH","MA_QH","DCH")</f>
        <v>0</v>
      </c>
      <c r="AM18" s="22">
        <f ca="1">+GETPIVOTDATA("TNG4",'ngaigiao (2016)'!$A$3,"MA_HT","NKH","MA_QH","DKG")</f>
        <v>0</v>
      </c>
      <c r="AN18" s="22">
        <f ca="1">+GETPIVOTDATA("TNG4",'ngaigiao (2016)'!$A$3,"MA_HT","NKH","MA_QH","DDT")</f>
        <v>0</v>
      </c>
      <c r="AO18" s="22">
        <f ca="1">+GETPIVOTDATA("TNG4",'ngaigiao (2016)'!$A$3,"MA_HT","NKH","MA_QH","DDL")</f>
        <v>0</v>
      </c>
      <c r="AP18" s="22">
        <f ca="1">+GETPIVOTDATA("TNG4",'ngaigiao (2016)'!$A$3,"MA_HT","NKH","MA_QH","DRA")</f>
        <v>0</v>
      </c>
      <c r="AQ18" s="22">
        <f ca="1">+GETPIVOTDATA("TNG4",'ngaigiao (2016)'!$A$3,"MA_HT","NKH","MA_QH","ONT")</f>
        <v>0</v>
      </c>
      <c r="AR18" s="22">
        <f ca="1">+GETPIVOTDATA("TNG4",'ngaigiao (2016)'!$A$3,"MA_HT","NKH","MA_QH","ODT")</f>
        <v>0</v>
      </c>
      <c r="AS18" s="22">
        <f ca="1">+GETPIVOTDATA("TNG4",'ngaigiao (2016)'!$A$3,"MA_HT","NKH","MA_QH","TSC")</f>
        <v>0</v>
      </c>
      <c r="AT18" s="22">
        <f ca="1">+GETPIVOTDATA("TNG4",'ngaigiao (2016)'!$A$3,"MA_HT","NKH","MA_QH","DTS")</f>
        <v>0</v>
      </c>
      <c r="AU18" s="22">
        <f ca="1">+GETPIVOTDATA("TNG4",'ngaigiao (2016)'!$A$3,"MA_HT","NKH","MA_QH","DNG")</f>
        <v>0</v>
      </c>
      <c r="AV18" s="22">
        <f ca="1">+GETPIVOTDATA("TNG4",'ngaigiao (2016)'!$A$3,"MA_HT","NKH","MA_QH","TON")</f>
        <v>0</v>
      </c>
      <c r="AW18" s="22">
        <f ca="1">+GETPIVOTDATA("TNG4",'ngaigiao (2016)'!$A$3,"MA_HT","NKH","MA_QH","NTD")</f>
        <v>0</v>
      </c>
      <c r="AX18" s="22">
        <f ca="1">+GETPIVOTDATA("TNG4",'ngaigiao (2016)'!$A$3,"MA_HT","NKH","MA_QH","SKX")</f>
        <v>0</v>
      </c>
      <c r="AY18" s="22">
        <f ca="1">+GETPIVOTDATA("TNG4",'ngaigiao (2016)'!$A$3,"MA_HT","NKH","MA_QH","DSH")</f>
        <v>0</v>
      </c>
      <c r="AZ18" s="22">
        <f ca="1">+GETPIVOTDATA("TNG4",'ngaigiao (2016)'!$A$3,"MA_HT","NKH","MA_QH","DKV")</f>
        <v>0</v>
      </c>
      <c r="BA18" s="89">
        <f ca="1">+GETPIVOTDATA("TNG4",'ngaigiao (2016)'!$A$3,"MA_HT","NKH","MA_QH","TIN")</f>
        <v>0</v>
      </c>
      <c r="BB18" s="50">
        <f ca="1">+GETPIVOTDATA("TNG4",'ngaigiao (2016)'!$A$3,"MA_HT","NKH","MA_QH","SON")</f>
        <v>0</v>
      </c>
      <c r="BC18" s="50">
        <f ca="1">+GETPIVOTDATA("TNG4",'ngaigiao (2016)'!$A$3,"MA_HT","NKH","MA_QH","MNC")</f>
        <v>0</v>
      </c>
      <c r="BD18" s="22">
        <f ca="1">+GETPIVOTDATA("TNG4",'ngaigiao (2016)'!$A$3,"MA_HT","NKH","MA_QH","PNK")</f>
        <v>0</v>
      </c>
      <c r="BE18" s="71">
        <f ca="1">+GETPIVOTDATA("TNG4",'ngaigiao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+GETPIVOTDATA("TNG4",'ngaigiao (2016)'!$A$3,"MA_HT","CQP","MA_QH","LUC")</f>
        <v>0</v>
      </c>
      <c r="H20" s="22">
        <f ca="1">+GETPIVOTDATA("TNG4",'ngaigiao (2016)'!$A$3,"MA_HT","CQP","MA_QH","LUK")</f>
        <v>0</v>
      </c>
      <c r="I20" s="22">
        <f ca="1">+GETPIVOTDATA("TNG4",'ngaigiao (2016)'!$A$3,"MA_HT","CQP","MA_QH","LUN")</f>
        <v>0</v>
      </c>
      <c r="J20" s="22">
        <f ca="1">+GETPIVOTDATA("TNG4",'ngaigiao (2016)'!$A$3,"MA_HT","CQP","MA_QH","HNK")</f>
        <v>0</v>
      </c>
      <c r="K20" s="22">
        <f ca="1">+GETPIVOTDATA("TNG4",'ngaigiao (2016)'!$A$3,"MA_HT","CQP","MA_QH","CLN")</f>
        <v>0</v>
      </c>
      <c r="L20" s="22">
        <f ca="1">+GETPIVOTDATA("TNG4",'ngaigiao (2016)'!$A$3,"MA_HT","CQP","MA_QH","RSX")</f>
        <v>0</v>
      </c>
      <c r="M20" s="22">
        <f ca="1">+GETPIVOTDATA("TNG4",'ngaigiao (2016)'!$A$3,"MA_HT","CQP","MA_QH","RPH")</f>
        <v>0</v>
      </c>
      <c r="N20" s="22">
        <f ca="1">+GETPIVOTDATA("TNG4",'ngaigiao (2016)'!$A$3,"MA_HT","CQP","MA_QH","RDD")</f>
        <v>0</v>
      </c>
      <c r="O20" s="22">
        <f ca="1">+GETPIVOTDATA("TNG4",'ngaigiao (2016)'!$A$3,"MA_HT","CQP","MA_QH","NTS")</f>
        <v>0</v>
      </c>
      <c r="P20" s="22">
        <f ca="1">+GETPIVOTDATA("TNG4",'ngaigiao (2016)'!$A$3,"MA_HT","CQP","MA_QH","LMU")</f>
        <v>0</v>
      </c>
      <c r="Q20" s="22">
        <f ca="1">+GETPIVOTDATA("TNG4",'ngaigiao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+GETPIVOTDATA("TNG4",'ngaigiao (2016)'!$A$3,"MA_HT","CQP","MA_QH","CAN")</f>
        <v>0</v>
      </c>
      <c r="U20" s="22">
        <f ca="1">+GETPIVOTDATA("TNG4",'ngaigiao (2016)'!$A$3,"MA_HT","CQP","MA_QH","SKK")</f>
        <v>0</v>
      </c>
      <c r="V20" s="22">
        <f ca="1">+GETPIVOTDATA("TNG4",'ngaigiao (2016)'!$A$3,"MA_HT","CQP","MA_QH","SKT")</f>
        <v>0</v>
      </c>
      <c r="W20" s="22">
        <f ca="1">+GETPIVOTDATA("TNG4",'ngaigiao (2016)'!$A$3,"MA_HT","CQP","MA_QH","SKN")</f>
        <v>0</v>
      </c>
      <c r="X20" s="22">
        <f ca="1">+GETPIVOTDATA("TNG4",'ngaigiao (2016)'!$A$3,"MA_HT","CQP","MA_QH","TMD")</f>
        <v>0</v>
      </c>
      <c r="Y20" s="22">
        <f ca="1">+GETPIVOTDATA("TNG4",'ngaigiao (2016)'!$A$3,"MA_HT","CQP","MA_QH","SKC")</f>
        <v>0</v>
      </c>
      <c r="Z20" s="22">
        <f ca="1">+GETPIVOTDATA("TNG4",'ngaigiao (2016)'!$A$3,"MA_HT","CQP","MA_QH","SKS")</f>
        <v>0</v>
      </c>
      <c r="AA20" s="52">
        <f ca="1" t="shared" ref="AA20:AA27" si="12">+SUM(AB20:AM20)</f>
        <v>0</v>
      </c>
      <c r="AB20" s="22">
        <f ca="1">+GETPIVOTDATA("TNG4",'ngaigiao (2016)'!$A$3,"MA_HT","CQP","MA_QH","DGT")</f>
        <v>0</v>
      </c>
      <c r="AC20" s="22">
        <f ca="1">+GETPIVOTDATA("TNG4",'ngaigiao (2016)'!$A$3,"MA_HT","CQP","MA_QH","DTL")</f>
        <v>0</v>
      </c>
      <c r="AD20" s="22">
        <f ca="1">+GETPIVOTDATA("TNG4",'ngaigiao (2016)'!$A$3,"MA_HT","CQP","MA_QH","DNL")</f>
        <v>0</v>
      </c>
      <c r="AE20" s="22">
        <f ca="1">+GETPIVOTDATA("TNG4",'ngaigiao (2016)'!$A$3,"MA_HT","CQP","MA_QH","DBV")</f>
        <v>0</v>
      </c>
      <c r="AF20" s="22">
        <f ca="1">+GETPIVOTDATA("TNG4",'ngaigiao (2016)'!$A$3,"MA_HT","CQP","MA_QH","DVH")</f>
        <v>0</v>
      </c>
      <c r="AG20" s="22">
        <f ca="1">+GETPIVOTDATA("TNG4",'ngaigiao (2016)'!$A$3,"MA_HT","CQP","MA_QH","DYT")</f>
        <v>0</v>
      </c>
      <c r="AH20" s="22">
        <f ca="1">+GETPIVOTDATA("TNG4",'ngaigiao (2016)'!$A$3,"MA_HT","CQP","MA_QH","DGD")</f>
        <v>0</v>
      </c>
      <c r="AI20" s="22">
        <f ca="1">+GETPIVOTDATA("TNG4",'ngaigiao (2016)'!$A$3,"MA_HT","CQP","MA_QH","DTT")</f>
        <v>0</v>
      </c>
      <c r="AJ20" s="22">
        <f ca="1">+GETPIVOTDATA("TNG4",'ngaigiao (2016)'!$A$3,"MA_HT","CQP","MA_QH","NCK")</f>
        <v>0</v>
      </c>
      <c r="AK20" s="22">
        <f ca="1">+GETPIVOTDATA("TNG4",'ngaigiao (2016)'!$A$3,"MA_HT","CQP","MA_QH","DXH")</f>
        <v>0</v>
      </c>
      <c r="AL20" s="22">
        <f ca="1">+GETPIVOTDATA("TNG4",'ngaigiao (2016)'!$A$3,"MA_HT","CQP","MA_QH","DCH")</f>
        <v>0</v>
      </c>
      <c r="AM20" s="22">
        <f ca="1">+GETPIVOTDATA("TNG4",'ngaigiao (2016)'!$A$3,"MA_HT","CQP","MA_QH","DKG")</f>
        <v>0</v>
      </c>
      <c r="AN20" s="22">
        <f ca="1">+GETPIVOTDATA("TNG4",'ngaigiao (2016)'!$A$3,"MA_HT","CQP","MA_QH","DDT")</f>
        <v>0</v>
      </c>
      <c r="AO20" s="22">
        <f ca="1">+GETPIVOTDATA("TNG4",'ngaigiao (2016)'!$A$3,"MA_HT","CQP","MA_QH","DDL")</f>
        <v>0</v>
      </c>
      <c r="AP20" s="22">
        <f ca="1">+GETPIVOTDATA("TNG4",'ngaigiao (2016)'!$A$3,"MA_HT","CQP","MA_QH","DRA")</f>
        <v>0</v>
      </c>
      <c r="AQ20" s="22">
        <f ca="1">+GETPIVOTDATA("TNG4",'ngaigiao (2016)'!$A$3,"MA_HT","CQP","MA_QH","ONT")</f>
        <v>0</v>
      </c>
      <c r="AR20" s="22">
        <f ca="1">+GETPIVOTDATA("TNG4",'ngaigiao (2016)'!$A$3,"MA_HT","CQP","MA_QH","ODT")</f>
        <v>0</v>
      </c>
      <c r="AS20" s="22">
        <f ca="1">+GETPIVOTDATA("TNG4",'ngaigiao (2016)'!$A$3,"MA_HT","CQP","MA_QH","TSC")</f>
        <v>0</v>
      </c>
      <c r="AT20" s="22">
        <f ca="1">+GETPIVOTDATA("TNG4",'ngaigiao (2016)'!$A$3,"MA_HT","CQP","MA_QH","DTS")</f>
        <v>0</v>
      </c>
      <c r="AU20" s="22">
        <f ca="1">+GETPIVOTDATA("TNG4",'ngaigiao (2016)'!$A$3,"MA_HT","CQP","MA_QH","DNG")</f>
        <v>0</v>
      </c>
      <c r="AV20" s="22">
        <f ca="1">+GETPIVOTDATA("TNG4",'ngaigiao (2016)'!$A$3,"MA_HT","CQP","MA_QH","TON")</f>
        <v>0</v>
      </c>
      <c r="AW20" s="22">
        <f ca="1">+GETPIVOTDATA("TNG4",'ngaigiao (2016)'!$A$3,"MA_HT","CQP","MA_QH","NTD")</f>
        <v>0</v>
      </c>
      <c r="AX20" s="22">
        <f ca="1">+GETPIVOTDATA("TNG4",'ngaigiao (2016)'!$A$3,"MA_HT","CQP","MA_QH","SKX")</f>
        <v>0</v>
      </c>
      <c r="AY20" s="22">
        <f ca="1">+GETPIVOTDATA("TNG4",'ngaigiao (2016)'!$A$3,"MA_HT","CQP","MA_QH","DSH")</f>
        <v>0</v>
      </c>
      <c r="AZ20" s="22">
        <f ca="1">+GETPIVOTDATA("TNG4",'ngaigiao (2016)'!$A$3,"MA_HT","CQP","MA_QH","DKV")</f>
        <v>0</v>
      </c>
      <c r="BA20" s="89">
        <f ca="1">+GETPIVOTDATA("TNG4",'ngaigiao (2016)'!$A$3,"MA_HT","CQP","MA_QH","TIN")</f>
        <v>0</v>
      </c>
      <c r="BB20" s="50">
        <f ca="1">+GETPIVOTDATA("TNG4",'ngaigiao (2016)'!$A$3,"MA_HT","CQP","MA_QH","SON")</f>
        <v>0</v>
      </c>
      <c r="BC20" s="50">
        <f ca="1">+GETPIVOTDATA("TNG4",'ngaigiao (2016)'!$A$3,"MA_HT","CQP","MA_QH","MNC")</f>
        <v>0</v>
      </c>
      <c r="BD20" s="22">
        <f ca="1">+GETPIVOTDATA("TNG4",'ngaigiao (2016)'!$A$3,"MA_HT","CQP","MA_QH","PNK")</f>
        <v>0</v>
      </c>
      <c r="BE20" s="71">
        <f ca="1">+GETPIVOTDATA("TNG4",'ngaigiao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+GETPIVOTDATA("TNG4",'ngaigiao (2016)'!$A$3,"MA_HT","CAN","MA_QH","LUC")</f>
        <v>0</v>
      </c>
      <c r="H21" s="22">
        <f ca="1">+GETPIVOTDATA("TNG4",'ngaigiao (2016)'!$A$3,"MA_HT","CAN","MA_QH","LUK")</f>
        <v>0</v>
      </c>
      <c r="I21" s="22">
        <f ca="1">+GETPIVOTDATA("TNG4",'ngaigiao (2016)'!$A$3,"MA_HT","CAN","MA_QH","LUN")</f>
        <v>0</v>
      </c>
      <c r="J21" s="22">
        <f ca="1">+GETPIVOTDATA("TNG4",'ngaigiao (2016)'!$A$3,"MA_HT","CAN","MA_QH","HNK")</f>
        <v>0</v>
      </c>
      <c r="K21" s="22">
        <f ca="1">+GETPIVOTDATA("TNG4",'ngaigiao (2016)'!$A$3,"MA_HT","CAN","MA_QH","CLN")</f>
        <v>0</v>
      </c>
      <c r="L21" s="22">
        <f ca="1">+GETPIVOTDATA("TNG4",'ngaigiao (2016)'!$A$3,"MA_HT","CAN","MA_QH","RSX")</f>
        <v>0</v>
      </c>
      <c r="M21" s="22">
        <f ca="1">+GETPIVOTDATA("TNG4",'ngaigiao (2016)'!$A$3,"MA_HT","CAN","MA_QH","RPH")</f>
        <v>0</v>
      </c>
      <c r="N21" s="22">
        <f ca="1">+GETPIVOTDATA("TNG4",'ngaigiao (2016)'!$A$3,"MA_HT","CAN","MA_QH","RDD")</f>
        <v>0</v>
      </c>
      <c r="O21" s="22">
        <f ca="1">+GETPIVOTDATA("TNG4",'ngaigiao (2016)'!$A$3,"MA_HT","CAN","MA_QH","NTS")</f>
        <v>0</v>
      </c>
      <c r="P21" s="22">
        <f ca="1">+GETPIVOTDATA("TNG4",'ngaigiao (2016)'!$A$3,"MA_HT","CAN","MA_QH","LMU")</f>
        <v>0</v>
      </c>
      <c r="Q21" s="22">
        <f ca="1">+GETPIVOTDATA("TNG4",'ngaigiao (2016)'!$A$3,"MA_HT","CAN","MA_QH","NKH")</f>
        <v>0</v>
      </c>
      <c r="R21" s="42">
        <f ca="1">SUM(S21,U21:AA21,AN21:BD21)</f>
        <v>0</v>
      </c>
      <c r="S21" s="22">
        <f ca="1">+GETPIVOTDATA("TNG4",'ngaigiao (2016)'!$A$3,"MA_HT","CAN","MA_QH","CQP")</f>
        <v>0</v>
      </c>
      <c r="T21" s="43" t="e">
        <f ca="1">$D21-$BF21</f>
        <v>#REF!</v>
      </c>
      <c r="U21" s="22">
        <f ca="1">+GETPIVOTDATA("TNG4",'ngaigiao (2016)'!$A$3,"MA_HT","CAN","MA_QH","SKK")</f>
        <v>0</v>
      </c>
      <c r="V21" s="22">
        <f ca="1">+GETPIVOTDATA("TNG4",'ngaigiao (2016)'!$A$3,"MA_HT","CAN","MA_QH","SKT")</f>
        <v>0</v>
      </c>
      <c r="W21" s="22">
        <f ca="1">+GETPIVOTDATA("TNG4",'ngaigiao (2016)'!$A$3,"MA_HT","CAN","MA_QH","SKN")</f>
        <v>0</v>
      </c>
      <c r="X21" s="22">
        <f ca="1">+GETPIVOTDATA("TNG4",'ngaigiao (2016)'!$A$3,"MA_HT","CAN","MA_QH","TMD")</f>
        <v>0</v>
      </c>
      <c r="Y21" s="22">
        <f ca="1">+GETPIVOTDATA("TNG4",'ngaigiao (2016)'!$A$3,"MA_HT","CAN","MA_QH","SKC")</f>
        <v>0</v>
      </c>
      <c r="Z21" s="22">
        <f ca="1">+GETPIVOTDATA("TNG4",'ngaigiao (2016)'!$A$3,"MA_HT","CAN","MA_QH","SKS")</f>
        <v>0</v>
      </c>
      <c r="AA21" s="52">
        <f ca="1" t="shared" si="12"/>
        <v>0</v>
      </c>
      <c r="AB21" s="22">
        <f ca="1">+GETPIVOTDATA("TNG4",'ngaigiao (2016)'!$A$3,"MA_HT","CAN","MA_QH","DGT")</f>
        <v>0</v>
      </c>
      <c r="AC21" s="22">
        <f ca="1">+GETPIVOTDATA("TNG4",'ngaigiao (2016)'!$A$3,"MA_HT","CAN","MA_QH","DTL")</f>
        <v>0</v>
      </c>
      <c r="AD21" s="22">
        <f ca="1">+GETPIVOTDATA("TNG4",'ngaigiao (2016)'!$A$3,"MA_HT","CAN","MA_QH","DNL")</f>
        <v>0</v>
      </c>
      <c r="AE21" s="22">
        <f ca="1">+GETPIVOTDATA("TNG4",'ngaigiao (2016)'!$A$3,"MA_HT","CAN","MA_QH","DBV")</f>
        <v>0</v>
      </c>
      <c r="AF21" s="22">
        <f ca="1">+GETPIVOTDATA("TNG4",'ngaigiao (2016)'!$A$3,"MA_HT","CAN","MA_QH","DVH")</f>
        <v>0</v>
      </c>
      <c r="AG21" s="22">
        <f ca="1">+GETPIVOTDATA("TNG4",'ngaigiao (2016)'!$A$3,"MA_HT","CAN","MA_QH","DYT")</f>
        <v>0</v>
      </c>
      <c r="AH21" s="22">
        <f ca="1">+GETPIVOTDATA("TNG4",'ngaigiao (2016)'!$A$3,"MA_HT","CAN","MA_QH","DGD")</f>
        <v>0</v>
      </c>
      <c r="AI21" s="22">
        <f ca="1">+GETPIVOTDATA("TNG4",'ngaigiao (2016)'!$A$3,"MA_HT","CAN","MA_QH","DTT")</f>
        <v>0</v>
      </c>
      <c r="AJ21" s="22">
        <f ca="1">+GETPIVOTDATA("TNG4",'ngaigiao (2016)'!$A$3,"MA_HT","CAN","MA_QH","NCK")</f>
        <v>0</v>
      </c>
      <c r="AK21" s="22">
        <f ca="1">+GETPIVOTDATA("TNG4",'ngaigiao (2016)'!$A$3,"MA_HT","CAN","MA_QH","DXH")</f>
        <v>0</v>
      </c>
      <c r="AL21" s="22">
        <f ca="1">+GETPIVOTDATA("TNG4",'ngaigiao (2016)'!$A$3,"MA_HT","CAN","MA_QH","DCH")</f>
        <v>0</v>
      </c>
      <c r="AM21" s="22">
        <f ca="1">+GETPIVOTDATA("TNG4",'ngaigiao (2016)'!$A$3,"MA_HT","CAN","MA_QH","DKG")</f>
        <v>0</v>
      </c>
      <c r="AN21" s="22">
        <f ca="1">+GETPIVOTDATA("TNG4",'ngaigiao (2016)'!$A$3,"MA_HT","CAN","MA_QH","DDT")</f>
        <v>0</v>
      </c>
      <c r="AO21" s="22">
        <f ca="1">+GETPIVOTDATA("TNG4",'ngaigiao (2016)'!$A$3,"MA_HT","CAN","MA_QH","DDL")</f>
        <v>0</v>
      </c>
      <c r="AP21" s="22">
        <f ca="1">+GETPIVOTDATA("TNG4",'ngaigiao (2016)'!$A$3,"MA_HT","CAN","MA_QH","DRA")</f>
        <v>0</v>
      </c>
      <c r="AQ21" s="22">
        <f ca="1">+GETPIVOTDATA("TNG4",'ngaigiao (2016)'!$A$3,"MA_HT","CAN","MA_QH","ONT")</f>
        <v>0</v>
      </c>
      <c r="AR21" s="22">
        <f ca="1">+GETPIVOTDATA("TNG4",'ngaigiao (2016)'!$A$3,"MA_HT","CAN","MA_QH","ODT")</f>
        <v>0</v>
      </c>
      <c r="AS21" s="22">
        <f ca="1">+GETPIVOTDATA("TNG4",'ngaigiao (2016)'!$A$3,"MA_HT","CAN","MA_QH","TSC")</f>
        <v>0</v>
      </c>
      <c r="AT21" s="22">
        <f ca="1">+GETPIVOTDATA("TNG4",'ngaigiao (2016)'!$A$3,"MA_HT","CAN","MA_QH","DTS")</f>
        <v>0</v>
      </c>
      <c r="AU21" s="22">
        <f ca="1">+GETPIVOTDATA("TNG4",'ngaigiao (2016)'!$A$3,"MA_HT","CAN","MA_QH","DNG")</f>
        <v>0</v>
      </c>
      <c r="AV21" s="22">
        <f ca="1">+GETPIVOTDATA("TNG4",'ngaigiao (2016)'!$A$3,"MA_HT","CAN","MA_QH","TON")</f>
        <v>0</v>
      </c>
      <c r="AW21" s="22">
        <f ca="1">+GETPIVOTDATA("TNG4",'ngaigiao (2016)'!$A$3,"MA_HT","CAN","MA_QH","NTD")</f>
        <v>0</v>
      </c>
      <c r="AX21" s="22">
        <f ca="1">+GETPIVOTDATA("TNG4",'ngaigiao (2016)'!$A$3,"MA_HT","CAN","MA_QH","SKX")</f>
        <v>0</v>
      </c>
      <c r="AY21" s="22">
        <f ca="1">+GETPIVOTDATA("TNG4",'ngaigiao (2016)'!$A$3,"MA_HT","CAN","MA_QH","DSH")</f>
        <v>0</v>
      </c>
      <c r="AZ21" s="22">
        <f ca="1">+GETPIVOTDATA("TNG4",'ngaigiao (2016)'!$A$3,"MA_HT","CAN","MA_QH","DKV")</f>
        <v>0</v>
      </c>
      <c r="BA21" s="89">
        <f ca="1">+GETPIVOTDATA("TNG4",'ngaigiao (2016)'!$A$3,"MA_HT","CAN","MA_QH","TIN")</f>
        <v>0</v>
      </c>
      <c r="BB21" s="50">
        <f ca="1">+GETPIVOTDATA("TNG4",'ngaigiao (2016)'!$A$3,"MA_HT","CAN","MA_QH","SON")</f>
        <v>0</v>
      </c>
      <c r="BC21" s="50">
        <f ca="1">+GETPIVOTDATA("TNG4",'ngaigiao (2016)'!$A$3,"MA_HT","CAN","MA_QH","MNC")</f>
        <v>0</v>
      </c>
      <c r="BD21" s="22">
        <f ca="1">+GETPIVOTDATA("TNG4",'ngaigiao (2016)'!$A$3,"MA_HT","CAN","MA_QH","PNK")</f>
        <v>0</v>
      </c>
      <c r="BE21" s="71">
        <f ca="1">+GETPIVOTDATA("TNG4",'ngaigiao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+GETPIVOTDATA("TNG4",'ngaigiao (2016)'!$A$3,"MA_HT","SKK","MA_QH","LUC")</f>
        <v>0</v>
      </c>
      <c r="H22" s="22">
        <f ca="1">+GETPIVOTDATA("TNG4",'ngaigiao (2016)'!$A$3,"MA_HT","SKK","MA_QH","LUK")</f>
        <v>0</v>
      </c>
      <c r="I22" s="22">
        <f ca="1">+GETPIVOTDATA("TNG4",'ngaigiao (2016)'!$A$3,"MA_HT","SKK","MA_QH","LUN")</f>
        <v>0</v>
      </c>
      <c r="J22" s="22">
        <f ca="1">+GETPIVOTDATA("TNG4",'ngaigiao (2016)'!$A$3,"MA_HT","SKK","MA_QH","HNK")</f>
        <v>0</v>
      </c>
      <c r="K22" s="22">
        <f ca="1">+GETPIVOTDATA("TNG4",'ngaigiao (2016)'!$A$3,"MA_HT","SKK","MA_QH","CLN")</f>
        <v>0</v>
      </c>
      <c r="L22" s="22">
        <f ca="1">+GETPIVOTDATA("TNG4",'ngaigiao (2016)'!$A$3,"MA_HT","SKK","MA_QH","RSX")</f>
        <v>0</v>
      </c>
      <c r="M22" s="22">
        <f ca="1">+GETPIVOTDATA("TNG4",'ngaigiao (2016)'!$A$3,"MA_HT","SKK","MA_QH","RPH")</f>
        <v>0</v>
      </c>
      <c r="N22" s="22">
        <f ca="1">+GETPIVOTDATA("TNG4",'ngaigiao (2016)'!$A$3,"MA_HT","SKK","MA_QH","RDD")</f>
        <v>0</v>
      </c>
      <c r="O22" s="22">
        <f ca="1">+GETPIVOTDATA("TNG4",'ngaigiao (2016)'!$A$3,"MA_HT","SKK","MA_QH","NTS")</f>
        <v>0</v>
      </c>
      <c r="P22" s="22">
        <f ca="1">+GETPIVOTDATA("TNG4",'ngaigiao (2016)'!$A$3,"MA_HT","SKK","MA_QH","LMU")</f>
        <v>0</v>
      </c>
      <c r="Q22" s="22">
        <f ca="1">+GETPIVOTDATA("TNG4",'ngaigiao (2016)'!$A$3,"MA_HT","SKK","MA_QH","NKH")</f>
        <v>0</v>
      </c>
      <c r="R22" s="42">
        <f ca="1">SUM(S22:T22,V22:AA22,AN22:BD22)</f>
        <v>0</v>
      </c>
      <c r="S22" s="22">
        <f ca="1">+GETPIVOTDATA("TNG4",'ngaigiao (2016)'!$A$3,"MA_HT","SKK","MA_QH","CQP")</f>
        <v>0</v>
      </c>
      <c r="T22" s="22">
        <f ca="1">+GETPIVOTDATA("TNG4",'ngaigiao (2016)'!$A$3,"MA_HT","SKK","MA_QH","CAN")</f>
        <v>0</v>
      </c>
      <c r="U22" s="43" t="e">
        <f ca="1">$D22-$BF22</f>
        <v>#REF!</v>
      </c>
      <c r="V22" s="22">
        <f ca="1">+GETPIVOTDATA("TNG4",'ngaigiao (2016)'!$A$3,"MA_HT","SKK","MA_QH","SKT")</f>
        <v>0</v>
      </c>
      <c r="W22" s="22">
        <f ca="1">+GETPIVOTDATA("TNG4",'ngaigiao (2016)'!$A$3,"MA_HT","SKK","MA_QH","SKN")</f>
        <v>0</v>
      </c>
      <c r="X22" s="22">
        <f ca="1">+GETPIVOTDATA("TNG4",'ngaigiao (2016)'!$A$3,"MA_HT","SKK","MA_QH","TMD")</f>
        <v>0</v>
      </c>
      <c r="Y22" s="22">
        <f ca="1">+GETPIVOTDATA("TNG4",'ngaigiao (2016)'!$A$3,"MA_HT","SKK","MA_QH","SKC")</f>
        <v>0</v>
      </c>
      <c r="Z22" s="22">
        <f ca="1">+GETPIVOTDATA("TNG4",'ngaigiao (2016)'!$A$3,"MA_HT","SKK","MA_QH","SKS")</f>
        <v>0</v>
      </c>
      <c r="AA22" s="52">
        <f ca="1" t="shared" si="12"/>
        <v>0</v>
      </c>
      <c r="AB22" s="22">
        <f ca="1">+GETPIVOTDATA("TNG4",'ngaigiao (2016)'!$A$3,"MA_HT","SKK","MA_QH","DGT")</f>
        <v>0</v>
      </c>
      <c r="AC22" s="22">
        <f ca="1">+GETPIVOTDATA("TNG4",'ngaigiao (2016)'!$A$3,"MA_HT","SKK","MA_QH","DTL")</f>
        <v>0</v>
      </c>
      <c r="AD22" s="22">
        <f ca="1">+GETPIVOTDATA("TNG4",'ngaigiao (2016)'!$A$3,"MA_HT","SKK","MA_QH","DNL")</f>
        <v>0</v>
      </c>
      <c r="AE22" s="22">
        <f ca="1">+GETPIVOTDATA("TNG4",'ngaigiao (2016)'!$A$3,"MA_HT","SKK","MA_QH","DBV")</f>
        <v>0</v>
      </c>
      <c r="AF22" s="22">
        <f ca="1">+GETPIVOTDATA("TNG4",'ngaigiao (2016)'!$A$3,"MA_HT","SKK","MA_QH","DVH")</f>
        <v>0</v>
      </c>
      <c r="AG22" s="22">
        <f ca="1">+GETPIVOTDATA("TNG4",'ngaigiao (2016)'!$A$3,"MA_HT","SKK","MA_QH","DYT")</f>
        <v>0</v>
      </c>
      <c r="AH22" s="22">
        <f ca="1">+GETPIVOTDATA("TNG4",'ngaigiao (2016)'!$A$3,"MA_HT","SKK","MA_QH","DGD")</f>
        <v>0</v>
      </c>
      <c r="AI22" s="22">
        <f ca="1">+GETPIVOTDATA("TNG4",'ngaigiao (2016)'!$A$3,"MA_HT","SKK","MA_QH","DTT")</f>
        <v>0</v>
      </c>
      <c r="AJ22" s="22">
        <f ca="1">+GETPIVOTDATA("TNG4",'ngaigiao (2016)'!$A$3,"MA_HT","SKK","MA_QH","NCK")</f>
        <v>0</v>
      </c>
      <c r="AK22" s="22">
        <f ca="1">+GETPIVOTDATA("TNG4",'ngaigiao (2016)'!$A$3,"MA_HT","SKK","MA_QH","DXH")</f>
        <v>0</v>
      </c>
      <c r="AL22" s="22">
        <f ca="1">+GETPIVOTDATA("TNG4",'ngaigiao (2016)'!$A$3,"MA_HT","SKK","MA_QH","DCH")</f>
        <v>0</v>
      </c>
      <c r="AM22" s="22">
        <f ca="1">+GETPIVOTDATA("TNG4",'ngaigiao (2016)'!$A$3,"MA_HT","SKK","MA_QH","DKG")</f>
        <v>0</v>
      </c>
      <c r="AN22" s="22">
        <f ca="1">+GETPIVOTDATA("TNG4",'ngaigiao (2016)'!$A$3,"MA_HT","SKK","MA_QH","DDT")</f>
        <v>0</v>
      </c>
      <c r="AO22" s="22">
        <f ca="1">+GETPIVOTDATA("TNG4",'ngaigiao (2016)'!$A$3,"MA_HT","SKK","MA_QH","DDL")</f>
        <v>0</v>
      </c>
      <c r="AP22" s="22">
        <f ca="1">+GETPIVOTDATA("TNG4",'ngaigiao (2016)'!$A$3,"MA_HT","SKK","MA_QH","DRA")</f>
        <v>0</v>
      </c>
      <c r="AQ22" s="22">
        <f ca="1">+GETPIVOTDATA("TNG4",'ngaigiao (2016)'!$A$3,"MA_HT","SKK","MA_QH","ONT")</f>
        <v>0</v>
      </c>
      <c r="AR22" s="22">
        <f ca="1">+GETPIVOTDATA("TNG4",'ngaigiao (2016)'!$A$3,"MA_HT","SKK","MA_QH","ODT")</f>
        <v>0</v>
      </c>
      <c r="AS22" s="22">
        <f ca="1">+GETPIVOTDATA("TNG4",'ngaigiao (2016)'!$A$3,"MA_HT","SKK","MA_QH","TSC")</f>
        <v>0</v>
      </c>
      <c r="AT22" s="22">
        <f ca="1">+GETPIVOTDATA("TNG4",'ngaigiao (2016)'!$A$3,"MA_HT","SKK","MA_QH","DTS")</f>
        <v>0</v>
      </c>
      <c r="AU22" s="22">
        <f ca="1">+GETPIVOTDATA("TNG4",'ngaigiao (2016)'!$A$3,"MA_HT","SKK","MA_QH","DNG")</f>
        <v>0</v>
      </c>
      <c r="AV22" s="22">
        <f ca="1">+GETPIVOTDATA("TNG4",'ngaigiao (2016)'!$A$3,"MA_HT","SKK","MA_QH","TON")</f>
        <v>0</v>
      </c>
      <c r="AW22" s="22">
        <f ca="1">+GETPIVOTDATA("TNG4",'ngaigiao (2016)'!$A$3,"MA_HT","SKK","MA_QH","NTD")</f>
        <v>0</v>
      </c>
      <c r="AX22" s="22">
        <f ca="1">+GETPIVOTDATA("TNG4",'ngaigiao (2016)'!$A$3,"MA_HT","SKK","MA_QH","SKX")</f>
        <v>0</v>
      </c>
      <c r="AY22" s="22">
        <f ca="1">+GETPIVOTDATA("TNG4",'ngaigiao (2016)'!$A$3,"MA_HT","SKK","MA_QH","DSH")</f>
        <v>0</v>
      </c>
      <c r="AZ22" s="22">
        <f ca="1">+GETPIVOTDATA("TNG4",'ngaigiao (2016)'!$A$3,"MA_HT","SKK","MA_QH","DKV")</f>
        <v>0</v>
      </c>
      <c r="BA22" s="89">
        <f ca="1">+GETPIVOTDATA("TNG4",'ngaigiao (2016)'!$A$3,"MA_HT","SKK","MA_QH","TIN")</f>
        <v>0</v>
      </c>
      <c r="BB22" s="50">
        <f ca="1">+GETPIVOTDATA("TNG4",'ngaigiao (2016)'!$A$3,"MA_HT","SKK","MA_QH","SON")</f>
        <v>0</v>
      </c>
      <c r="BC22" s="50">
        <f ca="1">+GETPIVOTDATA("TNG4",'ngaigiao (2016)'!$A$3,"MA_HT","SKK","MA_QH","MNC")</f>
        <v>0</v>
      </c>
      <c r="BD22" s="22">
        <f ca="1">+GETPIVOTDATA("TNG4",'ngaigiao (2016)'!$A$3,"MA_HT","SKK","MA_QH","PNK")</f>
        <v>0</v>
      </c>
      <c r="BE22" s="71">
        <f ca="1">+GETPIVOTDATA("TNG4",'ngaigiao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+GETPIVOTDATA("TNG4",'ngaigiao (2016)'!$A$3,"MA_HT","SKT","MA_QH","LUC")</f>
        <v>0</v>
      </c>
      <c r="H23" s="22">
        <f ca="1">+GETPIVOTDATA("TNG4",'ngaigiao (2016)'!$A$3,"MA_HT","SKT","MA_QH","LUK")</f>
        <v>0</v>
      </c>
      <c r="I23" s="22">
        <f ca="1">+GETPIVOTDATA("TNG4",'ngaigiao (2016)'!$A$3,"MA_HT","SKT","MA_QH","LUN")</f>
        <v>0</v>
      </c>
      <c r="J23" s="22">
        <f ca="1">+GETPIVOTDATA("TNG4",'ngaigiao (2016)'!$A$3,"MA_HT","SKT","MA_QH","HNK")</f>
        <v>0</v>
      </c>
      <c r="K23" s="22">
        <f ca="1">+GETPIVOTDATA("TNG4",'ngaigiao (2016)'!$A$3,"MA_HT","SKT","MA_QH","CLN")</f>
        <v>0</v>
      </c>
      <c r="L23" s="22">
        <f ca="1">+GETPIVOTDATA("TNG4",'ngaigiao (2016)'!$A$3,"MA_HT","SKT","MA_QH","RSX")</f>
        <v>0</v>
      </c>
      <c r="M23" s="22">
        <f ca="1">+GETPIVOTDATA("TNG4",'ngaigiao (2016)'!$A$3,"MA_HT","SKT","MA_QH","RPH")</f>
        <v>0</v>
      </c>
      <c r="N23" s="22">
        <f ca="1">+GETPIVOTDATA("TNG4",'ngaigiao (2016)'!$A$3,"MA_HT","SKT","MA_QH","RDD")</f>
        <v>0</v>
      </c>
      <c r="O23" s="22">
        <f ca="1">+GETPIVOTDATA("TNG4",'ngaigiao (2016)'!$A$3,"MA_HT","SKT","MA_QH","NTS")</f>
        <v>0</v>
      </c>
      <c r="P23" s="22">
        <f ca="1">+GETPIVOTDATA("TNG4",'ngaigiao (2016)'!$A$3,"MA_HT","SKT","MA_QH","LMU")</f>
        <v>0</v>
      </c>
      <c r="Q23" s="22">
        <f ca="1">+GETPIVOTDATA("TNG4",'ngaigiao (2016)'!$A$3,"MA_HT","SKT","MA_QH","NKH")</f>
        <v>0</v>
      </c>
      <c r="R23" s="42">
        <f ca="1">SUM(S23:U23,W23:AA23,AN23:BD23)</f>
        <v>0</v>
      </c>
      <c r="S23" s="22">
        <f ca="1">+GETPIVOTDATA("TNG4",'ngaigiao (2016)'!$A$3,"MA_HT","SKT","MA_QH","CQP")</f>
        <v>0</v>
      </c>
      <c r="T23" s="22">
        <f ca="1">+GETPIVOTDATA("TNG4",'ngaigiao (2016)'!$A$3,"MA_HT","SKT","MA_QH","CAN")</f>
        <v>0</v>
      </c>
      <c r="U23" s="22">
        <f ca="1">+GETPIVOTDATA("TNG4",'ngaigiao (2016)'!$A$3,"MA_HT","SKT","MA_QH","SKK")</f>
        <v>0</v>
      </c>
      <c r="V23" s="43" t="e">
        <f ca="1">$D23-$BF23</f>
        <v>#REF!</v>
      </c>
      <c r="W23" s="22">
        <f ca="1">+GETPIVOTDATA("TNG4",'ngaigiao (2016)'!$A$3,"MA_HT","SKT","MA_QH","SKN")</f>
        <v>0</v>
      </c>
      <c r="X23" s="22">
        <f ca="1">+GETPIVOTDATA("TNG4",'ngaigiao (2016)'!$A$3,"MA_HT","SKT","MA_QH","TMD")</f>
        <v>0</v>
      </c>
      <c r="Y23" s="22">
        <f ca="1">+GETPIVOTDATA("TNG4",'ngaigiao (2016)'!$A$3,"MA_HT","SKT","MA_QH","SKC")</f>
        <v>0</v>
      </c>
      <c r="Z23" s="22">
        <f ca="1">+GETPIVOTDATA("TNG4",'ngaigiao (2016)'!$A$3,"MA_HT","SKT","MA_QH","SKS")</f>
        <v>0</v>
      </c>
      <c r="AA23" s="52">
        <f ca="1" t="shared" si="12"/>
        <v>0</v>
      </c>
      <c r="AB23" s="22">
        <f ca="1">+GETPIVOTDATA("TNG4",'ngaigiao (2016)'!$A$3,"MA_HT","SKT","MA_QH","DGT")</f>
        <v>0</v>
      </c>
      <c r="AC23" s="22">
        <f ca="1">+GETPIVOTDATA("TNG4",'ngaigiao (2016)'!$A$3,"MA_HT","SKT","MA_QH","DTL")</f>
        <v>0</v>
      </c>
      <c r="AD23" s="22">
        <f ca="1">+GETPIVOTDATA("TNG4",'ngaigiao (2016)'!$A$3,"MA_HT","SKT","MA_QH","DNL")</f>
        <v>0</v>
      </c>
      <c r="AE23" s="22">
        <f ca="1">+GETPIVOTDATA("TNG4",'ngaigiao (2016)'!$A$3,"MA_HT","SKT","MA_QH","DBV")</f>
        <v>0</v>
      </c>
      <c r="AF23" s="22">
        <f ca="1">+GETPIVOTDATA("TNG4",'ngaigiao (2016)'!$A$3,"MA_HT","SKT","MA_QH","DVH")</f>
        <v>0</v>
      </c>
      <c r="AG23" s="22">
        <f ca="1">+GETPIVOTDATA("TNG4",'ngaigiao (2016)'!$A$3,"MA_HT","SKT","MA_QH","DYT")</f>
        <v>0</v>
      </c>
      <c r="AH23" s="22">
        <f ca="1">+GETPIVOTDATA("TNG4",'ngaigiao (2016)'!$A$3,"MA_HT","SKT","MA_QH","DGD")</f>
        <v>0</v>
      </c>
      <c r="AI23" s="22">
        <f ca="1">+GETPIVOTDATA("TNG4",'ngaigiao (2016)'!$A$3,"MA_HT","SKT","MA_QH","DTT")</f>
        <v>0</v>
      </c>
      <c r="AJ23" s="22">
        <f ca="1">+GETPIVOTDATA("TNG4",'ngaigiao (2016)'!$A$3,"MA_HT","SKT","MA_QH","NCK")</f>
        <v>0</v>
      </c>
      <c r="AK23" s="22">
        <f ca="1">+GETPIVOTDATA("TNG4",'ngaigiao (2016)'!$A$3,"MA_HT","SKT","MA_QH","DXH")</f>
        <v>0</v>
      </c>
      <c r="AL23" s="22">
        <f ca="1">+GETPIVOTDATA("TNG4",'ngaigiao (2016)'!$A$3,"MA_HT","SKT","MA_QH","DCH")</f>
        <v>0</v>
      </c>
      <c r="AM23" s="22">
        <f ca="1">+GETPIVOTDATA("TNG4",'ngaigiao (2016)'!$A$3,"MA_HT","SKT","MA_QH","DKG")</f>
        <v>0</v>
      </c>
      <c r="AN23" s="22">
        <f ca="1">+GETPIVOTDATA("TNG4",'ngaigiao (2016)'!$A$3,"MA_HT","SKT","MA_QH","DDT")</f>
        <v>0</v>
      </c>
      <c r="AO23" s="22">
        <f ca="1">+GETPIVOTDATA("TNG4",'ngaigiao (2016)'!$A$3,"MA_HT","SKT","MA_QH","DDL")</f>
        <v>0</v>
      </c>
      <c r="AP23" s="22">
        <f ca="1">+GETPIVOTDATA("TNG4",'ngaigiao (2016)'!$A$3,"MA_HT","SKT","MA_QH","DRA")</f>
        <v>0</v>
      </c>
      <c r="AQ23" s="22">
        <f ca="1">+GETPIVOTDATA("TNG4",'ngaigiao (2016)'!$A$3,"MA_HT","SKT","MA_QH","ONT")</f>
        <v>0</v>
      </c>
      <c r="AR23" s="22">
        <f ca="1">+GETPIVOTDATA("TNG4",'ngaigiao (2016)'!$A$3,"MA_HT","SKT","MA_QH","ODT")</f>
        <v>0</v>
      </c>
      <c r="AS23" s="22">
        <f ca="1">+GETPIVOTDATA("TNG4",'ngaigiao (2016)'!$A$3,"MA_HT","SKT","MA_QH","TSC")</f>
        <v>0</v>
      </c>
      <c r="AT23" s="22">
        <f ca="1">+GETPIVOTDATA("TNG4",'ngaigiao (2016)'!$A$3,"MA_HT","SKT","MA_QH","DTS")</f>
        <v>0</v>
      </c>
      <c r="AU23" s="22">
        <f ca="1">+GETPIVOTDATA("TNG4",'ngaigiao (2016)'!$A$3,"MA_HT","SKT","MA_QH","DNG")</f>
        <v>0</v>
      </c>
      <c r="AV23" s="22">
        <f ca="1">+GETPIVOTDATA("TNG4",'ngaigiao (2016)'!$A$3,"MA_HT","SKT","MA_QH","TON")</f>
        <v>0</v>
      </c>
      <c r="AW23" s="22">
        <f ca="1">+GETPIVOTDATA("TNG4",'ngaigiao (2016)'!$A$3,"MA_HT","SKT","MA_QH","NTD")</f>
        <v>0</v>
      </c>
      <c r="AX23" s="22">
        <f ca="1">+GETPIVOTDATA("TNG4",'ngaigiao (2016)'!$A$3,"MA_HT","SKT","MA_QH","SKX")</f>
        <v>0</v>
      </c>
      <c r="AY23" s="22">
        <f ca="1">+GETPIVOTDATA("TNG4",'ngaigiao (2016)'!$A$3,"MA_HT","SKT","MA_QH","DSH")</f>
        <v>0</v>
      </c>
      <c r="AZ23" s="22">
        <f ca="1">+GETPIVOTDATA("TNG4",'ngaigiao (2016)'!$A$3,"MA_HT","SKT","MA_QH","DKV")</f>
        <v>0</v>
      </c>
      <c r="BA23" s="89">
        <f ca="1">+GETPIVOTDATA("TNG4",'ngaigiao (2016)'!$A$3,"MA_HT","SKT","MA_QH","TIN")</f>
        <v>0</v>
      </c>
      <c r="BB23" s="50">
        <f ca="1">+GETPIVOTDATA("TNG4",'ngaigiao (2016)'!$A$3,"MA_HT","SKT","MA_QH","SON")</f>
        <v>0</v>
      </c>
      <c r="BC23" s="50">
        <f ca="1">+GETPIVOTDATA("TNG4",'ngaigiao (2016)'!$A$3,"MA_HT","SKT","MA_QH","MNC")</f>
        <v>0</v>
      </c>
      <c r="BD23" s="22">
        <f ca="1">+GETPIVOTDATA("TNG4",'ngaigiao (2016)'!$A$3,"MA_HT","SKT","MA_QH","PNK")</f>
        <v>0</v>
      </c>
      <c r="BE23" s="71">
        <f ca="1">+GETPIVOTDATA("TNG4",'ngaigiao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+GETPIVOTDATA("TNG4",'ngaigiao (2016)'!$A$3,"MA_HT","SKN","MA_QH","LUC")</f>
        <v>0</v>
      </c>
      <c r="H24" s="22">
        <f ca="1">+GETPIVOTDATA("TNG4",'ngaigiao (2016)'!$A$3,"MA_HT","SKN","MA_QH","LUK")</f>
        <v>0</v>
      </c>
      <c r="I24" s="22">
        <f ca="1">+GETPIVOTDATA("TNG4",'ngaigiao (2016)'!$A$3,"MA_HT","SKN","MA_QH","LUN")</f>
        <v>0</v>
      </c>
      <c r="J24" s="22">
        <f ca="1">+GETPIVOTDATA("TNG4",'ngaigiao (2016)'!$A$3,"MA_HT","SKN","MA_QH","HNK")</f>
        <v>0</v>
      </c>
      <c r="K24" s="22">
        <f ca="1">+GETPIVOTDATA("TNG4",'ngaigiao (2016)'!$A$3,"MA_HT","SKN","MA_QH","CLN")</f>
        <v>0</v>
      </c>
      <c r="L24" s="22">
        <f ca="1">+GETPIVOTDATA("TNG4",'ngaigiao (2016)'!$A$3,"MA_HT","SKN","MA_QH","RSX")</f>
        <v>0</v>
      </c>
      <c r="M24" s="22">
        <f ca="1">+GETPIVOTDATA("TNG4",'ngaigiao (2016)'!$A$3,"MA_HT","SKN","MA_QH","RPH")</f>
        <v>0</v>
      </c>
      <c r="N24" s="22">
        <f ca="1">+GETPIVOTDATA("TNG4",'ngaigiao (2016)'!$A$3,"MA_HT","SKN","MA_QH","RDD")</f>
        <v>0</v>
      </c>
      <c r="O24" s="22">
        <f ca="1">+GETPIVOTDATA("TNG4",'ngaigiao (2016)'!$A$3,"MA_HT","SKN","MA_QH","NTS")</f>
        <v>0</v>
      </c>
      <c r="P24" s="22">
        <f ca="1">+GETPIVOTDATA("TNG4",'ngaigiao (2016)'!$A$3,"MA_HT","SKN","MA_QH","LMU")</f>
        <v>0</v>
      </c>
      <c r="Q24" s="22">
        <f ca="1">+GETPIVOTDATA("TNG4",'ngaigiao (2016)'!$A$3,"MA_HT","SKN","MA_QH","NKH")</f>
        <v>0</v>
      </c>
      <c r="R24" s="42">
        <f ca="1">SUM(S24:V24,X24:AA24,AN24:BD24)</f>
        <v>0</v>
      </c>
      <c r="S24" s="22">
        <f ca="1">+GETPIVOTDATA("TNG4",'ngaigiao (2016)'!$A$3,"MA_HT","SKN","MA_QH","CQP")</f>
        <v>0</v>
      </c>
      <c r="T24" s="22">
        <f ca="1">+GETPIVOTDATA("TNG4",'ngaigiao (2016)'!$A$3,"MA_HT","SKN","MA_QH","CAN")</f>
        <v>0</v>
      </c>
      <c r="U24" s="22">
        <f ca="1">+GETPIVOTDATA("TNG4",'ngaigiao (2016)'!$A$3,"MA_HT","SKN","MA_QH","SKK")</f>
        <v>0</v>
      </c>
      <c r="V24" s="22">
        <f ca="1">+GETPIVOTDATA("TNG4",'ngaigiao (2016)'!$A$3,"MA_HT","SKN","MA_QH","SKT")</f>
        <v>0</v>
      </c>
      <c r="W24" s="43" t="e">
        <f ca="1">$D24-$BF24</f>
        <v>#REF!</v>
      </c>
      <c r="X24" s="22">
        <f ca="1">+GETPIVOTDATA("TNG4",'ngaigiao (2016)'!$A$3,"MA_HT","SKN","MA_QH","TMD")</f>
        <v>0</v>
      </c>
      <c r="Y24" s="22">
        <f ca="1">+GETPIVOTDATA("TNG4",'ngaigiao (2016)'!$A$3,"MA_HT","SKN","MA_QH","SKC")</f>
        <v>0</v>
      </c>
      <c r="Z24" s="22">
        <f ca="1">+GETPIVOTDATA("TNG4",'ngaigiao (2016)'!$A$3,"MA_HT","SKN","MA_QH","SKS")</f>
        <v>0</v>
      </c>
      <c r="AA24" s="52">
        <f ca="1" t="shared" si="12"/>
        <v>0</v>
      </c>
      <c r="AB24" s="22">
        <f ca="1">+GETPIVOTDATA("TNG4",'ngaigiao (2016)'!$A$3,"MA_HT","SKN","MA_QH","DGT")</f>
        <v>0</v>
      </c>
      <c r="AC24" s="22">
        <f ca="1">+GETPIVOTDATA("TNG4",'ngaigiao (2016)'!$A$3,"MA_HT","SKN","MA_QH","DTL")</f>
        <v>0</v>
      </c>
      <c r="AD24" s="22">
        <f ca="1">+GETPIVOTDATA("TNG4",'ngaigiao (2016)'!$A$3,"MA_HT","SKN","MA_QH","DNL")</f>
        <v>0</v>
      </c>
      <c r="AE24" s="22">
        <f ca="1">+GETPIVOTDATA("TNG4",'ngaigiao (2016)'!$A$3,"MA_HT","SKN","MA_QH","DBV")</f>
        <v>0</v>
      </c>
      <c r="AF24" s="22">
        <f ca="1">+GETPIVOTDATA("TNG4",'ngaigiao (2016)'!$A$3,"MA_HT","SKN","MA_QH","DVH")</f>
        <v>0</v>
      </c>
      <c r="AG24" s="22">
        <f ca="1">+GETPIVOTDATA("TNG4",'ngaigiao (2016)'!$A$3,"MA_HT","SKN","MA_QH","DYT")</f>
        <v>0</v>
      </c>
      <c r="AH24" s="22">
        <f ca="1">+GETPIVOTDATA("TNG4",'ngaigiao (2016)'!$A$3,"MA_HT","SKN","MA_QH","DGD")</f>
        <v>0</v>
      </c>
      <c r="AI24" s="22">
        <f ca="1">+GETPIVOTDATA("TNG4",'ngaigiao (2016)'!$A$3,"MA_HT","SKN","MA_QH","DTT")</f>
        <v>0</v>
      </c>
      <c r="AJ24" s="22">
        <f ca="1">+GETPIVOTDATA("TNG4",'ngaigiao (2016)'!$A$3,"MA_HT","SKN","MA_QH","NCK")</f>
        <v>0</v>
      </c>
      <c r="AK24" s="22">
        <f ca="1">+GETPIVOTDATA("TNG4",'ngaigiao (2016)'!$A$3,"MA_HT","SKN","MA_QH","DXH")</f>
        <v>0</v>
      </c>
      <c r="AL24" s="22">
        <f ca="1">+GETPIVOTDATA("TNG4",'ngaigiao (2016)'!$A$3,"MA_HT","SKN","MA_QH","DCH")</f>
        <v>0</v>
      </c>
      <c r="AM24" s="22">
        <f ca="1">+GETPIVOTDATA("TNG4",'ngaigiao (2016)'!$A$3,"MA_HT","SKN","MA_QH","DKG")</f>
        <v>0</v>
      </c>
      <c r="AN24" s="22">
        <f ca="1">+GETPIVOTDATA("TNG4",'ngaigiao (2016)'!$A$3,"MA_HT","SKN","MA_QH","DDT")</f>
        <v>0</v>
      </c>
      <c r="AO24" s="22">
        <f ca="1">+GETPIVOTDATA("TNG4",'ngaigiao (2016)'!$A$3,"MA_HT","SKN","MA_QH","DDL")</f>
        <v>0</v>
      </c>
      <c r="AP24" s="22">
        <f ca="1">+GETPIVOTDATA("TNG4",'ngaigiao (2016)'!$A$3,"MA_HT","SKN","MA_QH","DRA")</f>
        <v>0</v>
      </c>
      <c r="AQ24" s="22">
        <f ca="1">+GETPIVOTDATA("TNG4",'ngaigiao (2016)'!$A$3,"MA_HT","SKN","MA_QH","ONT")</f>
        <v>0</v>
      </c>
      <c r="AR24" s="22">
        <f ca="1">+GETPIVOTDATA("TNG4",'ngaigiao (2016)'!$A$3,"MA_HT","SKN","MA_QH","ODT")</f>
        <v>0</v>
      </c>
      <c r="AS24" s="22">
        <f ca="1">+GETPIVOTDATA("TNG4",'ngaigiao (2016)'!$A$3,"MA_HT","SKN","MA_QH","TSC")</f>
        <v>0</v>
      </c>
      <c r="AT24" s="22">
        <f ca="1">+GETPIVOTDATA("TNG4",'ngaigiao (2016)'!$A$3,"MA_HT","SKN","MA_QH","DTS")</f>
        <v>0</v>
      </c>
      <c r="AU24" s="22">
        <f ca="1">+GETPIVOTDATA("TNG4",'ngaigiao (2016)'!$A$3,"MA_HT","SKN","MA_QH","DNG")</f>
        <v>0</v>
      </c>
      <c r="AV24" s="22">
        <f ca="1">+GETPIVOTDATA("TNG4",'ngaigiao (2016)'!$A$3,"MA_HT","SKN","MA_QH","TON")</f>
        <v>0</v>
      </c>
      <c r="AW24" s="22">
        <f ca="1">+GETPIVOTDATA("TNG4",'ngaigiao (2016)'!$A$3,"MA_HT","SKN","MA_QH","NTD")</f>
        <v>0</v>
      </c>
      <c r="AX24" s="22">
        <f ca="1">+GETPIVOTDATA("TNG4",'ngaigiao (2016)'!$A$3,"MA_HT","SKN","MA_QH","SKX")</f>
        <v>0</v>
      </c>
      <c r="AY24" s="22">
        <f ca="1">+GETPIVOTDATA("TNG4",'ngaigiao (2016)'!$A$3,"MA_HT","SKN","MA_QH","DSH")</f>
        <v>0</v>
      </c>
      <c r="AZ24" s="22">
        <f ca="1">+GETPIVOTDATA("TNG4",'ngaigiao (2016)'!$A$3,"MA_HT","SKN","MA_QH","DKV")</f>
        <v>0</v>
      </c>
      <c r="BA24" s="89">
        <f ca="1">+GETPIVOTDATA("TNG4",'ngaigiao (2016)'!$A$3,"MA_HT","SKN","MA_QH","TIN")</f>
        <v>0</v>
      </c>
      <c r="BB24" s="50">
        <f ca="1">+GETPIVOTDATA("TNG4",'ngaigiao (2016)'!$A$3,"MA_HT","SKN","MA_QH","SON")</f>
        <v>0</v>
      </c>
      <c r="BC24" s="50">
        <f ca="1">+GETPIVOTDATA("TNG4",'ngaigiao (2016)'!$A$3,"MA_HT","SKN","MA_QH","MNC")</f>
        <v>0</v>
      </c>
      <c r="BD24" s="22">
        <f ca="1">+GETPIVOTDATA("TNG4",'ngaigiao (2016)'!$A$3,"MA_HT","SKN","MA_QH","PNK")</f>
        <v>0</v>
      </c>
      <c r="BE24" s="71">
        <f ca="1">+GETPIVOTDATA("TNG4",'ngaigiao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+GETPIVOTDATA("TNG4",'ngaigiao (2016)'!$A$3,"MA_HT","TMD","MA_QH","LUC")</f>
        <v>0</v>
      </c>
      <c r="H25" s="22">
        <f ca="1">+GETPIVOTDATA("TNG4",'ngaigiao (2016)'!$A$3,"MA_HT","TMD","MA_QH","LUK")</f>
        <v>0</v>
      </c>
      <c r="I25" s="22">
        <f ca="1">+GETPIVOTDATA("TNG4",'ngaigiao (2016)'!$A$3,"MA_HT","TMD","MA_QH","LUN")</f>
        <v>0</v>
      </c>
      <c r="J25" s="22">
        <f ca="1">+GETPIVOTDATA("TNG4",'ngaigiao (2016)'!$A$3,"MA_HT","TMD","MA_QH","HNK")</f>
        <v>0</v>
      </c>
      <c r="K25" s="22">
        <f ca="1">+GETPIVOTDATA("TNG4",'ngaigiao (2016)'!$A$3,"MA_HT","TMD","MA_QH","CLN")</f>
        <v>0</v>
      </c>
      <c r="L25" s="22">
        <f ca="1">+GETPIVOTDATA("TNG4",'ngaigiao (2016)'!$A$3,"MA_HT","TMD","MA_QH","RSX")</f>
        <v>0</v>
      </c>
      <c r="M25" s="22">
        <f ca="1">+GETPIVOTDATA("TNG4",'ngaigiao (2016)'!$A$3,"MA_HT","TMD","MA_QH","RPH")</f>
        <v>0</v>
      </c>
      <c r="N25" s="22">
        <f ca="1">+GETPIVOTDATA("TNG4",'ngaigiao (2016)'!$A$3,"MA_HT","TMD","MA_QH","RDD")</f>
        <v>0</v>
      </c>
      <c r="O25" s="22">
        <f ca="1">+GETPIVOTDATA("TNG4",'ngaigiao (2016)'!$A$3,"MA_HT","TMD","MA_QH","NTS")</f>
        <v>0</v>
      </c>
      <c r="P25" s="22">
        <f ca="1">+GETPIVOTDATA("TNG4",'ngaigiao (2016)'!$A$3,"MA_HT","TMD","MA_QH","LMU")</f>
        <v>0</v>
      </c>
      <c r="Q25" s="22">
        <f ca="1">+GETPIVOTDATA("TNG4",'ngaigiao (2016)'!$A$3,"MA_HT","TMD","MA_QH","NKH")</f>
        <v>0</v>
      </c>
      <c r="R25" s="42">
        <f ca="1">SUM(S25:W25,Y25:AA25,AN25:BD25)</f>
        <v>0</v>
      </c>
      <c r="S25" s="22">
        <f ca="1">+GETPIVOTDATA("TNG4",'ngaigiao (2016)'!$A$3,"MA_HT","TMD","MA_QH","CQP")</f>
        <v>0</v>
      </c>
      <c r="T25" s="22">
        <f ca="1">+GETPIVOTDATA("TNG4",'ngaigiao (2016)'!$A$3,"MA_HT","TMD","MA_QH","CAN")</f>
        <v>0</v>
      </c>
      <c r="U25" s="22">
        <f ca="1">+GETPIVOTDATA("TNG4",'ngaigiao (2016)'!$A$3,"MA_HT","TMD","MA_QH","SKK")</f>
        <v>0</v>
      </c>
      <c r="V25" s="22">
        <f ca="1">+GETPIVOTDATA("TNG4",'ngaigiao (2016)'!$A$3,"MA_HT","TMD","MA_QH","SKT")</f>
        <v>0</v>
      </c>
      <c r="W25" s="22">
        <f ca="1">+GETPIVOTDATA("TNG4",'ngaigiao (2016)'!$A$3,"MA_HT","TMD","MA_QH","SKN")</f>
        <v>0</v>
      </c>
      <c r="X25" s="43" t="e">
        <f ca="1">$D25-$BF25</f>
        <v>#REF!</v>
      </c>
      <c r="Y25" s="22">
        <f ca="1">+GETPIVOTDATA("TNG4",'ngaigiao (2016)'!$A$3,"MA_HT","TMD","MA_QH","SKC")</f>
        <v>0</v>
      </c>
      <c r="Z25" s="22">
        <f ca="1">+GETPIVOTDATA("TNG4",'ngaigiao (2016)'!$A$3,"MA_HT","TMD","MA_QH","SKS")</f>
        <v>0</v>
      </c>
      <c r="AA25" s="52">
        <f ca="1" t="shared" si="12"/>
        <v>0</v>
      </c>
      <c r="AB25" s="22">
        <f ca="1">+GETPIVOTDATA("TNG4",'ngaigiao (2016)'!$A$3,"MA_HT","TMD","MA_QH","DGT")</f>
        <v>0</v>
      </c>
      <c r="AC25" s="22">
        <f ca="1">+GETPIVOTDATA("TNG4",'ngaigiao (2016)'!$A$3,"MA_HT","TMD","MA_QH","DTL")</f>
        <v>0</v>
      </c>
      <c r="AD25" s="22">
        <f ca="1">+GETPIVOTDATA("TNG4",'ngaigiao (2016)'!$A$3,"MA_HT","TMD","MA_QH","DNL")</f>
        <v>0</v>
      </c>
      <c r="AE25" s="22">
        <f ca="1">+GETPIVOTDATA("TNG4",'ngaigiao (2016)'!$A$3,"MA_HT","TMD","MA_QH","DBV")</f>
        <v>0</v>
      </c>
      <c r="AF25" s="22">
        <f ca="1">+GETPIVOTDATA("TNG4",'ngaigiao (2016)'!$A$3,"MA_HT","TMD","MA_QH","DVH")</f>
        <v>0</v>
      </c>
      <c r="AG25" s="22">
        <f ca="1">+GETPIVOTDATA("TNG4",'ngaigiao (2016)'!$A$3,"MA_HT","TMD","MA_QH","DYT")</f>
        <v>0</v>
      </c>
      <c r="AH25" s="22">
        <f ca="1">+GETPIVOTDATA("TNG4",'ngaigiao (2016)'!$A$3,"MA_HT","TMD","MA_QH","DGD")</f>
        <v>0</v>
      </c>
      <c r="AI25" s="22">
        <f ca="1">+GETPIVOTDATA("TNG4",'ngaigiao (2016)'!$A$3,"MA_HT","TMD","MA_QH","DTT")</f>
        <v>0</v>
      </c>
      <c r="AJ25" s="22">
        <f ca="1">+GETPIVOTDATA("TNG4",'ngaigiao (2016)'!$A$3,"MA_HT","TMD","MA_QH","NCK")</f>
        <v>0</v>
      </c>
      <c r="AK25" s="22">
        <f ca="1">+GETPIVOTDATA("TNG4",'ngaigiao (2016)'!$A$3,"MA_HT","TMD","MA_QH","DXH")</f>
        <v>0</v>
      </c>
      <c r="AL25" s="22">
        <f ca="1">+GETPIVOTDATA("TNG4",'ngaigiao (2016)'!$A$3,"MA_HT","TMD","MA_QH","DCH")</f>
        <v>0</v>
      </c>
      <c r="AM25" s="22">
        <f ca="1">+GETPIVOTDATA("TNG4",'ngaigiao (2016)'!$A$3,"MA_HT","TMD","MA_QH","DKG")</f>
        <v>0</v>
      </c>
      <c r="AN25" s="22">
        <f ca="1">+GETPIVOTDATA("TNG4",'ngaigiao (2016)'!$A$3,"MA_HT","TMD","MA_QH","DDT")</f>
        <v>0</v>
      </c>
      <c r="AO25" s="22">
        <f ca="1">+GETPIVOTDATA("TNG4",'ngaigiao (2016)'!$A$3,"MA_HT","TMD","MA_QH","DDL")</f>
        <v>0</v>
      </c>
      <c r="AP25" s="22">
        <f ca="1">+GETPIVOTDATA("TNG4",'ngaigiao (2016)'!$A$3,"MA_HT","TMD","MA_QH","DRA")</f>
        <v>0</v>
      </c>
      <c r="AQ25" s="22">
        <f ca="1">+GETPIVOTDATA("TNG4",'ngaigiao (2016)'!$A$3,"MA_HT","TMD","MA_QH","ONT")</f>
        <v>0</v>
      </c>
      <c r="AR25" s="22">
        <f ca="1">+GETPIVOTDATA("TNG4",'ngaigiao (2016)'!$A$3,"MA_HT","TMD","MA_QH","ODT")</f>
        <v>0</v>
      </c>
      <c r="AS25" s="22">
        <f ca="1">+GETPIVOTDATA("TNG4",'ngaigiao (2016)'!$A$3,"MA_HT","TMD","MA_QH","TSC")</f>
        <v>0</v>
      </c>
      <c r="AT25" s="22">
        <f ca="1">+GETPIVOTDATA("TNG4",'ngaigiao (2016)'!$A$3,"MA_HT","TMD","MA_QH","DTS")</f>
        <v>0</v>
      </c>
      <c r="AU25" s="22">
        <f ca="1">+GETPIVOTDATA("TNG4",'ngaigiao (2016)'!$A$3,"MA_HT","TMD","MA_QH","DNG")</f>
        <v>0</v>
      </c>
      <c r="AV25" s="22">
        <f ca="1">+GETPIVOTDATA("TNG4",'ngaigiao (2016)'!$A$3,"MA_HT","TMD","MA_QH","TON")</f>
        <v>0</v>
      </c>
      <c r="AW25" s="22">
        <f ca="1">+GETPIVOTDATA("TNG4",'ngaigiao (2016)'!$A$3,"MA_HT","TMD","MA_QH","NTD")</f>
        <v>0</v>
      </c>
      <c r="AX25" s="22">
        <f ca="1">+GETPIVOTDATA("TNG4",'ngaigiao (2016)'!$A$3,"MA_HT","TMD","MA_QH","SKX")</f>
        <v>0</v>
      </c>
      <c r="AY25" s="22">
        <f ca="1">+GETPIVOTDATA("TNG4",'ngaigiao (2016)'!$A$3,"MA_HT","TMD","MA_QH","DSH")</f>
        <v>0</v>
      </c>
      <c r="AZ25" s="22">
        <f ca="1">+GETPIVOTDATA("TNG4",'ngaigiao (2016)'!$A$3,"MA_HT","TMD","MA_QH","DKV")</f>
        <v>0</v>
      </c>
      <c r="BA25" s="89">
        <f ca="1">+GETPIVOTDATA("TNG4",'ngaigiao (2016)'!$A$3,"MA_HT","TMD","MA_QH","TIN")</f>
        <v>0</v>
      </c>
      <c r="BB25" s="50">
        <f ca="1">+GETPIVOTDATA("TNG4",'ngaigiao (2016)'!$A$3,"MA_HT","TMD","MA_QH","SON")</f>
        <v>0</v>
      </c>
      <c r="BC25" s="50">
        <f ca="1">+GETPIVOTDATA("TNG4",'ngaigiao (2016)'!$A$3,"MA_HT","TMD","MA_QH","MNC")</f>
        <v>0</v>
      </c>
      <c r="BD25" s="22">
        <f ca="1">+GETPIVOTDATA("TNG4",'ngaigiao (2016)'!$A$3,"MA_HT","TMD","MA_QH","PNK")</f>
        <v>0</v>
      </c>
      <c r="BE25" s="71">
        <f ca="1">+GETPIVOTDATA("TNG4",'ngaigiao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+GETPIVOTDATA("TNG4",'ngaigiao (2016)'!$A$3,"MA_HT","SKC","MA_QH","LUC")</f>
        <v>0</v>
      </c>
      <c r="H26" s="22">
        <f ca="1">+GETPIVOTDATA("TNG4",'ngaigiao (2016)'!$A$3,"MA_HT","SKC","MA_QH","LUK")</f>
        <v>0</v>
      </c>
      <c r="I26" s="22">
        <f ca="1">+GETPIVOTDATA("TNG4",'ngaigiao (2016)'!$A$3,"MA_HT","SKC","MA_QH","LUN")</f>
        <v>0</v>
      </c>
      <c r="J26" s="22">
        <f ca="1">+GETPIVOTDATA("TNG4",'ngaigiao (2016)'!$A$3,"MA_HT","SKC","MA_QH","HNK")</f>
        <v>0</v>
      </c>
      <c r="K26" s="22">
        <f ca="1">+GETPIVOTDATA("TNG4",'ngaigiao (2016)'!$A$3,"MA_HT","SKC","MA_QH","CLN")</f>
        <v>0</v>
      </c>
      <c r="L26" s="22">
        <f ca="1">+GETPIVOTDATA("TNG4",'ngaigiao (2016)'!$A$3,"MA_HT","SKC","MA_QH","RSX")</f>
        <v>0</v>
      </c>
      <c r="M26" s="22">
        <f ca="1">+GETPIVOTDATA("TNG4",'ngaigiao (2016)'!$A$3,"MA_HT","SKC","MA_QH","RPH")</f>
        <v>0</v>
      </c>
      <c r="N26" s="22">
        <f ca="1">+GETPIVOTDATA("TNG4",'ngaigiao (2016)'!$A$3,"MA_HT","SKC","MA_QH","RDD")</f>
        <v>0</v>
      </c>
      <c r="O26" s="22">
        <f ca="1">+GETPIVOTDATA("TNG4",'ngaigiao (2016)'!$A$3,"MA_HT","SKC","MA_QH","NTS")</f>
        <v>0</v>
      </c>
      <c r="P26" s="22">
        <f ca="1">+GETPIVOTDATA("TNG4",'ngaigiao (2016)'!$A$3,"MA_HT","SKC","MA_QH","LMU")</f>
        <v>0</v>
      </c>
      <c r="Q26" s="22">
        <f ca="1">+GETPIVOTDATA("TNG4",'ngaigiao (2016)'!$A$3,"MA_HT","SKC","MA_QH","NKH")</f>
        <v>0</v>
      </c>
      <c r="R26" s="42">
        <f ca="1">SUM(S26:X26,Z26,AN26:BD26)</f>
        <v>0</v>
      </c>
      <c r="S26" s="22">
        <f ca="1">+GETPIVOTDATA("TNG4",'ngaigiao (2016)'!$A$3,"MA_HT","SKC","MA_QH","CQP")</f>
        <v>0</v>
      </c>
      <c r="T26" s="22">
        <f ca="1">+GETPIVOTDATA("TNG4",'ngaigiao (2016)'!$A$3,"MA_HT","SKC","MA_QH","CAN")</f>
        <v>0</v>
      </c>
      <c r="U26" s="22">
        <f ca="1">+GETPIVOTDATA("TNG4",'ngaigiao (2016)'!$A$3,"MA_HT","SKC","MA_QH","SKK")</f>
        <v>0</v>
      </c>
      <c r="V26" s="22">
        <f ca="1">+GETPIVOTDATA("TNG4",'ngaigiao (2016)'!$A$3,"MA_HT","SKC","MA_QH","SKT")</f>
        <v>0</v>
      </c>
      <c r="W26" s="22">
        <f ca="1">+GETPIVOTDATA("TNG4",'ngaigiao (2016)'!$A$3,"MA_HT","SKC","MA_QH","SKN")</f>
        <v>0</v>
      </c>
      <c r="X26" s="22">
        <f ca="1">+GETPIVOTDATA("TNG4",'ngaigiao (2016)'!$A$3,"MA_HT","SKC","MA_QH","TMD")</f>
        <v>0</v>
      </c>
      <c r="Y26" s="43" t="e">
        <f ca="1">$D26-$BF26</f>
        <v>#REF!</v>
      </c>
      <c r="Z26" s="22">
        <f ca="1">+GETPIVOTDATA("TNG4",'ngaigiao (2016)'!$A$3,"MA_HT","SKC","MA_QH","SKS")</f>
        <v>0</v>
      </c>
      <c r="AA26" s="52">
        <f ca="1" t="shared" si="12"/>
        <v>0</v>
      </c>
      <c r="AB26" s="22">
        <f ca="1">+GETPIVOTDATA("TNG4",'ngaigiao (2016)'!$A$3,"MA_HT","SKC","MA_QH","DGT")</f>
        <v>0</v>
      </c>
      <c r="AC26" s="22">
        <f ca="1">+GETPIVOTDATA("TNG4",'ngaigiao (2016)'!$A$3,"MA_HT","SKC","MA_QH","DTL")</f>
        <v>0</v>
      </c>
      <c r="AD26" s="22">
        <f ca="1">+GETPIVOTDATA("TNG4",'ngaigiao (2016)'!$A$3,"MA_HT","SKC","MA_QH","DNL")</f>
        <v>0</v>
      </c>
      <c r="AE26" s="22">
        <f ca="1">+GETPIVOTDATA("TNG4",'ngaigiao (2016)'!$A$3,"MA_HT","SKC","MA_QH","DBV")</f>
        <v>0</v>
      </c>
      <c r="AF26" s="22">
        <f ca="1">+GETPIVOTDATA("TNG4",'ngaigiao (2016)'!$A$3,"MA_HT","SKC","MA_QH","DVH")</f>
        <v>0</v>
      </c>
      <c r="AG26" s="22">
        <f ca="1">+GETPIVOTDATA("TNG4",'ngaigiao (2016)'!$A$3,"MA_HT","SKC","MA_QH","DYT")</f>
        <v>0</v>
      </c>
      <c r="AH26" s="22">
        <f ca="1">+GETPIVOTDATA("TNG4",'ngaigiao (2016)'!$A$3,"MA_HT","SKC","MA_QH","DGD")</f>
        <v>0</v>
      </c>
      <c r="AI26" s="22">
        <f ca="1">+GETPIVOTDATA("TNG4",'ngaigiao (2016)'!$A$3,"MA_HT","SKC","MA_QH","DTT")</f>
        <v>0</v>
      </c>
      <c r="AJ26" s="22">
        <f ca="1">+GETPIVOTDATA("TNG4",'ngaigiao (2016)'!$A$3,"MA_HT","SKC","MA_QH","NCK")</f>
        <v>0</v>
      </c>
      <c r="AK26" s="22">
        <f ca="1">+GETPIVOTDATA("TNG4",'ngaigiao (2016)'!$A$3,"MA_HT","SKC","MA_QH","DXH")</f>
        <v>0</v>
      </c>
      <c r="AL26" s="22">
        <f ca="1">+GETPIVOTDATA("TNG4",'ngaigiao (2016)'!$A$3,"MA_HT","SKC","MA_QH","DCH")</f>
        <v>0</v>
      </c>
      <c r="AM26" s="22">
        <f ca="1">+GETPIVOTDATA("TNG4",'ngaigiao (2016)'!$A$3,"MA_HT","SKC","MA_QH","DKG")</f>
        <v>0</v>
      </c>
      <c r="AN26" s="22">
        <f ca="1">+GETPIVOTDATA("TNG4",'ngaigiao (2016)'!$A$3,"MA_HT","SKC","MA_QH","DDT")</f>
        <v>0</v>
      </c>
      <c r="AO26" s="22">
        <f ca="1">+GETPIVOTDATA("TNG4",'ngaigiao (2016)'!$A$3,"MA_HT","SKC","MA_QH","DDL")</f>
        <v>0</v>
      </c>
      <c r="AP26" s="22">
        <f ca="1">+GETPIVOTDATA("TNG4",'ngaigiao (2016)'!$A$3,"MA_HT","SKC","MA_QH","DRA")</f>
        <v>0</v>
      </c>
      <c r="AQ26" s="22">
        <f ca="1">+GETPIVOTDATA("TNG4",'ngaigiao (2016)'!$A$3,"MA_HT","SKC","MA_QH","ONT")</f>
        <v>0</v>
      </c>
      <c r="AR26" s="22">
        <f ca="1">+GETPIVOTDATA("TNG4",'ngaigiao (2016)'!$A$3,"MA_HT","SKC","MA_QH","ODT")</f>
        <v>0</v>
      </c>
      <c r="AS26" s="22">
        <f ca="1">+GETPIVOTDATA("TNG4",'ngaigiao (2016)'!$A$3,"MA_HT","SKC","MA_QH","TSC")</f>
        <v>0</v>
      </c>
      <c r="AT26" s="22">
        <f ca="1">+GETPIVOTDATA("TNG4",'ngaigiao (2016)'!$A$3,"MA_HT","SKC","MA_QH","DTS")</f>
        <v>0</v>
      </c>
      <c r="AU26" s="22">
        <f ca="1">+GETPIVOTDATA("TNG4",'ngaigiao (2016)'!$A$3,"MA_HT","SKC","MA_QH","DNG")</f>
        <v>0</v>
      </c>
      <c r="AV26" s="22">
        <f ca="1">+GETPIVOTDATA("TNG4",'ngaigiao (2016)'!$A$3,"MA_HT","SKC","MA_QH","TON")</f>
        <v>0</v>
      </c>
      <c r="AW26" s="22">
        <f ca="1">+GETPIVOTDATA("TNG4",'ngaigiao (2016)'!$A$3,"MA_HT","SKC","MA_QH","NTD")</f>
        <v>0</v>
      </c>
      <c r="AX26" s="22">
        <f ca="1">+GETPIVOTDATA("TNG4",'ngaigiao (2016)'!$A$3,"MA_HT","SKC","MA_QH","SKX")</f>
        <v>0</v>
      </c>
      <c r="AY26" s="22">
        <f ca="1">+GETPIVOTDATA("TNG4",'ngaigiao (2016)'!$A$3,"MA_HT","SKC","MA_QH","DSH")</f>
        <v>0</v>
      </c>
      <c r="AZ26" s="22">
        <f ca="1">+GETPIVOTDATA("TNG4",'ngaigiao (2016)'!$A$3,"MA_HT","SKC","MA_QH","DKV")</f>
        <v>0</v>
      </c>
      <c r="BA26" s="89">
        <f ca="1">+GETPIVOTDATA("TNG4",'ngaigiao (2016)'!$A$3,"MA_HT","SKC","MA_QH","TIN")</f>
        <v>0</v>
      </c>
      <c r="BB26" s="50">
        <f ca="1">+GETPIVOTDATA("TNG4",'ngaigiao (2016)'!$A$3,"MA_HT","SKC","MA_QH","SON")</f>
        <v>0</v>
      </c>
      <c r="BC26" s="50">
        <f ca="1">+GETPIVOTDATA("TNG4",'ngaigiao (2016)'!$A$3,"MA_HT","SKC","MA_QH","MNC")</f>
        <v>0</v>
      </c>
      <c r="BD26" s="22">
        <f ca="1">+GETPIVOTDATA("TNG4",'ngaigiao (2016)'!$A$3,"MA_HT","SKC","MA_QH","PNK")</f>
        <v>0</v>
      </c>
      <c r="BE26" s="71">
        <f ca="1">+GETPIVOTDATA("TNG4",'ngaigiao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+GETPIVOTDATA("TNG4",'ngaigiao (2016)'!$A$3,"MA_HT","SKS","MA_QH","LUC")</f>
        <v>0</v>
      </c>
      <c r="H27" s="22">
        <f ca="1">+GETPIVOTDATA("TNG4",'ngaigiao (2016)'!$A$3,"MA_HT","SKS","MA_QH","LUK")</f>
        <v>0</v>
      </c>
      <c r="I27" s="22">
        <f ca="1">+GETPIVOTDATA("TNG4",'ngaigiao (2016)'!$A$3,"MA_HT","SKS","MA_QH","LUN")</f>
        <v>0</v>
      </c>
      <c r="J27" s="22">
        <f ca="1">+GETPIVOTDATA("TNG4",'ngaigiao (2016)'!$A$3,"MA_HT","SKS","MA_QH","HNK")</f>
        <v>0</v>
      </c>
      <c r="K27" s="22">
        <f ca="1">+GETPIVOTDATA("TNG4",'ngaigiao (2016)'!$A$3,"MA_HT","SKS","MA_QH","CLN")</f>
        <v>0</v>
      </c>
      <c r="L27" s="22">
        <f ca="1">+GETPIVOTDATA("TNG4",'ngaigiao (2016)'!$A$3,"MA_HT","SKS","MA_QH","RSX")</f>
        <v>0</v>
      </c>
      <c r="M27" s="22">
        <f ca="1">+GETPIVOTDATA("TNG4",'ngaigiao (2016)'!$A$3,"MA_HT","SKS","MA_QH","RPH")</f>
        <v>0</v>
      </c>
      <c r="N27" s="22">
        <f ca="1">+GETPIVOTDATA("TNG4",'ngaigiao (2016)'!$A$3,"MA_HT","SKS","MA_QH","RDD")</f>
        <v>0</v>
      </c>
      <c r="O27" s="22">
        <f ca="1">+GETPIVOTDATA("TNG4",'ngaigiao (2016)'!$A$3,"MA_HT","SKS","MA_QH","NTS")</f>
        <v>0</v>
      </c>
      <c r="P27" s="22">
        <f ca="1">+GETPIVOTDATA("TNG4",'ngaigiao (2016)'!$A$3,"MA_HT","SKS","MA_QH","LMU")</f>
        <v>0</v>
      </c>
      <c r="Q27" s="22">
        <f ca="1">+GETPIVOTDATA("TNG4",'ngaigiao (2016)'!$A$3,"MA_HT","SKS","MA_QH","NKH")</f>
        <v>0</v>
      </c>
      <c r="R27" s="42">
        <f ca="1">SUM(S27:Y27,AA27,AN27:BD27)</f>
        <v>0</v>
      </c>
      <c r="S27" s="22">
        <f ca="1">+GETPIVOTDATA("TNG4",'ngaigiao (2016)'!$A$3,"MA_HT","SKS","MA_QH","CQP")</f>
        <v>0</v>
      </c>
      <c r="T27" s="22">
        <f ca="1">+GETPIVOTDATA("TNG4",'ngaigiao (2016)'!$A$3,"MA_HT","SKS","MA_QH","CAN")</f>
        <v>0</v>
      </c>
      <c r="U27" s="22">
        <f ca="1">+GETPIVOTDATA("TNG4",'ngaigiao (2016)'!$A$3,"MA_HT","SKS","MA_QH","SKK")</f>
        <v>0</v>
      </c>
      <c r="V27" s="22">
        <f ca="1">+GETPIVOTDATA("TNG4",'ngaigiao (2016)'!$A$3,"MA_HT","SKS","MA_QH","SKT")</f>
        <v>0</v>
      </c>
      <c r="W27" s="22">
        <f ca="1">+GETPIVOTDATA("TNG4",'ngaigiao (2016)'!$A$3,"MA_HT","SKS","MA_QH","SKN")</f>
        <v>0</v>
      </c>
      <c r="X27" s="22">
        <f ca="1">+GETPIVOTDATA("TNG4",'ngaigiao (2016)'!$A$3,"MA_HT","SKS","MA_QH","TMD")</f>
        <v>0</v>
      </c>
      <c r="Y27" s="22">
        <f ca="1">+GETPIVOTDATA("TNG4",'ngaigiao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+GETPIVOTDATA("TNG4",'ngaigiao (2016)'!$A$3,"MA_HT","SKS","MA_QH","DGT")</f>
        <v>0</v>
      </c>
      <c r="AC27" s="22">
        <f ca="1">+GETPIVOTDATA("TNG4",'ngaigiao (2016)'!$A$3,"MA_HT","SKS","MA_QH","DTL")</f>
        <v>0</v>
      </c>
      <c r="AD27" s="22">
        <f ca="1">+GETPIVOTDATA("TNG4",'ngaigiao (2016)'!$A$3,"MA_HT","SKS","MA_QH","DNL")</f>
        <v>0</v>
      </c>
      <c r="AE27" s="22">
        <f ca="1">+GETPIVOTDATA("TNG4",'ngaigiao (2016)'!$A$3,"MA_HT","SKS","MA_QH","DBV")</f>
        <v>0</v>
      </c>
      <c r="AF27" s="22">
        <f ca="1">+GETPIVOTDATA("TNG4",'ngaigiao (2016)'!$A$3,"MA_HT","SKS","MA_QH","DVH")</f>
        <v>0</v>
      </c>
      <c r="AG27" s="22">
        <f ca="1">+GETPIVOTDATA("TNG4",'ngaigiao (2016)'!$A$3,"MA_HT","SKS","MA_QH","DYT")</f>
        <v>0</v>
      </c>
      <c r="AH27" s="22">
        <f ca="1">+GETPIVOTDATA("TNG4",'ngaigiao (2016)'!$A$3,"MA_HT","SKS","MA_QH","DGD")</f>
        <v>0</v>
      </c>
      <c r="AI27" s="22">
        <f ca="1">+GETPIVOTDATA("TNG4",'ngaigiao (2016)'!$A$3,"MA_HT","SKS","MA_QH","DTT")</f>
        <v>0</v>
      </c>
      <c r="AJ27" s="22">
        <f ca="1">+GETPIVOTDATA("TNG4",'ngaigiao (2016)'!$A$3,"MA_HT","SKS","MA_QH","NCK")</f>
        <v>0</v>
      </c>
      <c r="AK27" s="22">
        <f ca="1">+GETPIVOTDATA("TNG4",'ngaigiao (2016)'!$A$3,"MA_HT","SKS","MA_QH","DXH")</f>
        <v>0</v>
      </c>
      <c r="AL27" s="22">
        <f ca="1">+GETPIVOTDATA("TNG4",'ngaigiao (2016)'!$A$3,"MA_HT","SKS","MA_QH","DCH")</f>
        <v>0</v>
      </c>
      <c r="AM27" s="22">
        <f ca="1">+GETPIVOTDATA("TNG4",'ngaigiao (2016)'!$A$3,"MA_HT","SKS","MA_QH","DKG")</f>
        <v>0</v>
      </c>
      <c r="AN27" s="22">
        <f ca="1">+GETPIVOTDATA("TNG4",'ngaigiao (2016)'!$A$3,"MA_HT","SKS","MA_QH","DDT")</f>
        <v>0</v>
      </c>
      <c r="AO27" s="22">
        <f ca="1">+GETPIVOTDATA("TNG4",'ngaigiao (2016)'!$A$3,"MA_HT","SKS","MA_QH","DDL")</f>
        <v>0</v>
      </c>
      <c r="AP27" s="22">
        <f ca="1">+GETPIVOTDATA("TNG4",'ngaigiao (2016)'!$A$3,"MA_HT","SKS","MA_QH","DRA")</f>
        <v>0</v>
      </c>
      <c r="AQ27" s="22">
        <f ca="1">+GETPIVOTDATA("TNG4",'ngaigiao (2016)'!$A$3,"MA_HT","SKS","MA_QH","ONT")</f>
        <v>0</v>
      </c>
      <c r="AR27" s="22">
        <f ca="1">+GETPIVOTDATA("TNG4",'ngaigiao (2016)'!$A$3,"MA_HT","SKS","MA_QH","ODT")</f>
        <v>0</v>
      </c>
      <c r="AS27" s="22">
        <f ca="1">+GETPIVOTDATA("TNG4",'ngaigiao (2016)'!$A$3,"MA_HT","SKS","MA_QH","TSC")</f>
        <v>0</v>
      </c>
      <c r="AT27" s="22">
        <f ca="1">+GETPIVOTDATA("TNG4",'ngaigiao (2016)'!$A$3,"MA_HT","SKS","MA_QH","DTS")</f>
        <v>0</v>
      </c>
      <c r="AU27" s="22">
        <f ca="1">+GETPIVOTDATA("TNG4",'ngaigiao (2016)'!$A$3,"MA_HT","SKS","MA_QH","DNG")</f>
        <v>0</v>
      </c>
      <c r="AV27" s="22">
        <f ca="1">+GETPIVOTDATA("TNG4",'ngaigiao (2016)'!$A$3,"MA_HT","SKS","MA_QH","TON")</f>
        <v>0</v>
      </c>
      <c r="AW27" s="22">
        <f ca="1">+GETPIVOTDATA("TNG4",'ngaigiao (2016)'!$A$3,"MA_HT","SKS","MA_QH","NTD")</f>
        <v>0</v>
      </c>
      <c r="AX27" s="22">
        <f ca="1">+GETPIVOTDATA("TNG4",'ngaigiao (2016)'!$A$3,"MA_HT","SKS","MA_QH","SKX")</f>
        <v>0</v>
      </c>
      <c r="AY27" s="22">
        <f ca="1">+GETPIVOTDATA("TNG4",'ngaigiao (2016)'!$A$3,"MA_HT","SKS","MA_QH","DSH")</f>
        <v>0</v>
      </c>
      <c r="AZ27" s="22">
        <f ca="1">+GETPIVOTDATA("TNG4",'ngaigiao (2016)'!$A$3,"MA_HT","SKS","MA_QH","DKV")</f>
        <v>0</v>
      </c>
      <c r="BA27" s="89">
        <f ca="1">+GETPIVOTDATA("TNG4",'ngaigiao (2016)'!$A$3,"MA_HT","SKS","MA_QH","TIN")</f>
        <v>0</v>
      </c>
      <c r="BB27" s="50">
        <f ca="1">+GETPIVOTDATA("TNG4",'ngaigiao (2016)'!$A$3,"MA_HT","SKS","MA_QH","SON")</f>
        <v>0</v>
      </c>
      <c r="BC27" s="50">
        <f ca="1">+GETPIVOTDATA("TNG4",'ngaigiao (2016)'!$A$3,"MA_HT","SKS","MA_QH","MNC")</f>
        <v>0</v>
      </c>
      <c r="BD27" s="22">
        <f ca="1">+GETPIVOTDATA("TNG4",'ngaigiao (2016)'!$A$3,"MA_HT","SKS","MA_QH","PNK")</f>
        <v>0</v>
      </c>
      <c r="BE27" s="71">
        <f ca="1">+GETPIVOTDATA("TNG4",'ngaigiao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+GETPIVOTDATA("TNG4",'ngaigiao (2016)'!$A$3,"MA_HT","DGT","MA_QH","LUC")</f>
        <v>0</v>
      </c>
      <c r="H29" s="50">
        <f ca="1">+GETPIVOTDATA("TNG4",'ngaigiao (2016)'!$A$3,"MA_HT","DGT","MA_QH","LUK")</f>
        <v>0</v>
      </c>
      <c r="I29" s="50">
        <f ca="1">+GETPIVOTDATA("TNG4",'ngaigiao (2016)'!$A$3,"MA_HT","DGT","MA_QH","LUN")</f>
        <v>0</v>
      </c>
      <c r="J29" s="50">
        <f ca="1">+GETPIVOTDATA("TNG4",'ngaigiao (2016)'!$A$3,"MA_HT","DGT","MA_QH","HNK")</f>
        <v>0</v>
      </c>
      <c r="K29" s="50">
        <f ca="1">+GETPIVOTDATA("TNG4",'ngaigiao (2016)'!$A$3,"MA_HT","DGT","MA_QH","CLN")</f>
        <v>0</v>
      </c>
      <c r="L29" s="50">
        <f ca="1">+GETPIVOTDATA("TNG4",'ngaigiao (2016)'!$A$3,"MA_HT","DGT","MA_QH","RSX")</f>
        <v>0</v>
      </c>
      <c r="M29" s="50">
        <f ca="1">+GETPIVOTDATA("TNG4",'ngaigiao (2016)'!$A$3,"MA_HT","DGT","MA_QH","RPH")</f>
        <v>0</v>
      </c>
      <c r="N29" s="50">
        <f ca="1">+GETPIVOTDATA("TNG4",'ngaigiao (2016)'!$A$3,"MA_HT","DGT","MA_QH","RDD")</f>
        <v>0</v>
      </c>
      <c r="O29" s="50">
        <f ca="1">+GETPIVOTDATA("TNG4",'ngaigiao (2016)'!$A$3,"MA_HT","DGT","MA_QH","NTS")</f>
        <v>0</v>
      </c>
      <c r="P29" s="50">
        <f ca="1">+GETPIVOTDATA("TNG4",'ngaigiao (2016)'!$A$3,"MA_HT","DGT","MA_QH","LMU")</f>
        <v>0</v>
      </c>
      <c r="Q29" s="50">
        <f ca="1">+GETPIVOTDATA("TNG4",'ngaigiao (2016)'!$A$3,"MA_HT","DGT","MA_QH","NKH")</f>
        <v>0</v>
      </c>
      <c r="R29" s="48">
        <f ca="1">SUM(S29:AA29,AN29:BD29)</f>
        <v>0</v>
      </c>
      <c r="S29" s="50">
        <f ca="1">+GETPIVOTDATA("TNG4",'ngaigiao (2016)'!$A$3,"MA_HT","DGT","MA_QH","CQP")</f>
        <v>0</v>
      </c>
      <c r="T29" s="50">
        <f ca="1">+GETPIVOTDATA("TNG4",'ngaigiao (2016)'!$A$3,"MA_HT","DGT","MA_QH","CAN")</f>
        <v>0</v>
      </c>
      <c r="U29" s="50">
        <f ca="1">+GETPIVOTDATA("TNG4",'ngaigiao (2016)'!$A$3,"MA_HT","DGT","MA_QH","SKK")</f>
        <v>0</v>
      </c>
      <c r="V29" s="50">
        <f ca="1">+GETPIVOTDATA("TNG4",'ngaigiao (2016)'!$A$3,"MA_HT","DGT","MA_QH","SKT")</f>
        <v>0</v>
      </c>
      <c r="W29" s="50">
        <f ca="1">+GETPIVOTDATA("TNG4",'ngaigiao (2016)'!$A$3,"MA_HT","DGT","MA_QH","SKN")</f>
        <v>0</v>
      </c>
      <c r="X29" s="50">
        <f ca="1">+GETPIVOTDATA("TNG4",'ngaigiao (2016)'!$A$3,"MA_HT","DGT","MA_QH","TMD")</f>
        <v>0</v>
      </c>
      <c r="Y29" s="50">
        <f ca="1">+GETPIVOTDATA("TNG4",'ngaigiao (2016)'!$A$3,"MA_HT","DGT","MA_QH","SKC")</f>
        <v>0</v>
      </c>
      <c r="Z29" s="50">
        <f ca="1">+GETPIVOTDATA("TNG4",'ngaigiao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+GETPIVOTDATA("TNG4",'ngaigiao (2016)'!$A$3,"MA_HT","DGT","MA_QH","DTL")</f>
        <v>0</v>
      </c>
      <c r="AD29" s="50">
        <f ca="1">+GETPIVOTDATA("TNG4",'ngaigiao (2016)'!$A$3,"MA_HT","DGT","MA_QH","DNL")</f>
        <v>0</v>
      </c>
      <c r="AE29" s="50">
        <f ca="1">+GETPIVOTDATA("TNG4",'ngaigiao (2016)'!$A$3,"MA_HT","DGT","MA_QH","DBV")</f>
        <v>0</v>
      </c>
      <c r="AF29" s="50">
        <f ca="1">+GETPIVOTDATA("TNG4",'ngaigiao (2016)'!$A$3,"MA_HT","DGT","MA_QH","DVH")</f>
        <v>0</v>
      </c>
      <c r="AG29" s="50">
        <f ca="1">+GETPIVOTDATA("TNG4",'ngaigiao (2016)'!$A$3,"MA_HT","DGT","MA_QH","DYT")</f>
        <v>0</v>
      </c>
      <c r="AH29" s="50">
        <f ca="1">+GETPIVOTDATA("TNG4",'ngaigiao (2016)'!$A$3,"MA_HT","DGT","MA_QH","DGD")</f>
        <v>0</v>
      </c>
      <c r="AI29" s="50">
        <f ca="1">+GETPIVOTDATA("TNG4",'ngaigiao (2016)'!$A$3,"MA_HT","DGT","MA_QH","DTT")</f>
        <v>0</v>
      </c>
      <c r="AJ29" s="50">
        <f ca="1">+GETPIVOTDATA("TNG4",'ngaigiao (2016)'!$A$3,"MA_HT","DGT","MA_QH","NCK")</f>
        <v>0</v>
      </c>
      <c r="AK29" s="50">
        <f ca="1">+GETPIVOTDATA("TNG4",'ngaigiao (2016)'!$A$3,"MA_HT","DGT","MA_QH","DXH")</f>
        <v>0</v>
      </c>
      <c r="AL29" s="50">
        <f ca="1">+GETPIVOTDATA("TNG4",'ngaigiao (2016)'!$A$3,"MA_HT","DGT","MA_QH","DCH")</f>
        <v>0</v>
      </c>
      <c r="AM29" s="50">
        <f ca="1">+GETPIVOTDATA("TNG4",'ngaigiao (2016)'!$A$3,"MA_HT","DGT","MA_QH","DKG")</f>
        <v>0</v>
      </c>
      <c r="AN29" s="50">
        <f ca="1">+GETPIVOTDATA("TNG4",'ngaigiao (2016)'!$A$3,"MA_HT","DGT","MA_QH","DDT")</f>
        <v>0</v>
      </c>
      <c r="AO29" s="50">
        <f ca="1">+GETPIVOTDATA("TNG4",'ngaigiao (2016)'!$A$3,"MA_HT","DGT","MA_QH","DDL")</f>
        <v>0</v>
      </c>
      <c r="AP29" s="50">
        <f ca="1">+GETPIVOTDATA("TNG4",'ngaigiao (2016)'!$A$3,"MA_HT","DGT","MA_QH","DRA")</f>
        <v>0</v>
      </c>
      <c r="AQ29" s="50">
        <f ca="1">+GETPIVOTDATA("TNG4",'ngaigiao (2016)'!$A$3,"MA_HT","DGT","MA_QH","ONT")</f>
        <v>0</v>
      </c>
      <c r="AR29" s="50">
        <f ca="1">+GETPIVOTDATA("TNG4",'ngaigiao (2016)'!$A$3,"MA_HT","DGT","MA_QH","ODT")</f>
        <v>0</v>
      </c>
      <c r="AS29" s="50">
        <f ca="1">+GETPIVOTDATA("TNG4",'ngaigiao (2016)'!$A$3,"MA_HT","DGT","MA_QH","TSC")</f>
        <v>0</v>
      </c>
      <c r="AT29" s="50">
        <f ca="1">+GETPIVOTDATA("TNG4",'ngaigiao (2016)'!$A$3,"MA_HT","DGT","MA_QH","DTS")</f>
        <v>0</v>
      </c>
      <c r="AU29" s="50">
        <f ca="1">+GETPIVOTDATA("TNG4",'ngaigiao (2016)'!$A$3,"MA_HT","DGT","MA_QH","DNG")</f>
        <v>0</v>
      </c>
      <c r="AV29" s="50">
        <f ca="1">+GETPIVOTDATA("TNG4",'ngaigiao (2016)'!$A$3,"MA_HT","DGT","MA_QH","TON")</f>
        <v>0</v>
      </c>
      <c r="AW29" s="50">
        <f ca="1">+GETPIVOTDATA("TNG4",'ngaigiao (2016)'!$A$3,"MA_HT","DGT","MA_QH","NTD")</f>
        <v>0</v>
      </c>
      <c r="AX29" s="50">
        <f ca="1">+GETPIVOTDATA("TNG4",'ngaigiao (2016)'!$A$3,"MA_HT","DGT","MA_QH","SKX")</f>
        <v>0</v>
      </c>
      <c r="AY29" s="50">
        <f ca="1">+GETPIVOTDATA("TNG4",'ngaigiao (2016)'!$A$3,"MA_HT","DGT","MA_QH","DSH")</f>
        <v>0</v>
      </c>
      <c r="AZ29" s="50">
        <f ca="1">+GETPIVOTDATA("TNG4",'ngaigiao (2016)'!$A$3,"MA_HT","DGT","MA_QH","DKV")</f>
        <v>0</v>
      </c>
      <c r="BA29" s="88">
        <f ca="1">+GETPIVOTDATA("TNG4",'ngaigiao (2016)'!$A$3,"MA_HT","DGT","MA_QH","TIN")</f>
        <v>0</v>
      </c>
      <c r="BB29" s="50">
        <f ca="1">+GETPIVOTDATA("TNG4",'ngaigiao (2016)'!$A$3,"MA_HT","DGT","MA_QH","SON")</f>
        <v>0</v>
      </c>
      <c r="BC29" s="50">
        <f ca="1">+GETPIVOTDATA("TNG4",'ngaigiao (2016)'!$A$3,"MA_HT","DGT","MA_QH","MNC")</f>
        <v>0</v>
      </c>
      <c r="BD29" s="50">
        <f ca="1">+GETPIVOTDATA("TNG4",'ngaigiao (2016)'!$A$3,"MA_HT","DGT","MA_QH","PNK")</f>
        <v>0</v>
      </c>
      <c r="BE29" s="80">
        <f ca="1">+GETPIVOTDATA("TNG4",'ngaigiao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+GETPIVOTDATA("TNG4",'ngaigiao (2016)'!$A$3,"MA_HT","DTL","MA_QH","LUC")</f>
        <v>0</v>
      </c>
      <c r="H30" s="50">
        <f ca="1">+GETPIVOTDATA("TNG4",'ngaigiao (2016)'!$A$3,"MA_HT","DTL","MA_QH","LUK")</f>
        <v>0</v>
      </c>
      <c r="I30" s="50">
        <f ca="1">+GETPIVOTDATA("TNG4",'ngaigiao (2016)'!$A$3,"MA_HT","DTL","MA_QH","LUN")</f>
        <v>0</v>
      </c>
      <c r="J30" s="50">
        <f ca="1">+GETPIVOTDATA("TNG4",'ngaigiao (2016)'!$A$3,"MA_HT","DTL","MA_QH","HNK")</f>
        <v>0</v>
      </c>
      <c r="K30" s="50">
        <f ca="1">+GETPIVOTDATA("TNG4",'ngaigiao (2016)'!$A$3,"MA_HT","DTL","MA_QH","CLN")</f>
        <v>0</v>
      </c>
      <c r="L30" s="50">
        <f ca="1">+GETPIVOTDATA("TNG4",'ngaigiao (2016)'!$A$3,"MA_HT","DTL","MA_QH","RSX")</f>
        <v>0</v>
      </c>
      <c r="M30" s="50">
        <f ca="1">+GETPIVOTDATA("TNG4",'ngaigiao (2016)'!$A$3,"MA_HT","DTL","MA_QH","RPH")</f>
        <v>0</v>
      </c>
      <c r="N30" s="50">
        <f ca="1">+GETPIVOTDATA("TNG4",'ngaigiao (2016)'!$A$3,"MA_HT","DTL","MA_QH","RDD")</f>
        <v>0</v>
      </c>
      <c r="O30" s="50">
        <f ca="1">+GETPIVOTDATA("TNG4",'ngaigiao (2016)'!$A$3,"MA_HT","DTL","MA_QH","NTS")</f>
        <v>0</v>
      </c>
      <c r="P30" s="50">
        <f ca="1">+GETPIVOTDATA("TNG4",'ngaigiao (2016)'!$A$3,"MA_HT","DTL","MA_QH","LMU")</f>
        <v>0</v>
      </c>
      <c r="Q30" s="50">
        <f ca="1">+GETPIVOTDATA("TNG4",'ngaigiao (2016)'!$A$3,"MA_HT","DTL","MA_QH","NKH")</f>
        <v>0</v>
      </c>
      <c r="R30" s="48">
        <f ca="1" t="shared" ref="R30:R40" si="20">SUM(S30:AA30,AN30:BD30)</f>
        <v>0</v>
      </c>
      <c r="S30" s="50">
        <f ca="1">+GETPIVOTDATA("TNG4",'ngaigiao (2016)'!$A$3,"MA_HT","DTL","MA_QH","CQP")</f>
        <v>0</v>
      </c>
      <c r="T30" s="50">
        <f ca="1">+GETPIVOTDATA("TNG4",'ngaigiao (2016)'!$A$3,"MA_HT","DTL","MA_QH","CAN")</f>
        <v>0</v>
      </c>
      <c r="U30" s="50">
        <f ca="1">+GETPIVOTDATA("TNG4",'ngaigiao (2016)'!$A$3,"MA_HT","DTL","MA_QH","SKK")</f>
        <v>0</v>
      </c>
      <c r="V30" s="50">
        <f ca="1">+GETPIVOTDATA("TNG4",'ngaigiao (2016)'!$A$3,"MA_HT","DTL","MA_QH","SKT")</f>
        <v>0</v>
      </c>
      <c r="W30" s="50">
        <f ca="1">+GETPIVOTDATA("TNG4",'ngaigiao (2016)'!$A$3,"MA_HT","DTL","MA_QH","SKN")</f>
        <v>0</v>
      </c>
      <c r="X30" s="50">
        <f ca="1">+GETPIVOTDATA("TNG4",'ngaigiao (2016)'!$A$3,"MA_HT","DTL","MA_QH","TMD")</f>
        <v>0</v>
      </c>
      <c r="Y30" s="50">
        <f ca="1">+GETPIVOTDATA("TNG4",'ngaigiao (2016)'!$A$3,"MA_HT","DTL","MA_QH","SKC")</f>
        <v>0</v>
      </c>
      <c r="Z30" s="50">
        <f ca="1">+GETPIVOTDATA("TNG4",'ngaigiao (2016)'!$A$3,"MA_HT","DTL","MA_QH","SKS")</f>
        <v>0</v>
      </c>
      <c r="AA30" s="52">
        <f ca="1">+SUM(AB30,AD30:AM30)</f>
        <v>0</v>
      </c>
      <c r="AB30" s="50">
        <f ca="1">+GETPIVOTDATA("TNG4",'ngaigiao (2016)'!$A$3,"MA_HT","DTL","MA_QH","DGT")</f>
        <v>0</v>
      </c>
      <c r="AC30" s="49" t="e">
        <f ca="1">$D30-$BF30</f>
        <v>#REF!</v>
      </c>
      <c r="AD30" s="50">
        <f ca="1">+GETPIVOTDATA("TNG4",'ngaigiao (2016)'!$A$3,"MA_HT","DTL","MA_QH","DNL")</f>
        <v>0</v>
      </c>
      <c r="AE30" s="50">
        <f ca="1">+GETPIVOTDATA("TNG4",'ngaigiao (2016)'!$A$3,"MA_HT","DTL","MA_QH","DBV")</f>
        <v>0</v>
      </c>
      <c r="AF30" s="50">
        <f ca="1">+GETPIVOTDATA("TNG4",'ngaigiao (2016)'!$A$3,"MA_HT","DTL","MA_QH","DVH")</f>
        <v>0</v>
      </c>
      <c r="AG30" s="50">
        <f ca="1">+GETPIVOTDATA("TNG4",'ngaigiao (2016)'!$A$3,"MA_HT","DTL","MA_QH","DYT")</f>
        <v>0</v>
      </c>
      <c r="AH30" s="50">
        <f ca="1">+GETPIVOTDATA("TNG4",'ngaigiao (2016)'!$A$3,"MA_HT","DTL","MA_QH","DGD")</f>
        <v>0</v>
      </c>
      <c r="AI30" s="50">
        <f ca="1">+GETPIVOTDATA("TNG4",'ngaigiao (2016)'!$A$3,"MA_HT","DTL","MA_QH","DTT")</f>
        <v>0</v>
      </c>
      <c r="AJ30" s="50">
        <f ca="1">+GETPIVOTDATA("TNG4",'ngaigiao (2016)'!$A$3,"MA_HT","DTL","MA_QH","NCK")</f>
        <v>0</v>
      </c>
      <c r="AK30" s="50">
        <f ca="1">+GETPIVOTDATA("TNG4",'ngaigiao (2016)'!$A$3,"MA_HT","DTL","MA_QH","DXH")</f>
        <v>0</v>
      </c>
      <c r="AL30" s="50">
        <f ca="1">+GETPIVOTDATA("TNG4",'ngaigiao (2016)'!$A$3,"MA_HT","DTL","MA_QH","DCH")</f>
        <v>0</v>
      </c>
      <c r="AM30" s="50">
        <f ca="1">+GETPIVOTDATA("TNG4",'ngaigiao (2016)'!$A$3,"MA_HT","DTL","MA_QH","DKG")</f>
        <v>0</v>
      </c>
      <c r="AN30" s="50">
        <f ca="1">+GETPIVOTDATA("TNG4",'ngaigiao (2016)'!$A$3,"MA_HT","DTL","MA_QH","DDT")</f>
        <v>0</v>
      </c>
      <c r="AO30" s="50">
        <f ca="1">+GETPIVOTDATA("TNG4",'ngaigiao (2016)'!$A$3,"MA_HT","DTL","MA_QH","DDL")</f>
        <v>0</v>
      </c>
      <c r="AP30" s="50">
        <f ca="1">+GETPIVOTDATA("TNG4",'ngaigiao (2016)'!$A$3,"MA_HT","DTL","MA_QH","DRA")</f>
        <v>0</v>
      </c>
      <c r="AQ30" s="50">
        <f ca="1">+GETPIVOTDATA("TNG4",'ngaigiao (2016)'!$A$3,"MA_HT","DTL","MA_QH","ONT")</f>
        <v>0</v>
      </c>
      <c r="AR30" s="50">
        <f ca="1">+GETPIVOTDATA("TNG4",'ngaigiao (2016)'!$A$3,"MA_HT","DTL","MA_QH","ODT")</f>
        <v>0</v>
      </c>
      <c r="AS30" s="50">
        <f ca="1">+GETPIVOTDATA("TNG4",'ngaigiao (2016)'!$A$3,"MA_HT","DTL","MA_QH","TSC")</f>
        <v>0</v>
      </c>
      <c r="AT30" s="50">
        <f ca="1">+GETPIVOTDATA("TNG4",'ngaigiao (2016)'!$A$3,"MA_HT","DTL","MA_QH","DTS")</f>
        <v>0</v>
      </c>
      <c r="AU30" s="50">
        <f ca="1">+GETPIVOTDATA("TNG4",'ngaigiao (2016)'!$A$3,"MA_HT","DTL","MA_QH","DNG")</f>
        <v>0</v>
      </c>
      <c r="AV30" s="50">
        <f ca="1">+GETPIVOTDATA("TNG4",'ngaigiao (2016)'!$A$3,"MA_HT","DTL","MA_QH","TON")</f>
        <v>0</v>
      </c>
      <c r="AW30" s="50">
        <f ca="1">+GETPIVOTDATA("TNG4",'ngaigiao (2016)'!$A$3,"MA_HT","DTL","MA_QH","NTD")</f>
        <v>0</v>
      </c>
      <c r="AX30" s="50">
        <f ca="1">+GETPIVOTDATA("TNG4",'ngaigiao (2016)'!$A$3,"MA_HT","DTL","MA_QH","SKX")</f>
        <v>0</v>
      </c>
      <c r="AY30" s="50">
        <f ca="1">+GETPIVOTDATA("TNG4",'ngaigiao (2016)'!$A$3,"MA_HT","DTL","MA_QH","DSH")</f>
        <v>0</v>
      </c>
      <c r="AZ30" s="50">
        <f ca="1">+GETPIVOTDATA("TNG4",'ngaigiao (2016)'!$A$3,"MA_HT","DTL","MA_QH","DKV")</f>
        <v>0</v>
      </c>
      <c r="BA30" s="88">
        <f ca="1">+GETPIVOTDATA("TNG4",'ngaigiao (2016)'!$A$3,"MA_HT","DTL","MA_QH","TIN")</f>
        <v>0</v>
      </c>
      <c r="BB30" s="50">
        <f ca="1">+GETPIVOTDATA("TNG4",'ngaigiao (2016)'!$A$3,"MA_HT","DTL","MA_QH","SON")</f>
        <v>0</v>
      </c>
      <c r="BC30" s="50">
        <f ca="1">+GETPIVOTDATA("TNG4",'ngaigiao (2016)'!$A$3,"MA_HT","DTL","MA_QH","MNC")</f>
        <v>0</v>
      </c>
      <c r="BD30" s="50">
        <f ca="1">+GETPIVOTDATA("TNG4",'ngaigiao (2016)'!$A$3,"MA_HT","DTL","MA_QH","PNK")</f>
        <v>0</v>
      </c>
      <c r="BE30" s="80">
        <f ca="1">+GETPIVOTDATA("TNG4",'ngaigiao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+GETPIVOTDATA("TNG4",'ngaigiao (2016)'!$A$3,"MA_HT","DNL","MA_QH","LUC")</f>
        <v>0</v>
      </c>
      <c r="H31" s="50">
        <f ca="1">+GETPIVOTDATA("TNG4",'ngaigiao (2016)'!$A$3,"MA_HT","DNL","MA_QH","LUK")</f>
        <v>0</v>
      </c>
      <c r="I31" s="50">
        <f ca="1">+GETPIVOTDATA("TNG4",'ngaigiao (2016)'!$A$3,"MA_HT","DNL","MA_QH","LUN")</f>
        <v>0</v>
      </c>
      <c r="J31" s="50">
        <f ca="1">+GETPIVOTDATA("TNG4",'ngaigiao (2016)'!$A$3,"MA_HT","DNL","MA_QH","HNK")</f>
        <v>0</v>
      </c>
      <c r="K31" s="50">
        <f ca="1">+GETPIVOTDATA("TNG4",'ngaigiao (2016)'!$A$3,"MA_HT","DNL","MA_QH","CLN")</f>
        <v>0</v>
      </c>
      <c r="L31" s="50">
        <f ca="1">+GETPIVOTDATA("TNG4",'ngaigiao (2016)'!$A$3,"MA_HT","DNL","MA_QH","RSX")</f>
        <v>0</v>
      </c>
      <c r="M31" s="50">
        <f ca="1">+GETPIVOTDATA("TNG4",'ngaigiao (2016)'!$A$3,"MA_HT","DNL","MA_QH","RPH")</f>
        <v>0</v>
      </c>
      <c r="N31" s="50">
        <f ca="1">+GETPIVOTDATA("TNG4",'ngaigiao (2016)'!$A$3,"MA_HT","DNL","MA_QH","RDD")</f>
        <v>0</v>
      </c>
      <c r="O31" s="50">
        <f ca="1">+GETPIVOTDATA("TNG4",'ngaigiao (2016)'!$A$3,"MA_HT","DNL","MA_QH","NTS")</f>
        <v>0</v>
      </c>
      <c r="P31" s="50">
        <f ca="1">+GETPIVOTDATA("TNG4",'ngaigiao (2016)'!$A$3,"MA_HT","DNL","MA_QH","LMU")</f>
        <v>0</v>
      </c>
      <c r="Q31" s="50">
        <f ca="1">+GETPIVOTDATA("TNG4",'ngaigiao (2016)'!$A$3,"MA_HT","DNL","MA_QH","NKH")</f>
        <v>0</v>
      </c>
      <c r="R31" s="48">
        <f ca="1" t="shared" si="20"/>
        <v>0</v>
      </c>
      <c r="S31" s="50">
        <f ca="1">+GETPIVOTDATA("TNG4",'ngaigiao (2016)'!$A$3,"MA_HT","DNL","MA_QH","CQP")</f>
        <v>0</v>
      </c>
      <c r="T31" s="50">
        <f ca="1">+GETPIVOTDATA("TNG4",'ngaigiao (2016)'!$A$3,"MA_HT","DNL","MA_QH","CAN")</f>
        <v>0</v>
      </c>
      <c r="U31" s="50">
        <f ca="1">+GETPIVOTDATA("TNG4",'ngaigiao (2016)'!$A$3,"MA_HT","DNL","MA_QH","SKK")</f>
        <v>0</v>
      </c>
      <c r="V31" s="50">
        <f ca="1">+GETPIVOTDATA("TNG4",'ngaigiao (2016)'!$A$3,"MA_HT","DNL","MA_QH","SKT")</f>
        <v>0</v>
      </c>
      <c r="W31" s="50">
        <f ca="1">+GETPIVOTDATA("TNG4",'ngaigiao (2016)'!$A$3,"MA_HT","DNL","MA_QH","SKN")</f>
        <v>0</v>
      </c>
      <c r="X31" s="50">
        <f ca="1">+GETPIVOTDATA("TNG4",'ngaigiao (2016)'!$A$3,"MA_HT","DNL","MA_QH","TMD")</f>
        <v>0</v>
      </c>
      <c r="Y31" s="50">
        <f ca="1">+GETPIVOTDATA("TNG4",'ngaigiao (2016)'!$A$3,"MA_HT","DNL","MA_QH","SKC")</f>
        <v>0</v>
      </c>
      <c r="Z31" s="50">
        <f ca="1">+GETPIVOTDATA("TNG4",'ngaigiao (2016)'!$A$3,"MA_HT","DNL","MA_QH","SKS")</f>
        <v>0</v>
      </c>
      <c r="AA31" s="52">
        <f ca="1">+SUM(AB31:AC31,AE31:AM31)</f>
        <v>0</v>
      </c>
      <c r="AB31" s="50">
        <f ca="1">+GETPIVOTDATA("TNG4",'ngaigiao (2016)'!$A$3,"MA_HT","DNL","MA_QH","DGT")</f>
        <v>0</v>
      </c>
      <c r="AC31" s="50">
        <f ca="1">+GETPIVOTDATA("TNG4",'ngaigiao (2016)'!$A$3,"MA_HT","DNL","MA_QH","DTL")</f>
        <v>0</v>
      </c>
      <c r="AD31" s="49" t="e">
        <f ca="1">$D31-$BF31</f>
        <v>#REF!</v>
      </c>
      <c r="AE31" s="50">
        <f ca="1">+GETPIVOTDATA("TNG4",'ngaigiao (2016)'!$A$3,"MA_HT","DNL","MA_QH","DBV")</f>
        <v>0</v>
      </c>
      <c r="AF31" s="50">
        <f ca="1">+GETPIVOTDATA("TNG4",'ngaigiao (2016)'!$A$3,"MA_HT","DNL","MA_QH","DVH")</f>
        <v>0</v>
      </c>
      <c r="AG31" s="50">
        <f ca="1">+GETPIVOTDATA("TNG4",'ngaigiao (2016)'!$A$3,"MA_HT","DNL","MA_QH","DYT")</f>
        <v>0</v>
      </c>
      <c r="AH31" s="50">
        <f ca="1">+GETPIVOTDATA("TNG4",'ngaigiao (2016)'!$A$3,"MA_HT","DNL","MA_QH","DGD")</f>
        <v>0</v>
      </c>
      <c r="AI31" s="50">
        <f ca="1">+GETPIVOTDATA("TNG4",'ngaigiao (2016)'!$A$3,"MA_HT","DNL","MA_QH","DTT")</f>
        <v>0</v>
      </c>
      <c r="AJ31" s="50">
        <f ca="1">+GETPIVOTDATA("TNG4",'ngaigiao (2016)'!$A$3,"MA_HT","DNL","MA_QH","NCK")</f>
        <v>0</v>
      </c>
      <c r="AK31" s="50">
        <f ca="1">+GETPIVOTDATA("TNG4",'ngaigiao (2016)'!$A$3,"MA_HT","DNL","MA_QH","DXH")</f>
        <v>0</v>
      </c>
      <c r="AL31" s="50">
        <f ca="1">+GETPIVOTDATA("TNG4",'ngaigiao (2016)'!$A$3,"MA_HT","DNL","MA_QH","DCH")</f>
        <v>0</v>
      </c>
      <c r="AM31" s="50">
        <f ca="1">+GETPIVOTDATA("TNG4",'ngaigiao (2016)'!$A$3,"MA_HT","DNL","MA_QH","DKG")</f>
        <v>0</v>
      </c>
      <c r="AN31" s="50">
        <f ca="1">+GETPIVOTDATA("TNG4",'ngaigiao (2016)'!$A$3,"MA_HT","DNL","MA_QH","DDT")</f>
        <v>0</v>
      </c>
      <c r="AO31" s="50">
        <f ca="1">+GETPIVOTDATA("TNG4",'ngaigiao (2016)'!$A$3,"MA_HT","DNL","MA_QH","DDL")</f>
        <v>0</v>
      </c>
      <c r="AP31" s="50">
        <f ca="1">+GETPIVOTDATA("TNG4",'ngaigiao (2016)'!$A$3,"MA_HT","DNL","MA_QH","DRA")</f>
        <v>0</v>
      </c>
      <c r="AQ31" s="50">
        <f ca="1">+GETPIVOTDATA("TNG4",'ngaigiao (2016)'!$A$3,"MA_HT","DNL","MA_QH","ONT")</f>
        <v>0</v>
      </c>
      <c r="AR31" s="50">
        <f ca="1">+GETPIVOTDATA("TNG4",'ngaigiao (2016)'!$A$3,"MA_HT","DNL","MA_QH","ODT")</f>
        <v>0</v>
      </c>
      <c r="AS31" s="50">
        <f ca="1">+GETPIVOTDATA("TNG4",'ngaigiao (2016)'!$A$3,"MA_HT","DNL","MA_QH","TSC")</f>
        <v>0</v>
      </c>
      <c r="AT31" s="50">
        <f ca="1">+GETPIVOTDATA("TNG4",'ngaigiao (2016)'!$A$3,"MA_HT","DNL","MA_QH","DTS")</f>
        <v>0</v>
      </c>
      <c r="AU31" s="50">
        <f ca="1">+GETPIVOTDATA("TNG4",'ngaigiao (2016)'!$A$3,"MA_HT","DNL","MA_QH","DNG")</f>
        <v>0</v>
      </c>
      <c r="AV31" s="50">
        <f ca="1">+GETPIVOTDATA("TNG4",'ngaigiao (2016)'!$A$3,"MA_HT","DNL","MA_QH","TON")</f>
        <v>0</v>
      </c>
      <c r="AW31" s="50">
        <f ca="1">+GETPIVOTDATA("TNG4",'ngaigiao (2016)'!$A$3,"MA_HT","DNL","MA_QH","NTD")</f>
        <v>0</v>
      </c>
      <c r="AX31" s="50">
        <f ca="1">+GETPIVOTDATA("TNG4",'ngaigiao (2016)'!$A$3,"MA_HT","DNL","MA_QH","SKX")</f>
        <v>0</v>
      </c>
      <c r="AY31" s="50">
        <f ca="1">+GETPIVOTDATA("TNG4",'ngaigiao (2016)'!$A$3,"MA_HT","DNL","MA_QH","DSH")</f>
        <v>0</v>
      </c>
      <c r="AZ31" s="50">
        <f ca="1">+GETPIVOTDATA("TNG4",'ngaigiao (2016)'!$A$3,"MA_HT","DNL","MA_QH","DKV")</f>
        <v>0</v>
      </c>
      <c r="BA31" s="88">
        <f ca="1">+GETPIVOTDATA("TNG4",'ngaigiao (2016)'!$A$3,"MA_HT","DNL","MA_QH","TIN")</f>
        <v>0</v>
      </c>
      <c r="BB31" s="50">
        <f ca="1">+GETPIVOTDATA("TNG4",'ngaigiao (2016)'!$A$3,"MA_HT","DNL","MA_QH","SON")</f>
        <v>0</v>
      </c>
      <c r="BC31" s="50">
        <f ca="1">+GETPIVOTDATA("TNG4",'ngaigiao (2016)'!$A$3,"MA_HT","DNL","MA_QH","MNC")</f>
        <v>0</v>
      </c>
      <c r="BD31" s="50">
        <f ca="1">+GETPIVOTDATA("TNG4",'ngaigiao (2016)'!$A$3,"MA_HT","DNL","MA_QH","PNK")</f>
        <v>0</v>
      </c>
      <c r="BE31" s="80">
        <f ca="1">+GETPIVOTDATA("TNG4",'ngaigiao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+GETPIVOTDATA("TNG4",'ngaigiao (2016)'!$A$3,"MA_HT","DBV","MA_QH","LUC")</f>
        <v>0</v>
      </c>
      <c r="H32" s="50">
        <f ca="1">+GETPIVOTDATA("TNG4",'ngaigiao (2016)'!$A$3,"MA_HT","DBV","MA_QH","LUK")</f>
        <v>0</v>
      </c>
      <c r="I32" s="50">
        <f ca="1">+GETPIVOTDATA("TNG4",'ngaigiao (2016)'!$A$3,"MA_HT","DBV","MA_QH","LUN")</f>
        <v>0</v>
      </c>
      <c r="J32" s="50">
        <f ca="1">+GETPIVOTDATA("TNG4",'ngaigiao (2016)'!$A$3,"MA_HT","DBV","MA_QH","HNK")</f>
        <v>0</v>
      </c>
      <c r="K32" s="50">
        <f ca="1">+GETPIVOTDATA("TNG4",'ngaigiao (2016)'!$A$3,"MA_HT","DBV","MA_QH","CLN")</f>
        <v>0</v>
      </c>
      <c r="L32" s="50">
        <f ca="1">+GETPIVOTDATA("TNG4",'ngaigiao (2016)'!$A$3,"MA_HT","DBV","MA_QH","RSX")</f>
        <v>0</v>
      </c>
      <c r="M32" s="50">
        <f ca="1">+GETPIVOTDATA("TNG4",'ngaigiao (2016)'!$A$3,"MA_HT","DBV","MA_QH","RPH")</f>
        <v>0</v>
      </c>
      <c r="N32" s="50">
        <f ca="1">+GETPIVOTDATA("TNG4",'ngaigiao (2016)'!$A$3,"MA_HT","DBV","MA_QH","RDD")</f>
        <v>0</v>
      </c>
      <c r="O32" s="50">
        <f ca="1">+GETPIVOTDATA("TNG4",'ngaigiao (2016)'!$A$3,"MA_HT","DBV","MA_QH","NTS")</f>
        <v>0</v>
      </c>
      <c r="P32" s="50">
        <f ca="1">+GETPIVOTDATA("TNG4",'ngaigiao (2016)'!$A$3,"MA_HT","DBV","MA_QH","LMU")</f>
        <v>0</v>
      </c>
      <c r="Q32" s="50">
        <f ca="1">+GETPIVOTDATA("TNG4",'ngaigiao (2016)'!$A$3,"MA_HT","DBV","MA_QH","NKH")</f>
        <v>0</v>
      </c>
      <c r="R32" s="48">
        <f ca="1" t="shared" si="20"/>
        <v>0</v>
      </c>
      <c r="S32" s="50">
        <f ca="1">+GETPIVOTDATA("TNG4",'ngaigiao (2016)'!$A$3,"MA_HT","DBV","MA_QH","CQP")</f>
        <v>0</v>
      </c>
      <c r="T32" s="50">
        <f ca="1">+GETPIVOTDATA("TNG4",'ngaigiao (2016)'!$A$3,"MA_HT","DBV","MA_QH","CAN")</f>
        <v>0</v>
      </c>
      <c r="U32" s="50">
        <f ca="1">+GETPIVOTDATA("TNG4",'ngaigiao (2016)'!$A$3,"MA_HT","DBV","MA_QH","SKK")</f>
        <v>0</v>
      </c>
      <c r="V32" s="50">
        <f ca="1">+GETPIVOTDATA("TNG4",'ngaigiao (2016)'!$A$3,"MA_HT","DBV","MA_QH","SKT")</f>
        <v>0</v>
      </c>
      <c r="W32" s="50">
        <f ca="1">+GETPIVOTDATA("TNG4",'ngaigiao (2016)'!$A$3,"MA_HT","DBV","MA_QH","SKN")</f>
        <v>0</v>
      </c>
      <c r="X32" s="50">
        <f ca="1">+GETPIVOTDATA("TNG4",'ngaigiao (2016)'!$A$3,"MA_HT","DBV","MA_QH","TMD")</f>
        <v>0</v>
      </c>
      <c r="Y32" s="50">
        <f ca="1">+GETPIVOTDATA("TNG4",'ngaigiao (2016)'!$A$3,"MA_HT","DBV","MA_QH","SKC")</f>
        <v>0</v>
      </c>
      <c r="Z32" s="50">
        <f ca="1">+GETPIVOTDATA("TNG4",'ngaigiao (2016)'!$A$3,"MA_HT","DBV","MA_QH","SKS")</f>
        <v>0</v>
      </c>
      <c r="AA32" s="52">
        <f ca="1">+SUM(AB32:AD32,AF32:AM32)</f>
        <v>0</v>
      </c>
      <c r="AB32" s="50">
        <f ca="1">+GETPIVOTDATA("TNG4",'ngaigiao (2016)'!$A$3,"MA_HT","DBV","MA_QH","DGT")</f>
        <v>0</v>
      </c>
      <c r="AC32" s="50">
        <f ca="1">+GETPIVOTDATA("TNG4",'ngaigiao (2016)'!$A$3,"MA_HT","DBV","MA_QH","DTL")</f>
        <v>0</v>
      </c>
      <c r="AD32" s="50">
        <f ca="1">+GETPIVOTDATA("TNG4",'ngaigiao (2016)'!$A$3,"MA_HT","DBV","MA_QH","DNL")</f>
        <v>0</v>
      </c>
      <c r="AE32" s="49" t="e">
        <f ca="1">$D32-$BF32</f>
        <v>#REF!</v>
      </c>
      <c r="AF32" s="50">
        <f ca="1">+GETPIVOTDATA("TNG4",'ngaigiao (2016)'!$A$3,"MA_HT","DBV","MA_QH","DVH")</f>
        <v>0</v>
      </c>
      <c r="AG32" s="50">
        <f ca="1">+GETPIVOTDATA("TNG4",'ngaigiao (2016)'!$A$3,"MA_HT","DBV","MA_QH","DYT")</f>
        <v>0</v>
      </c>
      <c r="AH32" s="50">
        <f ca="1">+GETPIVOTDATA("TNG4",'ngaigiao (2016)'!$A$3,"MA_HT","DBV","MA_QH","DGD")</f>
        <v>0</v>
      </c>
      <c r="AI32" s="50">
        <f ca="1">+GETPIVOTDATA("TNG4",'ngaigiao (2016)'!$A$3,"MA_HT","DBV","MA_QH","DTT")</f>
        <v>0</v>
      </c>
      <c r="AJ32" s="50">
        <f ca="1">+GETPIVOTDATA("TNG4",'ngaigiao (2016)'!$A$3,"MA_HT","DBV","MA_QH","NCK")</f>
        <v>0</v>
      </c>
      <c r="AK32" s="50">
        <f ca="1">+GETPIVOTDATA("TNG4",'ngaigiao (2016)'!$A$3,"MA_HT","DBV","MA_QH","DXH")</f>
        <v>0</v>
      </c>
      <c r="AL32" s="50">
        <f ca="1">+GETPIVOTDATA("TNG4",'ngaigiao (2016)'!$A$3,"MA_HT","DBV","MA_QH","DCH")</f>
        <v>0</v>
      </c>
      <c r="AM32" s="50">
        <f ca="1">+GETPIVOTDATA("TNG4",'ngaigiao (2016)'!$A$3,"MA_HT","DBV","MA_QH","DKG")</f>
        <v>0</v>
      </c>
      <c r="AN32" s="50">
        <f ca="1">+GETPIVOTDATA("TNG4",'ngaigiao (2016)'!$A$3,"MA_HT","DBV","MA_QH","DDT")</f>
        <v>0</v>
      </c>
      <c r="AO32" s="50">
        <f ca="1">+GETPIVOTDATA("TNG4",'ngaigiao (2016)'!$A$3,"MA_HT","DBV","MA_QH","DDL")</f>
        <v>0</v>
      </c>
      <c r="AP32" s="50">
        <f ca="1">+GETPIVOTDATA("TNG4",'ngaigiao (2016)'!$A$3,"MA_HT","DBV","MA_QH","DRA")</f>
        <v>0</v>
      </c>
      <c r="AQ32" s="50">
        <f ca="1">+GETPIVOTDATA("TNG4",'ngaigiao (2016)'!$A$3,"MA_HT","DBV","MA_QH","ONT")</f>
        <v>0</v>
      </c>
      <c r="AR32" s="50">
        <f ca="1">+GETPIVOTDATA("TNG4",'ngaigiao (2016)'!$A$3,"MA_HT","DBV","MA_QH","ODT")</f>
        <v>0</v>
      </c>
      <c r="AS32" s="50">
        <f ca="1">+GETPIVOTDATA("TNG4",'ngaigiao (2016)'!$A$3,"MA_HT","DBV","MA_QH","TSC")</f>
        <v>0</v>
      </c>
      <c r="AT32" s="50">
        <f ca="1">+GETPIVOTDATA("TNG4",'ngaigiao (2016)'!$A$3,"MA_HT","DBV","MA_QH","DTS")</f>
        <v>0</v>
      </c>
      <c r="AU32" s="50">
        <f ca="1">+GETPIVOTDATA("TNG4",'ngaigiao (2016)'!$A$3,"MA_HT","DBV","MA_QH","DNG")</f>
        <v>0</v>
      </c>
      <c r="AV32" s="50">
        <f ca="1">+GETPIVOTDATA("TNG4",'ngaigiao (2016)'!$A$3,"MA_HT","DBV","MA_QH","TON")</f>
        <v>0</v>
      </c>
      <c r="AW32" s="50">
        <f ca="1">+GETPIVOTDATA("TNG4",'ngaigiao (2016)'!$A$3,"MA_HT","DBV","MA_QH","NTD")</f>
        <v>0</v>
      </c>
      <c r="AX32" s="50">
        <f ca="1">+GETPIVOTDATA("TNG4",'ngaigiao (2016)'!$A$3,"MA_HT","DBV","MA_QH","SKX")</f>
        <v>0</v>
      </c>
      <c r="AY32" s="50">
        <f ca="1">+GETPIVOTDATA("TNG4",'ngaigiao (2016)'!$A$3,"MA_HT","DBV","MA_QH","DSH")</f>
        <v>0</v>
      </c>
      <c r="AZ32" s="50">
        <f ca="1">+GETPIVOTDATA("TNG4",'ngaigiao (2016)'!$A$3,"MA_HT","DBV","MA_QH","DKV")</f>
        <v>0</v>
      </c>
      <c r="BA32" s="88">
        <f ca="1">+GETPIVOTDATA("TNG4",'ngaigiao (2016)'!$A$3,"MA_HT","DBV","MA_QH","TIN")</f>
        <v>0</v>
      </c>
      <c r="BB32" s="50">
        <f ca="1">+GETPIVOTDATA("TNG4",'ngaigiao (2016)'!$A$3,"MA_HT","DBV","MA_QH","SON")</f>
        <v>0</v>
      </c>
      <c r="BC32" s="50">
        <f ca="1">+GETPIVOTDATA("TNG4",'ngaigiao (2016)'!$A$3,"MA_HT","DBV","MA_QH","MNC")</f>
        <v>0</v>
      </c>
      <c r="BD32" s="50">
        <f ca="1">+GETPIVOTDATA("TNG4",'ngaigiao (2016)'!$A$3,"MA_HT","DBV","MA_QH","PNK")</f>
        <v>0</v>
      </c>
      <c r="BE32" s="80">
        <f ca="1">+GETPIVOTDATA("TNG4",'ngaigiao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+GETPIVOTDATA("TNG4",'ngaigiao (2016)'!$A$3,"MA_HT","DVH","MA_QH","LUC")</f>
        <v>0</v>
      </c>
      <c r="H33" s="50">
        <f ca="1">+GETPIVOTDATA("TNG4",'ngaigiao (2016)'!$A$3,"MA_HT","DVH","MA_QH","LUK")</f>
        <v>0</v>
      </c>
      <c r="I33" s="50">
        <f ca="1">+GETPIVOTDATA("TNG4",'ngaigiao (2016)'!$A$3,"MA_HT","DVH","MA_QH","LUN")</f>
        <v>0</v>
      </c>
      <c r="J33" s="50">
        <f ca="1">+GETPIVOTDATA("TNG4",'ngaigiao (2016)'!$A$3,"MA_HT","DVH","MA_QH","HNK")</f>
        <v>0</v>
      </c>
      <c r="K33" s="50">
        <f ca="1">+GETPIVOTDATA("TNG4",'ngaigiao (2016)'!$A$3,"MA_HT","DVH","MA_QH","CLN")</f>
        <v>0</v>
      </c>
      <c r="L33" s="50">
        <f ca="1">+GETPIVOTDATA("TNG4",'ngaigiao (2016)'!$A$3,"MA_HT","DVH","MA_QH","RSX")</f>
        <v>0</v>
      </c>
      <c r="M33" s="50">
        <f ca="1">+GETPIVOTDATA("TNG4",'ngaigiao (2016)'!$A$3,"MA_HT","DVH","MA_QH","RPH")</f>
        <v>0</v>
      </c>
      <c r="N33" s="50">
        <f ca="1">+GETPIVOTDATA("TNG4",'ngaigiao (2016)'!$A$3,"MA_HT","DVH","MA_QH","RDD")</f>
        <v>0</v>
      </c>
      <c r="O33" s="50">
        <f ca="1">+GETPIVOTDATA("TNG4",'ngaigiao (2016)'!$A$3,"MA_HT","DVH","MA_QH","NTS")</f>
        <v>0</v>
      </c>
      <c r="P33" s="50">
        <f ca="1">+GETPIVOTDATA("TNG4",'ngaigiao (2016)'!$A$3,"MA_HT","DVH","MA_QH","LMU")</f>
        <v>0</v>
      </c>
      <c r="Q33" s="50">
        <f ca="1">+GETPIVOTDATA("TNG4",'ngaigiao (2016)'!$A$3,"MA_HT","DVH","MA_QH","NKH")</f>
        <v>0</v>
      </c>
      <c r="R33" s="48">
        <f ca="1" t="shared" si="20"/>
        <v>0</v>
      </c>
      <c r="S33" s="50">
        <f ca="1">+GETPIVOTDATA("TNG4",'ngaigiao (2016)'!$A$3,"MA_HT","DVH","MA_QH","CQP")</f>
        <v>0</v>
      </c>
      <c r="T33" s="50">
        <f ca="1">+GETPIVOTDATA("TNG4",'ngaigiao (2016)'!$A$3,"MA_HT","DVH","MA_QH","CAN")</f>
        <v>0</v>
      </c>
      <c r="U33" s="50">
        <f ca="1">+GETPIVOTDATA("TNG4",'ngaigiao (2016)'!$A$3,"MA_HT","DVH","MA_QH","SKK")</f>
        <v>0</v>
      </c>
      <c r="V33" s="50">
        <f ca="1">+GETPIVOTDATA("TNG4",'ngaigiao (2016)'!$A$3,"MA_HT","DVH","MA_QH","SKT")</f>
        <v>0</v>
      </c>
      <c r="W33" s="50">
        <f ca="1">+GETPIVOTDATA("TNG4",'ngaigiao (2016)'!$A$3,"MA_HT","DVH","MA_QH","SKN")</f>
        <v>0</v>
      </c>
      <c r="X33" s="50">
        <f ca="1">+GETPIVOTDATA("TNG4",'ngaigiao (2016)'!$A$3,"MA_HT","DVH","MA_QH","TMD")</f>
        <v>0</v>
      </c>
      <c r="Y33" s="50">
        <f ca="1">+GETPIVOTDATA("TNG4",'ngaigiao (2016)'!$A$3,"MA_HT","DVH","MA_QH","SKC")</f>
        <v>0</v>
      </c>
      <c r="Z33" s="50">
        <f ca="1">+GETPIVOTDATA("TNG4",'ngaigiao (2016)'!$A$3,"MA_HT","DVH","MA_QH","SKS")</f>
        <v>0</v>
      </c>
      <c r="AA33" s="52">
        <f ca="1">+SUM(AB33:AE33,AG33:AM33)</f>
        <v>0</v>
      </c>
      <c r="AB33" s="50">
        <f ca="1">+GETPIVOTDATA("TNG4",'ngaigiao (2016)'!$A$3,"MA_HT","DVH","MA_QH","DGT")</f>
        <v>0</v>
      </c>
      <c r="AC33" s="50">
        <f ca="1">+GETPIVOTDATA("TNG4",'ngaigiao (2016)'!$A$3,"MA_HT","DVH","MA_QH","DTL")</f>
        <v>0</v>
      </c>
      <c r="AD33" s="50">
        <f ca="1">+GETPIVOTDATA("TNG4",'ngaigiao (2016)'!$A$3,"MA_HT","DVH","MA_QH","DNL")</f>
        <v>0</v>
      </c>
      <c r="AE33" s="50">
        <f ca="1">+GETPIVOTDATA("TNG4",'ngaigiao (2016)'!$A$3,"MA_HT","DVH","MA_QH","DBV")</f>
        <v>0</v>
      </c>
      <c r="AF33" s="49" t="e">
        <f ca="1">$D33-$BF33</f>
        <v>#REF!</v>
      </c>
      <c r="AG33" s="50">
        <f ca="1">+GETPIVOTDATA("TNG4",'ngaigiao (2016)'!$A$3,"MA_HT","DVH","MA_QH","DYT")</f>
        <v>0</v>
      </c>
      <c r="AH33" s="50">
        <f ca="1">+GETPIVOTDATA("TNG4",'ngaigiao (2016)'!$A$3,"MA_HT","DVH","MA_QH","DGD")</f>
        <v>0</v>
      </c>
      <c r="AI33" s="50">
        <f ca="1">+GETPIVOTDATA("TNG4",'ngaigiao (2016)'!$A$3,"MA_HT","DVH","MA_QH","DTT")</f>
        <v>0</v>
      </c>
      <c r="AJ33" s="50">
        <f ca="1">+GETPIVOTDATA("TNG4",'ngaigiao (2016)'!$A$3,"MA_HT","DVH","MA_QH","NCK")</f>
        <v>0</v>
      </c>
      <c r="AK33" s="50">
        <f ca="1">+GETPIVOTDATA("TNG4",'ngaigiao (2016)'!$A$3,"MA_HT","DVH","MA_QH","DXH")</f>
        <v>0</v>
      </c>
      <c r="AL33" s="50">
        <f ca="1">+GETPIVOTDATA("TNG4",'ngaigiao (2016)'!$A$3,"MA_HT","DVH","MA_QH","DCH")</f>
        <v>0</v>
      </c>
      <c r="AM33" s="50">
        <f ca="1">+GETPIVOTDATA("TNG4",'ngaigiao (2016)'!$A$3,"MA_HT","DVH","MA_QH","DKG")</f>
        <v>0</v>
      </c>
      <c r="AN33" s="50">
        <f ca="1">+GETPIVOTDATA("TNG4",'ngaigiao (2016)'!$A$3,"MA_HT","DVH","MA_QH","DDT")</f>
        <v>0</v>
      </c>
      <c r="AO33" s="50">
        <f ca="1">+GETPIVOTDATA("TNG4",'ngaigiao (2016)'!$A$3,"MA_HT","DVH","MA_QH","DDL")</f>
        <v>0</v>
      </c>
      <c r="AP33" s="50">
        <f ca="1">+GETPIVOTDATA("TNG4",'ngaigiao (2016)'!$A$3,"MA_HT","DVH","MA_QH","DRA")</f>
        <v>0</v>
      </c>
      <c r="AQ33" s="50">
        <f ca="1">+GETPIVOTDATA("TNG4",'ngaigiao (2016)'!$A$3,"MA_HT","DVH","MA_QH","ONT")</f>
        <v>0</v>
      </c>
      <c r="AR33" s="50">
        <f ca="1">+GETPIVOTDATA("TNG4",'ngaigiao (2016)'!$A$3,"MA_HT","DVH","MA_QH","ODT")</f>
        <v>0</v>
      </c>
      <c r="AS33" s="50">
        <f ca="1">+GETPIVOTDATA("TNG4",'ngaigiao (2016)'!$A$3,"MA_HT","DVH","MA_QH","TSC")</f>
        <v>0</v>
      </c>
      <c r="AT33" s="50">
        <f ca="1">+GETPIVOTDATA("TNG4",'ngaigiao (2016)'!$A$3,"MA_HT","DVH","MA_QH","DTS")</f>
        <v>0</v>
      </c>
      <c r="AU33" s="50">
        <f ca="1">+GETPIVOTDATA("TNG4",'ngaigiao (2016)'!$A$3,"MA_HT","DVH","MA_QH","DNG")</f>
        <v>0</v>
      </c>
      <c r="AV33" s="50">
        <f ca="1">+GETPIVOTDATA("TNG4",'ngaigiao (2016)'!$A$3,"MA_HT","DVH","MA_QH","TON")</f>
        <v>0</v>
      </c>
      <c r="AW33" s="50">
        <f ca="1">+GETPIVOTDATA("TNG4",'ngaigiao (2016)'!$A$3,"MA_HT","DVH","MA_QH","NTD")</f>
        <v>0</v>
      </c>
      <c r="AX33" s="50">
        <f ca="1">+GETPIVOTDATA("TNG4",'ngaigiao (2016)'!$A$3,"MA_HT","DVH","MA_QH","SKX")</f>
        <v>0</v>
      </c>
      <c r="AY33" s="50">
        <f ca="1">+GETPIVOTDATA("TNG4",'ngaigiao (2016)'!$A$3,"MA_HT","DVH","MA_QH","DSH")</f>
        <v>0</v>
      </c>
      <c r="AZ33" s="50">
        <f ca="1">+GETPIVOTDATA("TNG4",'ngaigiao (2016)'!$A$3,"MA_HT","DVH","MA_QH","DKV")</f>
        <v>0</v>
      </c>
      <c r="BA33" s="88">
        <f ca="1">+GETPIVOTDATA("TNG4",'ngaigiao (2016)'!$A$3,"MA_HT","DVH","MA_QH","TIN")</f>
        <v>0</v>
      </c>
      <c r="BB33" s="50">
        <f ca="1">+GETPIVOTDATA("TNG4",'ngaigiao (2016)'!$A$3,"MA_HT","DVH","MA_QH","SON")</f>
        <v>0</v>
      </c>
      <c r="BC33" s="50">
        <f ca="1">+GETPIVOTDATA("TNG4",'ngaigiao (2016)'!$A$3,"MA_HT","DVH","MA_QH","MNC")</f>
        <v>0</v>
      </c>
      <c r="BD33" s="50">
        <f ca="1">+GETPIVOTDATA("TNG4",'ngaigiao (2016)'!$A$3,"MA_HT","DVH","MA_QH","PNK")</f>
        <v>0</v>
      </c>
      <c r="BE33" s="80">
        <f ca="1">+GETPIVOTDATA("TNG4",'ngaigiao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+GETPIVOTDATA("TNG4",'ngaigiao (2016)'!$A$3,"MA_HT","DYT","MA_QH","LUC")</f>
        <v>0</v>
      </c>
      <c r="H34" s="50">
        <f ca="1">+GETPIVOTDATA("TNG4",'ngaigiao (2016)'!$A$3,"MA_HT","DYT","MA_QH","LUK")</f>
        <v>0</v>
      </c>
      <c r="I34" s="50">
        <f ca="1">+GETPIVOTDATA("TNG4",'ngaigiao (2016)'!$A$3,"MA_HT","DYT","MA_QH","LUN")</f>
        <v>0</v>
      </c>
      <c r="J34" s="50">
        <f ca="1">+GETPIVOTDATA("TNG4",'ngaigiao (2016)'!$A$3,"MA_HT","DYT","MA_QH","HNK")</f>
        <v>0</v>
      </c>
      <c r="K34" s="50">
        <f ca="1">+GETPIVOTDATA("TNG4",'ngaigiao (2016)'!$A$3,"MA_HT","DYT","MA_QH","CLN")</f>
        <v>0</v>
      </c>
      <c r="L34" s="50">
        <f ca="1">+GETPIVOTDATA("TNG4",'ngaigiao (2016)'!$A$3,"MA_HT","DYT","MA_QH","RSX")</f>
        <v>0</v>
      </c>
      <c r="M34" s="50">
        <f ca="1">+GETPIVOTDATA("TNG4",'ngaigiao (2016)'!$A$3,"MA_HT","DYT","MA_QH","RPH")</f>
        <v>0</v>
      </c>
      <c r="N34" s="50">
        <f ca="1">+GETPIVOTDATA("TNG4",'ngaigiao (2016)'!$A$3,"MA_HT","DYT","MA_QH","RDD")</f>
        <v>0</v>
      </c>
      <c r="O34" s="50">
        <f ca="1">+GETPIVOTDATA("TNG4",'ngaigiao (2016)'!$A$3,"MA_HT","DYT","MA_QH","NTS")</f>
        <v>0</v>
      </c>
      <c r="P34" s="50">
        <f ca="1">+GETPIVOTDATA("TNG4",'ngaigiao (2016)'!$A$3,"MA_HT","DYT","MA_QH","LMU")</f>
        <v>0</v>
      </c>
      <c r="Q34" s="50">
        <f ca="1">+GETPIVOTDATA("TNG4",'ngaigiao (2016)'!$A$3,"MA_HT","DYT","MA_QH","NKH")</f>
        <v>0</v>
      </c>
      <c r="R34" s="48">
        <f ca="1" t="shared" si="20"/>
        <v>0</v>
      </c>
      <c r="S34" s="50">
        <f ca="1">+GETPIVOTDATA("TNG4",'ngaigiao (2016)'!$A$3,"MA_HT","DYT","MA_QH","CQP")</f>
        <v>0</v>
      </c>
      <c r="T34" s="50">
        <f ca="1">+GETPIVOTDATA("TNG4",'ngaigiao (2016)'!$A$3,"MA_HT","DYT","MA_QH","CAN")</f>
        <v>0</v>
      </c>
      <c r="U34" s="50">
        <f ca="1">+GETPIVOTDATA("TNG4",'ngaigiao (2016)'!$A$3,"MA_HT","DYT","MA_QH","SKK")</f>
        <v>0</v>
      </c>
      <c r="V34" s="50">
        <f ca="1">+GETPIVOTDATA("TNG4",'ngaigiao (2016)'!$A$3,"MA_HT","DYT","MA_QH","SKT")</f>
        <v>0</v>
      </c>
      <c r="W34" s="50">
        <f ca="1">+GETPIVOTDATA("TNG4",'ngaigiao (2016)'!$A$3,"MA_HT","DYT","MA_QH","SKN")</f>
        <v>0</v>
      </c>
      <c r="X34" s="50">
        <f ca="1">+GETPIVOTDATA("TNG4",'ngaigiao (2016)'!$A$3,"MA_HT","DYT","MA_QH","TMD")</f>
        <v>0</v>
      </c>
      <c r="Y34" s="50">
        <f ca="1">+GETPIVOTDATA("TNG4",'ngaigiao (2016)'!$A$3,"MA_HT","DYT","MA_QH","SKC")</f>
        <v>0</v>
      </c>
      <c r="Z34" s="50">
        <f ca="1">+GETPIVOTDATA("TNG4",'ngaigiao (2016)'!$A$3,"MA_HT","DYT","MA_QH","SKS")</f>
        <v>0</v>
      </c>
      <c r="AA34" s="52">
        <f ca="1">+SUM(AB34:AF34,AH34:AM34)</f>
        <v>0</v>
      </c>
      <c r="AB34" s="50">
        <f ca="1">+GETPIVOTDATA("TNG4",'ngaigiao (2016)'!$A$3,"MA_HT","DYT","MA_QH","DGT")</f>
        <v>0</v>
      </c>
      <c r="AC34" s="50">
        <f ca="1">+GETPIVOTDATA("TNG4",'ngaigiao (2016)'!$A$3,"MA_HT","DYT","MA_QH","DTL")</f>
        <v>0</v>
      </c>
      <c r="AD34" s="50">
        <f ca="1">+GETPIVOTDATA("TNG4",'ngaigiao (2016)'!$A$3,"MA_HT","DYT","MA_QH","DNL")</f>
        <v>0</v>
      </c>
      <c r="AE34" s="50">
        <f ca="1">+GETPIVOTDATA("TNG4",'ngaigiao (2016)'!$A$3,"MA_HT","DYT","MA_QH","DBV")</f>
        <v>0</v>
      </c>
      <c r="AF34" s="50">
        <f ca="1">+GETPIVOTDATA("TNG4",'ngaigiao (2016)'!$A$3,"MA_HT","DYT","MA_QH","DVH")</f>
        <v>0</v>
      </c>
      <c r="AG34" s="49" t="e">
        <f ca="1">$D34-$BF34</f>
        <v>#REF!</v>
      </c>
      <c r="AH34" s="50">
        <f ca="1">+GETPIVOTDATA("TNG4",'ngaigiao (2016)'!$A$3,"MA_HT","DYT","MA_QH","DGD")</f>
        <v>0</v>
      </c>
      <c r="AI34" s="50">
        <f ca="1">+GETPIVOTDATA("TNG4",'ngaigiao (2016)'!$A$3,"MA_HT","DYT","MA_QH","DTT")</f>
        <v>0</v>
      </c>
      <c r="AJ34" s="50">
        <f ca="1">+GETPIVOTDATA("TNG4",'ngaigiao (2016)'!$A$3,"MA_HT","DYT","MA_QH","NCK")</f>
        <v>0</v>
      </c>
      <c r="AK34" s="50">
        <f ca="1">+GETPIVOTDATA("TNG4",'ngaigiao (2016)'!$A$3,"MA_HT","DYT","MA_QH","DXH")</f>
        <v>0</v>
      </c>
      <c r="AL34" s="50">
        <f ca="1">+GETPIVOTDATA("TNG4",'ngaigiao (2016)'!$A$3,"MA_HT","DYT","MA_QH","DCH")</f>
        <v>0</v>
      </c>
      <c r="AM34" s="50">
        <f ca="1">+GETPIVOTDATA("TNG4",'ngaigiao (2016)'!$A$3,"MA_HT","DYT","MA_QH","DKG")</f>
        <v>0</v>
      </c>
      <c r="AN34" s="50">
        <f ca="1">+GETPIVOTDATA("TNG4",'ngaigiao (2016)'!$A$3,"MA_HT","DYT","MA_QH","DDT")</f>
        <v>0</v>
      </c>
      <c r="AO34" s="50">
        <f ca="1">+GETPIVOTDATA("TNG4",'ngaigiao (2016)'!$A$3,"MA_HT","DYT","MA_QH","DDL")</f>
        <v>0</v>
      </c>
      <c r="AP34" s="50">
        <f ca="1">+GETPIVOTDATA("TNG4",'ngaigiao (2016)'!$A$3,"MA_HT","DYT","MA_QH","DRA")</f>
        <v>0</v>
      </c>
      <c r="AQ34" s="50">
        <f ca="1">+GETPIVOTDATA("TNG4",'ngaigiao (2016)'!$A$3,"MA_HT","DYT","MA_QH","ONT")</f>
        <v>0</v>
      </c>
      <c r="AR34" s="50">
        <f ca="1">+GETPIVOTDATA("TNG4",'ngaigiao (2016)'!$A$3,"MA_HT","DYT","MA_QH","ODT")</f>
        <v>0</v>
      </c>
      <c r="AS34" s="50">
        <f ca="1">+GETPIVOTDATA("TNG4",'ngaigiao (2016)'!$A$3,"MA_HT","DYT","MA_QH","TSC")</f>
        <v>0</v>
      </c>
      <c r="AT34" s="50">
        <f ca="1">+GETPIVOTDATA("TNG4",'ngaigiao (2016)'!$A$3,"MA_HT","DYT","MA_QH","DTS")</f>
        <v>0</v>
      </c>
      <c r="AU34" s="50">
        <f ca="1">+GETPIVOTDATA("TNG4",'ngaigiao (2016)'!$A$3,"MA_HT","DYT","MA_QH","DNG")</f>
        <v>0</v>
      </c>
      <c r="AV34" s="50">
        <f ca="1">+GETPIVOTDATA("TNG4",'ngaigiao (2016)'!$A$3,"MA_HT","DYT","MA_QH","TON")</f>
        <v>0</v>
      </c>
      <c r="AW34" s="50">
        <f ca="1">+GETPIVOTDATA("TNG4",'ngaigiao (2016)'!$A$3,"MA_HT","DYT","MA_QH","NTD")</f>
        <v>0</v>
      </c>
      <c r="AX34" s="50">
        <f ca="1">+GETPIVOTDATA("TNG4",'ngaigiao (2016)'!$A$3,"MA_HT","DYT","MA_QH","SKX")</f>
        <v>0</v>
      </c>
      <c r="AY34" s="50">
        <f ca="1">+GETPIVOTDATA("TNG4",'ngaigiao (2016)'!$A$3,"MA_HT","DYT","MA_QH","DSH")</f>
        <v>0</v>
      </c>
      <c r="AZ34" s="50">
        <f ca="1">+GETPIVOTDATA("TNG4",'ngaigiao (2016)'!$A$3,"MA_HT","DYT","MA_QH","DKV")</f>
        <v>0</v>
      </c>
      <c r="BA34" s="88">
        <f ca="1">+GETPIVOTDATA("TNG4",'ngaigiao (2016)'!$A$3,"MA_HT","DYT","MA_QH","TIN")</f>
        <v>0</v>
      </c>
      <c r="BB34" s="50">
        <f ca="1">+GETPIVOTDATA("TNG4",'ngaigiao (2016)'!$A$3,"MA_HT","DYT","MA_QH","SON")</f>
        <v>0</v>
      </c>
      <c r="BC34" s="50">
        <f ca="1">+GETPIVOTDATA("TNG4",'ngaigiao (2016)'!$A$3,"MA_HT","DYT","MA_QH","MNC")</f>
        <v>0</v>
      </c>
      <c r="BD34" s="50">
        <f ca="1">+GETPIVOTDATA("TNG4",'ngaigiao (2016)'!$A$3,"MA_HT","DYT","MA_QH","PNK")</f>
        <v>0</v>
      </c>
      <c r="BE34" s="80">
        <f ca="1">+GETPIVOTDATA("TNG4",'ngaigiao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+GETPIVOTDATA("TNG4",'ngaigiao (2016)'!$A$3,"MA_HT","DGD","MA_QH","LUC")</f>
        <v>0</v>
      </c>
      <c r="H35" s="50">
        <f ca="1">+GETPIVOTDATA("TNG4",'ngaigiao (2016)'!$A$3,"MA_HT","DGD","MA_QH","LUK")</f>
        <v>0</v>
      </c>
      <c r="I35" s="50">
        <f ca="1">+GETPIVOTDATA("TNG4",'ngaigiao (2016)'!$A$3,"MA_HT","DGD","MA_QH","LUN")</f>
        <v>0</v>
      </c>
      <c r="J35" s="50">
        <f ca="1">+GETPIVOTDATA("TNG4",'ngaigiao (2016)'!$A$3,"MA_HT","DGD","MA_QH","HNK")</f>
        <v>0</v>
      </c>
      <c r="K35" s="50">
        <f ca="1">+GETPIVOTDATA("TNG4",'ngaigiao (2016)'!$A$3,"MA_HT","DGD","MA_QH","CLN")</f>
        <v>0</v>
      </c>
      <c r="L35" s="50">
        <f ca="1">+GETPIVOTDATA("TNG4",'ngaigiao (2016)'!$A$3,"MA_HT","DGD","MA_QH","RSX")</f>
        <v>0</v>
      </c>
      <c r="M35" s="50">
        <f ca="1">+GETPIVOTDATA("TNG4",'ngaigiao (2016)'!$A$3,"MA_HT","DGD","MA_QH","RPH")</f>
        <v>0</v>
      </c>
      <c r="N35" s="50">
        <f ca="1">+GETPIVOTDATA("TNG4",'ngaigiao (2016)'!$A$3,"MA_HT","DGD","MA_QH","RDD")</f>
        <v>0</v>
      </c>
      <c r="O35" s="50">
        <f ca="1">+GETPIVOTDATA("TNG4",'ngaigiao (2016)'!$A$3,"MA_HT","DGD","MA_QH","NTS")</f>
        <v>0</v>
      </c>
      <c r="P35" s="50">
        <f ca="1">+GETPIVOTDATA("TNG4",'ngaigiao (2016)'!$A$3,"MA_HT","DGD","MA_QH","LMU")</f>
        <v>0</v>
      </c>
      <c r="Q35" s="50">
        <f ca="1">+GETPIVOTDATA("TNG4",'ngaigiao (2016)'!$A$3,"MA_HT","DGD","MA_QH","NKH")</f>
        <v>0</v>
      </c>
      <c r="R35" s="48">
        <f ca="1" t="shared" si="20"/>
        <v>0</v>
      </c>
      <c r="S35" s="50">
        <f ca="1">+GETPIVOTDATA("TNG4",'ngaigiao (2016)'!$A$3,"MA_HT","DGD","MA_QH","CQP")</f>
        <v>0</v>
      </c>
      <c r="T35" s="50">
        <f ca="1">+GETPIVOTDATA("TNG4",'ngaigiao (2016)'!$A$3,"MA_HT","DGD","MA_QH","CAN")</f>
        <v>0</v>
      </c>
      <c r="U35" s="50">
        <f ca="1">+GETPIVOTDATA("TNG4",'ngaigiao (2016)'!$A$3,"MA_HT","DGD","MA_QH","SKK")</f>
        <v>0</v>
      </c>
      <c r="V35" s="50">
        <f ca="1">+GETPIVOTDATA("TNG4",'ngaigiao (2016)'!$A$3,"MA_HT","DGD","MA_QH","SKT")</f>
        <v>0</v>
      </c>
      <c r="W35" s="50">
        <f ca="1">+GETPIVOTDATA("TNG4",'ngaigiao (2016)'!$A$3,"MA_HT","DGD","MA_QH","SKN")</f>
        <v>0</v>
      </c>
      <c r="X35" s="50">
        <f ca="1">+GETPIVOTDATA("TNG4",'ngaigiao (2016)'!$A$3,"MA_HT","DGD","MA_QH","TMD")</f>
        <v>0</v>
      </c>
      <c r="Y35" s="50">
        <f ca="1">+GETPIVOTDATA("TNG4",'ngaigiao (2016)'!$A$3,"MA_HT","DGD","MA_QH","SKC")</f>
        <v>0</v>
      </c>
      <c r="Z35" s="50">
        <f ca="1">+GETPIVOTDATA("TNG4",'ngaigiao (2016)'!$A$3,"MA_HT","DGD","MA_QH","SKS")</f>
        <v>0</v>
      </c>
      <c r="AA35" s="52">
        <f ca="1">+SUM(AB35:AG35,AI35:AM35)</f>
        <v>0</v>
      </c>
      <c r="AB35" s="50">
        <f ca="1">+GETPIVOTDATA("TNG4",'ngaigiao (2016)'!$A$3,"MA_HT","DGD","MA_QH","DGT")</f>
        <v>0</v>
      </c>
      <c r="AC35" s="50">
        <f ca="1">+GETPIVOTDATA("TNG4",'ngaigiao (2016)'!$A$3,"MA_HT","DGD","MA_QH","DTL")</f>
        <v>0</v>
      </c>
      <c r="AD35" s="50">
        <f ca="1">+GETPIVOTDATA("TNG4",'ngaigiao (2016)'!$A$3,"MA_HT","DGD","MA_QH","DNL")</f>
        <v>0</v>
      </c>
      <c r="AE35" s="50">
        <f ca="1">+GETPIVOTDATA("TNG4",'ngaigiao (2016)'!$A$3,"MA_HT","DGD","MA_QH","DBV")</f>
        <v>0</v>
      </c>
      <c r="AF35" s="50">
        <f ca="1">+GETPIVOTDATA("TNG4",'ngaigiao (2016)'!$A$3,"MA_HT","DGD","MA_QH","DVH")</f>
        <v>0</v>
      </c>
      <c r="AG35" s="50">
        <f ca="1">+GETPIVOTDATA("TNG4",'ngaigiao (2016)'!$A$3,"MA_HT","DGD","MA_QH","DYT")</f>
        <v>0</v>
      </c>
      <c r="AH35" s="49" t="e">
        <f ca="1">$D35-$BF35</f>
        <v>#REF!</v>
      </c>
      <c r="AI35" s="50">
        <f ca="1">+GETPIVOTDATA("TNG4",'ngaigiao (2016)'!$A$3,"MA_HT","DGD","MA_QH","DTT")</f>
        <v>0</v>
      </c>
      <c r="AJ35" s="50">
        <f ca="1">+GETPIVOTDATA("TNG4",'ngaigiao (2016)'!$A$3,"MA_HT","DGD","MA_QH","NCK")</f>
        <v>0</v>
      </c>
      <c r="AK35" s="50">
        <f ca="1">+GETPIVOTDATA("TNG4",'ngaigiao (2016)'!$A$3,"MA_HT","DGD","MA_QH","DXH")</f>
        <v>0</v>
      </c>
      <c r="AL35" s="50">
        <f ca="1">+GETPIVOTDATA("TNG4",'ngaigiao (2016)'!$A$3,"MA_HT","DGD","MA_QH","DCH")</f>
        <v>0</v>
      </c>
      <c r="AM35" s="50">
        <f ca="1">+GETPIVOTDATA("TNG4",'ngaigiao (2016)'!$A$3,"MA_HT","DGD","MA_QH","DKG")</f>
        <v>0</v>
      </c>
      <c r="AN35" s="50">
        <f ca="1">+GETPIVOTDATA("TNG4",'ngaigiao (2016)'!$A$3,"MA_HT","DGD","MA_QH","DDT")</f>
        <v>0</v>
      </c>
      <c r="AO35" s="50">
        <f ca="1">+GETPIVOTDATA("TNG4",'ngaigiao (2016)'!$A$3,"MA_HT","DGD","MA_QH","DDL")</f>
        <v>0</v>
      </c>
      <c r="AP35" s="50">
        <f ca="1">+GETPIVOTDATA("TNG4",'ngaigiao (2016)'!$A$3,"MA_HT","DGD","MA_QH","DRA")</f>
        <v>0</v>
      </c>
      <c r="AQ35" s="50">
        <f ca="1">+GETPIVOTDATA("TNG4",'ngaigiao (2016)'!$A$3,"MA_HT","DGD","MA_QH","ONT")</f>
        <v>0</v>
      </c>
      <c r="AR35" s="50">
        <f ca="1">+GETPIVOTDATA("TNG4",'ngaigiao (2016)'!$A$3,"MA_HT","DGD","MA_QH","ODT")</f>
        <v>0</v>
      </c>
      <c r="AS35" s="50">
        <f ca="1">+GETPIVOTDATA("TNG4",'ngaigiao (2016)'!$A$3,"MA_HT","DGD","MA_QH","TSC")</f>
        <v>0</v>
      </c>
      <c r="AT35" s="50">
        <f ca="1">+GETPIVOTDATA("TNG4",'ngaigiao (2016)'!$A$3,"MA_HT","DGD","MA_QH","DTS")</f>
        <v>0</v>
      </c>
      <c r="AU35" s="50">
        <f ca="1">+GETPIVOTDATA("TNG4",'ngaigiao (2016)'!$A$3,"MA_HT","DGD","MA_QH","DNG")</f>
        <v>0</v>
      </c>
      <c r="AV35" s="50">
        <f ca="1">+GETPIVOTDATA("TNG4",'ngaigiao (2016)'!$A$3,"MA_HT","DGD","MA_QH","TON")</f>
        <v>0</v>
      </c>
      <c r="AW35" s="50">
        <f ca="1">+GETPIVOTDATA("TNG4",'ngaigiao (2016)'!$A$3,"MA_HT","DGD","MA_QH","NTD")</f>
        <v>0</v>
      </c>
      <c r="AX35" s="50">
        <f ca="1">+GETPIVOTDATA("TNG4",'ngaigiao (2016)'!$A$3,"MA_HT","DGD","MA_QH","SKX")</f>
        <v>0</v>
      </c>
      <c r="AY35" s="50">
        <f ca="1">+GETPIVOTDATA("TNG4",'ngaigiao (2016)'!$A$3,"MA_HT","DGD","MA_QH","DSH")</f>
        <v>0</v>
      </c>
      <c r="AZ35" s="50">
        <f ca="1">+GETPIVOTDATA("TNG4",'ngaigiao (2016)'!$A$3,"MA_HT","DGD","MA_QH","DKV")</f>
        <v>0</v>
      </c>
      <c r="BA35" s="88">
        <f ca="1">+GETPIVOTDATA("TNG4",'ngaigiao (2016)'!$A$3,"MA_HT","DGD","MA_QH","TIN")</f>
        <v>0</v>
      </c>
      <c r="BB35" s="50">
        <f ca="1">+GETPIVOTDATA("TNG4",'ngaigiao (2016)'!$A$3,"MA_HT","DGD","MA_QH","SON")</f>
        <v>0</v>
      </c>
      <c r="BC35" s="50">
        <f ca="1">+GETPIVOTDATA("TNG4",'ngaigiao (2016)'!$A$3,"MA_HT","DGD","MA_QH","MNC")</f>
        <v>0</v>
      </c>
      <c r="BD35" s="50">
        <f ca="1">+GETPIVOTDATA("TNG4",'ngaigiao (2016)'!$A$3,"MA_HT","DGD","MA_QH","PNK")</f>
        <v>0</v>
      </c>
      <c r="BE35" s="80">
        <f ca="1">+GETPIVOTDATA("TNG4",'ngaigiao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+GETPIVOTDATA("TNG4",'ngaigiao (2016)'!$A$3,"MA_HT","DTT","MA_QH","LUC")</f>
        <v>0</v>
      </c>
      <c r="H36" s="50">
        <f ca="1">+GETPIVOTDATA("TNG4",'ngaigiao (2016)'!$A$3,"MA_HT","DTT","MA_QH","LUK")</f>
        <v>0</v>
      </c>
      <c r="I36" s="50">
        <f ca="1">+GETPIVOTDATA("TNG4",'ngaigiao (2016)'!$A$3,"MA_HT","DTT","MA_QH","LUN")</f>
        <v>0</v>
      </c>
      <c r="J36" s="50">
        <f ca="1">+GETPIVOTDATA("TNG4",'ngaigiao (2016)'!$A$3,"MA_HT","DTT","MA_QH","HNK")</f>
        <v>0</v>
      </c>
      <c r="K36" s="50">
        <f ca="1">+GETPIVOTDATA("TNG4",'ngaigiao (2016)'!$A$3,"MA_HT","DTT","MA_QH","CLN")</f>
        <v>0</v>
      </c>
      <c r="L36" s="50">
        <f ca="1">+GETPIVOTDATA("TNG4",'ngaigiao (2016)'!$A$3,"MA_HT","DTT","MA_QH","RSX")</f>
        <v>0</v>
      </c>
      <c r="M36" s="50">
        <f ca="1">+GETPIVOTDATA("TNG4",'ngaigiao (2016)'!$A$3,"MA_HT","DTT","MA_QH","RPH")</f>
        <v>0</v>
      </c>
      <c r="N36" s="50">
        <f ca="1">+GETPIVOTDATA("TNG4",'ngaigiao (2016)'!$A$3,"MA_HT","DTT","MA_QH","RDD")</f>
        <v>0</v>
      </c>
      <c r="O36" s="50">
        <f ca="1">+GETPIVOTDATA("TNG4",'ngaigiao (2016)'!$A$3,"MA_HT","DTT","MA_QH","NTS")</f>
        <v>0</v>
      </c>
      <c r="P36" s="50">
        <f ca="1">+GETPIVOTDATA("TNG4",'ngaigiao (2016)'!$A$3,"MA_HT","DTT","MA_QH","LMU")</f>
        <v>0</v>
      </c>
      <c r="Q36" s="50">
        <f ca="1">+GETPIVOTDATA("TNG4",'ngaigiao (2016)'!$A$3,"MA_HT","DTT","MA_QH","NKH")</f>
        <v>0</v>
      </c>
      <c r="R36" s="48">
        <f ca="1" t="shared" si="20"/>
        <v>0</v>
      </c>
      <c r="S36" s="50">
        <f ca="1">+GETPIVOTDATA("TNG4",'ngaigiao (2016)'!$A$3,"MA_HT","DTT","MA_QH","CQP")</f>
        <v>0</v>
      </c>
      <c r="T36" s="50">
        <f ca="1">+GETPIVOTDATA("TNG4",'ngaigiao (2016)'!$A$3,"MA_HT","DTT","MA_QH","CAN")</f>
        <v>0</v>
      </c>
      <c r="U36" s="50">
        <f ca="1">+GETPIVOTDATA("TNG4",'ngaigiao (2016)'!$A$3,"MA_HT","DTT","MA_QH","SKK")</f>
        <v>0</v>
      </c>
      <c r="V36" s="50">
        <f ca="1">+GETPIVOTDATA("TNG4",'ngaigiao (2016)'!$A$3,"MA_HT","DTT","MA_QH","SKT")</f>
        <v>0</v>
      </c>
      <c r="W36" s="50">
        <f ca="1">+GETPIVOTDATA("TNG4",'ngaigiao (2016)'!$A$3,"MA_HT","DTT","MA_QH","SKN")</f>
        <v>0</v>
      </c>
      <c r="X36" s="50">
        <f ca="1">+GETPIVOTDATA("TNG4",'ngaigiao (2016)'!$A$3,"MA_HT","DTT","MA_QH","TMD")</f>
        <v>0</v>
      </c>
      <c r="Y36" s="50">
        <f ca="1">+GETPIVOTDATA("TNG4",'ngaigiao (2016)'!$A$3,"MA_HT","DTT","MA_QH","SKC")</f>
        <v>0</v>
      </c>
      <c r="Z36" s="50">
        <f ca="1">+GETPIVOTDATA("TNG4",'ngaigiao (2016)'!$A$3,"MA_HT","DTT","MA_QH","SKS")</f>
        <v>0</v>
      </c>
      <c r="AA36" s="52">
        <f ca="1">+SUM(AB36:AH36,AJ36:AM36)</f>
        <v>0</v>
      </c>
      <c r="AB36" s="50">
        <f ca="1">+GETPIVOTDATA("TNG4",'ngaigiao (2016)'!$A$3,"MA_HT","DTT","MA_QH","DGT")</f>
        <v>0</v>
      </c>
      <c r="AC36" s="50">
        <f ca="1">+GETPIVOTDATA("TNG4",'ngaigiao (2016)'!$A$3,"MA_HT","DTT","MA_QH","DTL")</f>
        <v>0</v>
      </c>
      <c r="AD36" s="50">
        <f ca="1">+GETPIVOTDATA("TNG4",'ngaigiao (2016)'!$A$3,"MA_HT","DTT","MA_QH","DNL")</f>
        <v>0</v>
      </c>
      <c r="AE36" s="50">
        <f ca="1">+GETPIVOTDATA("TNG4",'ngaigiao (2016)'!$A$3,"MA_HT","DTT","MA_QH","DBV")</f>
        <v>0</v>
      </c>
      <c r="AF36" s="50">
        <f ca="1">+GETPIVOTDATA("TNG4",'ngaigiao (2016)'!$A$3,"MA_HT","DTT","MA_QH","DVH")</f>
        <v>0</v>
      </c>
      <c r="AG36" s="50">
        <f ca="1">+GETPIVOTDATA("TNG4",'ngaigiao (2016)'!$A$3,"MA_HT","DTT","MA_QH","DYT")</f>
        <v>0</v>
      </c>
      <c r="AH36" s="50">
        <f ca="1">+GETPIVOTDATA("TNG4",'ngaigiao (2016)'!$A$3,"MA_HT","DTT","MA_QH","DGD")</f>
        <v>0</v>
      </c>
      <c r="AI36" s="49" t="e">
        <f ca="1">$D36-$BF36</f>
        <v>#REF!</v>
      </c>
      <c r="AJ36" s="50">
        <f ca="1">+GETPIVOTDATA("TNG4",'ngaigiao (2016)'!$A$3,"MA_HT","DTT","MA_QH","NCK")</f>
        <v>0</v>
      </c>
      <c r="AK36" s="50">
        <f ca="1">+GETPIVOTDATA("TNG4",'ngaigiao (2016)'!$A$3,"MA_HT","DTT","MA_QH","DXH")</f>
        <v>0</v>
      </c>
      <c r="AL36" s="50">
        <f ca="1">+GETPIVOTDATA("TNG4",'ngaigiao (2016)'!$A$3,"MA_HT","DTT","MA_QH","DCH")</f>
        <v>0</v>
      </c>
      <c r="AM36" s="50">
        <f ca="1">+GETPIVOTDATA("TNG4",'ngaigiao (2016)'!$A$3,"MA_HT","DTT","MA_QH","DKG")</f>
        <v>0</v>
      </c>
      <c r="AN36" s="50">
        <f ca="1">+GETPIVOTDATA("TNG4",'ngaigiao (2016)'!$A$3,"MA_HT","DTT","MA_QH","DDT")</f>
        <v>0</v>
      </c>
      <c r="AO36" s="50">
        <f ca="1">+GETPIVOTDATA("TNG4",'ngaigiao (2016)'!$A$3,"MA_HT","DTT","MA_QH","DDL")</f>
        <v>0</v>
      </c>
      <c r="AP36" s="50">
        <f ca="1">+GETPIVOTDATA("TNG4",'ngaigiao (2016)'!$A$3,"MA_HT","DTT","MA_QH","DRA")</f>
        <v>0</v>
      </c>
      <c r="AQ36" s="50">
        <f ca="1">+GETPIVOTDATA("TNG4",'ngaigiao (2016)'!$A$3,"MA_HT","DTT","MA_QH","ONT")</f>
        <v>0</v>
      </c>
      <c r="AR36" s="50">
        <f ca="1">+GETPIVOTDATA("TNG4",'ngaigiao (2016)'!$A$3,"MA_HT","DTT","MA_QH","ODT")</f>
        <v>0</v>
      </c>
      <c r="AS36" s="50">
        <f ca="1">+GETPIVOTDATA("TNG4",'ngaigiao (2016)'!$A$3,"MA_HT","DTT","MA_QH","TSC")</f>
        <v>0</v>
      </c>
      <c r="AT36" s="50">
        <f ca="1">+GETPIVOTDATA("TNG4",'ngaigiao (2016)'!$A$3,"MA_HT","DTT","MA_QH","DTS")</f>
        <v>0</v>
      </c>
      <c r="AU36" s="50">
        <f ca="1">+GETPIVOTDATA("TNG4",'ngaigiao (2016)'!$A$3,"MA_HT","DTT","MA_QH","DNG")</f>
        <v>0</v>
      </c>
      <c r="AV36" s="50">
        <f ca="1">+GETPIVOTDATA("TNG4",'ngaigiao (2016)'!$A$3,"MA_HT","DTT","MA_QH","TON")</f>
        <v>0</v>
      </c>
      <c r="AW36" s="50">
        <f ca="1">+GETPIVOTDATA("TNG4",'ngaigiao (2016)'!$A$3,"MA_HT","DTT","MA_QH","NTD")</f>
        <v>0</v>
      </c>
      <c r="AX36" s="50">
        <f ca="1">+GETPIVOTDATA("TNG4",'ngaigiao (2016)'!$A$3,"MA_HT","DTT","MA_QH","SKX")</f>
        <v>0</v>
      </c>
      <c r="AY36" s="50">
        <f ca="1">+GETPIVOTDATA("TNG4",'ngaigiao (2016)'!$A$3,"MA_HT","DTT","MA_QH","DSH")</f>
        <v>0</v>
      </c>
      <c r="AZ36" s="50">
        <f ca="1">+GETPIVOTDATA("TNG4",'ngaigiao (2016)'!$A$3,"MA_HT","DTT","MA_QH","DKV")</f>
        <v>0</v>
      </c>
      <c r="BA36" s="88">
        <f ca="1">+GETPIVOTDATA("TNG4",'ngaigiao (2016)'!$A$3,"MA_HT","DTT","MA_QH","TIN")</f>
        <v>0</v>
      </c>
      <c r="BB36" s="50">
        <f ca="1">+GETPIVOTDATA("TNG4",'ngaigiao (2016)'!$A$3,"MA_HT","DTT","MA_QH","SON")</f>
        <v>0</v>
      </c>
      <c r="BC36" s="50">
        <f ca="1">+GETPIVOTDATA("TNG4",'ngaigiao (2016)'!$A$3,"MA_HT","DTT","MA_QH","MNC")</f>
        <v>0</v>
      </c>
      <c r="BD36" s="50">
        <f ca="1">+GETPIVOTDATA("TNG4",'ngaigiao (2016)'!$A$3,"MA_HT","DTT","MA_QH","PNK")</f>
        <v>0</v>
      </c>
      <c r="BE36" s="80">
        <f ca="1">+GETPIVOTDATA("TNG4",'ngaigiao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+GETPIVOTDATA("TNG4",'ngaigiao (2016)'!$A$3,"MA_HT","NCK","MA_QH","LUC")</f>
        <v>0</v>
      </c>
      <c r="H37" s="50">
        <f ca="1">+GETPIVOTDATA("TNG4",'ngaigiao (2016)'!$A$3,"MA_HT","NCK","MA_QH","LUK")</f>
        <v>0</v>
      </c>
      <c r="I37" s="50">
        <f ca="1">+GETPIVOTDATA("TNG4",'ngaigiao (2016)'!$A$3,"MA_HT","NCK","MA_QH","LUN")</f>
        <v>0</v>
      </c>
      <c r="J37" s="50">
        <f ca="1">+GETPIVOTDATA("TNG4",'ngaigiao (2016)'!$A$3,"MA_HT","NCK","MA_QH","HNK")</f>
        <v>0</v>
      </c>
      <c r="K37" s="50">
        <f ca="1">+GETPIVOTDATA("TNG4",'ngaigiao (2016)'!$A$3,"MA_HT","NCK","MA_QH","CLN")</f>
        <v>0</v>
      </c>
      <c r="L37" s="50">
        <f ca="1">+GETPIVOTDATA("TNG4",'ngaigiao (2016)'!$A$3,"MA_HT","NCK","MA_QH","RSX")</f>
        <v>0</v>
      </c>
      <c r="M37" s="50">
        <f ca="1">+GETPIVOTDATA("TNG4",'ngaigiao (2016)'!$A$3,"MA_HT","NCK","MA_QH","RPH")</f>
        <v>0</v>
      </c>
      <c r="N37" s="50">
        <f ca="1">+GETPIVOTDATA("TNG4",'ngaigiao (2016)'!$A$3,"MA_HT","NCK","MA_QH","RDD")</f>
        <v>0</v>
      </c>
      <c r="O37" s="50">
        <f ca="1">+GETPIVOTDATA("TNG4",'ngaigiao (2016)'!$A$3,"MA_HT","NCK","MA_QH","NTS")</f>
        <v>0</v>
      </c>
      <c r="P37" s="50">
        <f ca="1">+GETPIVOTDATA("TNG4",'ngaigiao (2016)'!$A$3,"MA_HT","NCK","MA_QH","LMU")</f>
        <v>0</v>
      </c>
      <c r="Q37" s="50">
        <f ca="1">+GETPIVOTDATA("TNG4",'ngaigiao (2016)'!$A$3,"MA_HT","NCK","MA_QH","NKH")</f>
        <v>0</v>
      </c>
      <c r="R37" s="48">
        <f ca="1" t="shared" si="20"/>
        <v>0</v>
      </c>
      <c r="S37" s="50">
        <f ca="1">+GETPIVOTDATA("TNG4",'ngaigiao (2016)'!$A$3,"MA_HT","NCK","MA_QH","CQP")</f>
        <v>0</v>
      </c>
      <c r="T37" s="50">
        <f ca="1">+GETPIVOTDATA("TNG4",'ngaigiao (2016)'!$A$3,"MA_HT","NCK","MA_QH","CAN")</f>
        <v>0</v>
      </c>
      <c r="U37" s="50">
        <f ca="1">+GETPIVOTDATA("TNG4",'ngaigiao (2016)'!$A$3,"MA_HT","NCK","MA_QH","SKK")</f>
        <v>0</v>
      </c>
      <c r="V37" s="50">
        <f ca="1">+GETPIVOTDATA("TNG4",'ngaigiao (2016)'!$A$3,"MA_HT","NCK","MA_QH","SKT")</f>
        <v>0</v>
      </c>
      <c r="W37" s="50">
        <f ca="1">+GETPIVOTDATA("TNG4",'ngaigiao (2016)'!$A$3,"MA_HT","NCK","MA_QH","SKN")</f>
        <v>0</v>
      </c>
      <c r="X37" s="50">
        <f ca="1">+GETPIVOTDATA("TNG4",'ngaigiao (2016)'!$A$3,"MA_HT","NCK","MA_QH","TMD")</f>
        <v>0</v>
      </c>
      <c r="Y37" s="50">
        <f ca="1">+GETPIVOTDATA("TNG4",'ngaigiao (2016)'!$A$3,"MA_HT","NCK","MA_QH","SKC")</f>
        <v>0</v>
      </c>
      <c r="Z37" s="50">
        <f ca="1">+GETPIVOTDATA("TNG4",'ngaigiao (2016)'!$A$3,"MA_HT","NCK","MA_QH","SKS")</f>
        <v>0</v>
      </c>
      <c r="AA37" s="52">
        <f ca="1">+SUM(AB37:AI37,AK37:AM37)</f>
        <v>0</v>
      </c>
      <c r="AB37" s="50">
        <f ca="1">+GETPIVOTDATA("TNG4",'ngaigiao (2016)'!$A$3,"MA_HT","NCK","MA_QH","DGT")</f>
        <v>0</v>
      </c>
      <c r="AC37" s="50">
        <f ca="1">+GETPIVOTDATA("TNG4",'ngaigiao (2016)'!$A$3,"MA_HT","NCK","MA_QH","DTL")</f>
        <v>0</v>
      </c>
      <c r="AD37" s="50">
        <f ca="1">+GETPIVOTDATA("TNG4",'ngaigiao (2016)'!$A$3,"MA_HT","NCK","MA_QH","DNL")</f>
        <v>0</v>
      </c>
      <c r="AE37" s="50">
        <f ca="1">+GETPIVOTDATA("TNG4",'ngaigiao (2016)'!$A$3,"MA_HT","NCK","MA_QH","DBV")</f>
        <v>0</v>
      </c>
      <c r="AF37" s="50">
        <f ca="1">+GETPIVOTDATA("TNG4",'ngaigiao (2016)'!$A$3,"MA_HT","NCK","MA_QH","DVH")</f>
        <v>0</v>
      </c>
      <c r="AG37" s="50">
        <f ca="1">+GETPIVOTDATA("TNG4",'ngaigiao (2016)'!$A$3,"MA_HT","NCK","MA_QH","DYT")</f>
        <v>0</v>
      </c>
      <c r="AH37" s="50">
        <f ca="1">+GETPIVOTDATA("TNG4",'ngaigiao (2016)'!$A$3,"MA_HT","NCK","MA_QH","DGD")</f>
        <v>0</v>
      </c>
      <c r="AI37" s="50">
        <f ca="1">+GETPIVOTDATA("TNG4",'ngaigiao (2016)'!$A$3,"MA_HT","NCK","MA_QH","DTT")</f>
        <v>0</v>
      </c>
      <c r="AJ37" s="49" t="e">
        <f ca="1">$D37-$BF37</f>
        <v>#REF!</v>
      </c>
      <c r="AK37" s="50">
        <f ca="1">+GETPIVOTDATA("TNG4",'ngaigiao (2016)'!$A$3,"MA_HT","NCK","MA_QH","DXH")</f>
        <v>0</v>
      </c>
      <c r="AL37" s="50">
        <f ca="1">+GETPIVOTDATA("TNG4",'ngaigiao (2016)'!$A$3,"MA_HT","NCK","MA_QH","DCH")</f>
        <v>0</v>
      </c>
      <c r="AM37" s="50">
        <f ca="1">+GETPIVOTDATA("TNG4",'ngaigiao (2016)'!$A$3,"MA_HT","NCK","MA_QH","DKG")</f>
        <v>0</v>
      </c>
      <c r="AN37" s="50">
        <f ca="1">+GETPIVOTDATA("TNG4",'ngaigiao (2016)'!$A$3,"MA_HT","NCK","MA_QH","DDT")</f>
        <v>0</v>
      </c>
      <c r="AO37" s="50">
        <f ca="1">+GETPIVOTDATA("TNG4",'ngaigiao (2016)'!$A$3,"MA_HT","NCK","MA_QH","DDL")</f>
        <v>0</v>
      </c>
      <c r="AP37" s="50">
        <f ca="1">+GETPIVOTDATA("TNG4",'ngaigiao (2016)'!$A$3,"MA_HT","NCK","MA_QH","DRA")</f>
        <v>0</v>
      </c>
      <c r="AQ37" s="50">
        <f ca="1">+GETPIVOTDATA("TNG4",'ngaigiao (2016)'!$A$3,"MA_HT","NCK","MA_QH","ONT")</f>
        <v>0</v>
      </c>
      <c r="AR37" s="50">
        <f ca="1">+GETPIVOTDATA("TNG4",'ngaigiao (2016)'!$A$3,"MA_HT","NCK","MA_QH","ODT")</f>
        <v>0</v>
      </c>
      <c r="AS37" s="50">
        <f ca="1">+GETPIVOTDATA("TNG4",'ngaigiao (2016)'!$A$3,"MA_HT","NCK","MA_QH","TSC")</f>
        <v>0</v>
      </c>
      <c r="AT37" s="50">
        <f ca="1">+GETPIVOTDATA("TNG4",'ngaigiao (2016)'!$A$3,"MA_HT","NCK","MA_QH","DTS")</f>
        <v>0</v>
      </c>
      <c r="AU37" s="50">
        <f ca="1">+GETPIVOTDATA("TNG4",'ngaigiao (2016)'!$A$3,"MA_HT","NCK","MA_QH","DNG")</f>
        <v>0</v>
      </c>
      <c r="AV37" s="50">
        <f ca="1">+GETPIVOTDATA("TNG4",'ngaigiao (2016)'!$A$3,"MA_HT","NCK","MA_QH","TON")</f>
        <v>0</v>
      </c>
      <c r="AW37" s="50">
        <f ca="1">+GETPIVOTDATA("TNG4",'ngaigiao (2016)'!$A$3,"MA_HT","NCK","MA_QH","NTD")</f>
        <v>0</v>
      </c>
      <c r="AX37" s="50">
        <f ca="1">+GETPIVOTDATA("TNG4",'ngaigiao (2016)'!$A$3,"MA_HT","NCK","MA_QH","SKX")</f>
        <v>0</v>
      </c>
      <c r="AY37" s="50">
        <f ca="1">+GETPIVOTDATA("TNG4",'ngaigiao (2016)'!$A$3,"MA_HT","NCK","MA_QH","DSH")</f>
        <v>0</v>
      </c>
      <c r="AZ37" s="50">
        <f ca="1">+GETPIVOTDATA("TNG4",'ngaigiao (2016)'!$A$3,"MA_HT","NCK","MA_QH","DKV")</f>
        <v>0</v>
      </c>
      <c r="BA37" s="88">
        <f ca="1">+GETPIVOTDATA("TNG4",'ngaigiao (2016)'!$A$3,"MA_HT","NCK","MA_QH","TIN")</f>
        <v>0</v>
      </c>
      <c r="BB37" s="50">
        <f ca="1">+GETPIVOTDATA("TNG4",'ngaigiao (2016)'!$A$3,"MA_HT","NCK","MA_QH","SON")</f>
        <v>0</v>
      </c>
      <c r="BC37" s="50">
        <f ca="1">+GETPIVOTDATA("TNG4",'ngaigiao (2016)'!$A$3,"MA_HT","NCK","MA_QH","MNC")</f>
        <v>0</v>
      </c>
      <c r="BD37" s="50">
        <f ca="1">+GETPIVOTDATA("TNG4",'ngaigiao (2016)'!$A$3,"MA_HT","NCK","MA_QH","PNK")</f>
        <v>0</v>
      </c>
      <c r="BE37" s="80">
        <f ca="1">+GETPIVOTDATA("TNG4",'ngaigiao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+GETPIVOTDATA("TNG4",'ngaigiao (2016)'!$A$3,"MA_HT","DXH","MA_QH","LUC")</f>
        <v>0</v>
      </c>
      <c r="H38" s="50">
        <f ca="1">+GETPIVOTDATA("TNG4",'ngaigiao (2016)'!$A$3,"MA_HT","DXH","MA_QH","LUK")</f>
        <v>0</v>
      </c>
      <c r="I38" s="50">
        <f ca="1">+GETPIVOTDATA("TNG4",'ngaigiao (2016)'!$A$3,"MA_HT","DXH","MA_QH","LUN")</f>
        <v>0</v>
      </c>
      <c r="J38" s="50">
        <f ca="1">+GETPIVOTDATA("TNG4",'ngaigiao (2016)'!$A$3,"MA_HT","DXH","MA_QH","HNK")</f>
        <v>0</v>
      </c>
      <c r="K38" s="50">
        <f ca="1">+GETPIVOTDATA("TNG4",'ngaigiao (2016)'!$A$3,"MA_HT","DXH","MA_QH","CLN")</f>
        <v>0</v>
      </c>
      <c r="L38" s="50">
        <f ca="1">+GETPIVOTDATA("TNG4",'ngaigiao (2016)'!$A$3,"MA_HT","DXH","MA_QH","RSX")</f>
        <v>0</v>
      </c>
      <c r="M38" s="50">
        <f ca="1">+GETPIVOTDATA("TNG4",'ngaigiao (2016)'!$A$3,"MA_HT","DXH","MA_QH","RPH")</f>
        <v>0</v>
      </c>
      <c r="N38" s="50">
        <f ca="1">+GETPIVOTDATA("TNG4",'ngaigiao (2016)'!$A$3,"MA_HT","DXH","MA_QH","RDD")</f>
        <v>0</v>
      </c>
      <c r="O38" s="50">
        <f ca="1">+GETPIVOTDATA("TNG4",'ngaigiao (2016)'!$A$3,"MA_HT","DXH","MA_QH","NTS")</f>
        <v>0</v>
      </c>
      <c r="P38" s="50">
        <f ca="1">+GETPIVOTDATA("TNG4",'ngaigiao (2016)'!$A$3,"MA_HT","DXH","MA_QH","LMU")</f>
        <v>0</v>
      </c>
      <c r="Q38" s="50">
        <f ca="1">+GETPIVOTDATA("TNG4",'ngaigiao (2016)'!$A$3,"MA_HT","DXH","MA_QH","NKH")</f>
        <v>0</v>
      </c>
      <c r="R38" s="48">
        <f ca="1" t="shared" si="20"/>
        <v>0</v>
      </c>
      <c r="S38" s="50">
        <f ca="1">+GETPIVOTDATA("TNG4",'ngaigiao (2016)'!$A$3,"MA_HT","DXH","MA_QH","CQP")</f>
        <v>0</v>
      </c>
      <c r="T38" s="50">
        <f ca="1">+GETPIVOTDATA("TNG4",'ngaigiao (2016)'!$A$3,"MA_HT","DXH","MA_QH","CAN")</f>
        <v>0</v>
      </c>
      <c r="U38" s="50">
        <f ca="1">+GETPIVOTDATA("TNG4",'ngaigiao (2016)'!$A$3,"MA_HT","DXH","MA_QH","SKK")</f>
        <v>0</v>
      </c>
      <c r="V38" s="50">
        <f ca="1">+GETPIVOTDATA("TNG4",'ngaigiao (2016)'!$A$3,"MA_HT","DXH","MA_QH","SKT")</f>
        <v>0</v>
      </c>
      <c r="W38" s="50">
        <f ca="1">+GETPIVOTDATA("TNG4",'ngaigiao (2016)'!$A$3,"MA_HT","DXH","MA_QH","SKN")</f>
        <v>0</v>
      </c>
      <c r="X38" s="50">
        <f ca="1">+GETPIVOTDATA("TNG4",'ngaigiao (2016)'!$A$3,"MA_HT","DXH","MA_QH","TMD")</f>
        <v>0</v>
      </c>
      <c r="Y38" s="50">
        <f ca="1">+GETPIVOTDATA("TNG4",'ngaigiao (2016)'!$A$3,"MA_HT","DXH","MA_QH","SKC")</f>
        <v>0</v>
      </c>
      <c r="Z38" s="50">
        <f ca="1">+GETPIVOTDATA("TNG4",'ngaigiao (2016)'!$A$3,"MA_HT","DXH","MA_QH","SKS")</f>
        <v>0</v>
      </c>
      <c r="AA38" s="52">
        <f ca="1">+SUM(AB38:AJ38,AL38:AM38)</f>
        <v>0</v>
      </c>
      <c r="AB38" s="50">
        <f ca="1">+GETPIVOTDATA("TNG4",'ngaigiao (2016)'!$A$3,"MA_HT","DXH","MA_QH","DGT")</f>
        <v>0</v>
      </c>
      <c r="AC38" s="50">
        <f ca="1">+GETPIVOTDATA("TNG4",'ngaigiao (2016)'!$A$3,"MA_HT","DXH","MA_QH","DTL")</f>
        <v>0</v>
      </c>
      <c r="AD38" s="50">
        <f ca="1">+GETPIVOTDATA("TNG4",'ngaigiao (2016)'!$A$3,"MA_HT","DXH","MA_QH","DNL")</f>
        <v>0</v>
      </c>
      <c r="AE38" s="50">
        <f ca="1">+GETPIVOTDATA("TNG4",'ngaigiao (2016)'!$A$3,"MA_HT","DXH","MA_QH","DBV")</f>
        <v>0</v>
      </c>
      <c r="AF38" s="50">
        <f ca="1">+GETPIVOTDATA("TNG4",'ngaigiao (2016)'!$A$3,"MA_HT","DXH","MA_QH","DVH")</f>
        <v>0</v>
      </c>
      <c r="AG38" s="50">
        <f ca="1">+GETPIVOTDATA("TNG4",'ngaigiao (2016)'!$A$3,"MA_HT","DXH","MA_QH","DYT")</f>
        <v>0</v>
      </c>
      <c r="AH38" s="50">
        <f ca="1">+GETPIVOTDATA("TNG4",'ngaigiao (2016)'!$A$3,"MA_HT","DXH","MA_QH","DGD")</f>
        <v>0</v>
      </c>
      <c r="AI38" s="50">
        <f ca="1">+GETPIVOTDATA("TNG4",'ngaigiao (2016)'!$A$3,"MA_HT","DXH","MA_QH","DTT")</f>
        <v>0</v>
      </c>
      <c r="AJ38" s="50">
        <f ca="1">+GETPIVOTDATA("TNG4",'ngaigiao (2016)'!$A$3,"MA_HT","DXH","MA_QH","NCK")</f>
        <v>0</v>
      </c>
      <c r="AK38" s="49" t="e">
        <f ca="1">$D38-$BF38</f>
        <v>#REF!</v>
      </c>
      <c r="AL38" s="50">
        <f ca="1">+GETPIVOTDATA("TNG4",'ngaigiao (2016)'!$A$3,"MA_HT","DXH","MA_QH","DCH")</f>
        <v>0</v>
      </c>
      <c r="AM38" s="50">
        <f ca="1">+GETPIVOTDATA("TNG4",'ngaigiao (2016)'!$A$3,"MA_HT","DXH","MA_QH","DKG")</f>
        <v>0</v>
      </c>
      <c r="AN38" s="50">
        <f ca="1">+GETPIVOTDATA("TNG4",'ngaigiao (2016)'!$A$3,"MA_HT","DXH","MA_QH","DDT")</f>
        <v>0</v>
      </c>
      <c r="AO38" s="50">
        <f ca="1">+GETPIVOTDATA("TNG4",'ngaigiao (2016)'!$A$3,"MA_HT","DXH","MA_QH","DDL")</f>
        <v>0</v>
      </c>
      <c r="AP38" s="50">
        <f ca="1">+GETPIVOTDATA("TNG4",'ngaigiao (2016)'!$A$3,"MA_HT","DXH","MA_QH","DRA")</f>
        <v>0</v>
      </c>
      <c r="AQ38" s="50">
        <f ca="1">+GETPIVOTDATA("TNG4",'ngaigiao (2016)'!$A$3,"MA_HT","DXH","MA_QH","ONT")</f>
        <v>0</v>
      </c>
      <c r="AR38" s="50">
        <f ca="1">+GETPIVOTDATA("TNG4",'ngaigiao (2016)'!$A$3,"MA_HT","DXH","MA_QH","ODT")</f>
        <v>0</v>
      </c>
      <c r="AS38" s="50">
        <f ca="1">+GETPIVOTDATA("TNG4",'ngaigiao (2016)'!$A$3,"MA_HT","DXH","MA_QH","TSC")</f>
        <v>0</v>
      </c>
      <c r="AT38" s="50">
        <f ca="1">+GETPIVOTDATA("TNG4",'ngaigiao (2016)'!$A$3,"MA_HT","DXH","MA_QH","DTS")</f>
        <v>0</v>
      </c>
      <c r="AU38" s="50">
        <f ca="1">+GETPIVOTDATA("TNG4",'ngaigiao (2016)'!$A$3,"MA_HT","DXH","MA_QH","DNG")</f>
        <v>0</v>
      </c>
      <c r="AV38" s="50">
        <f ca="1">+GETPIVOTDATA("TNG4",'ngaigiao (2016)'!$A$3,"MA_HT","DXH","MA_QH","TON")</f>
        <v>0</v>
      </c>
      <c r="AW38" s="50">
        <f ca="1">+GETPIVOTDATA("TNG4",'ngaigiao (2016)'!$A$3,"MA_HT","DXH","MA_QH","NTD")</f>
        <v>0</v>
      </c>
      <c r="AX38" s="50">
        <f ca="1">+GETPIVOTDATA("TNG4",'ngaigiao (2016)'!$A$3,"MA_HT","DXH","MA_QH","SKX")</f>
        <v>0</v>
      </c>
      <c r="AY38" s="50">
        <f ca="1">+GETPIVOTDATA("TNG4",'ngaigiao (2016)'!$A$3,"MA_HT","DXH","MA_QH","DSH")</f>
        <v>0</v>
      </c>
      <c r="AZ38" s="50">
        <f ca="1">+GETPIVOTDATA("TNG4",'ngaigiao (2016)'!$A$3,"MA_HT","DXH","MA_QH","DKV")</f>
        <v>0</v>
      </c>
      <c r="BA38" s="88">
        <f ca="1">+GETPIVOTDATA("TNG4",'ngaigiao (2016)'!$A$3,"MA_HT","DXH","MA_QH","TIN")</f>
        <v>0</v>
      </c>
      <c r="BB38" s="50">
        <f ca="1">+GETPIVOTDATA("TNG4",'ngaigiao (2016)'!$A$3,"MA_HT","DXH","MA_QH","SON")</f>
        <v>0</v>
      </c>
      <c r="BC38" s="50">
        <f ca="1">+GETPIVOTDATA("TNG4",'ngaigiao (2016)'!$A$3,"MA_HT","DXH","MA_QH","MNC")</f>
        <v>0</v>
      </c>
      <c r="BD38" s="50">
        <f ca="1">+GETPIVOTDATA("TNG4",'ngaigiao (2016)'!$A$3,"MA_HT","DXH","MA_QH","PNK")</f>
        <v>0</v>
      </c>
      <c r="BE38" s="80">
        <f ca="1">+GETPIVOTDATA("TNG4",'ngaigiao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+GETPIVOTDATA("TNG4",'ngaigiao (2016)'!$A$3,"MA_HT","DCH","MA_QH","LUC")</f>
        <v>0</v>
      </c>
      <c r="H39" s="50">
        <f ca="1">+GETPIVOTDATA("TNG4",'ngaigiao (2016)'!$A$3,"MA_HT","DCH","MA_QH","LUK")</f>
        <v>0</v>
      </c>
      <c r="I39" s="50">
        <f ca="1">+GETPIVOTDATA("TNG4",'ngaigiao (2016)'!$A$3,"MA_HT","DCH","MA_QH","LUN")</f>
        <v>0</v>
      </c>
      <c r="J39" s="50">
        <f ca="1">+GETPIVOTDATA("TNG4",'ngaigiao (2016)'!$A$3,"MA_HT","DCH","MA_QH","HNK")</f>
        <v>0</v>
      </c>
      <c r="K39" s="50">
        <f ca="1">+GETPIVOTDATA("TNG4",'ngaigiao (2016)'!$A$3,"MA_HT","DCH","MA_QH","CLN")</f>
        <v>0</v>
      </c>
      <c r="L39" s="50">
        <f ca="1">+GETPIVOTDATA("TNG4",'ngaigiao (2016)'!$A$3,"MA_HT","DCH","MA_QH","RSX")</f>
        <v>0</v>
      </c>
      <c r="M39" s="50">
        <f ca="1">+GETPIVOTDATA("TNG4",'ngaigiao (2016)'!$A$3,"MA_HT","DCH","MA_QH","RPH")</f>
        <v>0</v>
      </c>
      <c r="N39" s="50">
        <f ca="1">+GETPIVOTDATA("TNG4",'ngaigiao (2016)'!$A$3,"MA_HT","DCH","MA_QH","RDD")</f>
        <v>0</v>
      </c>
      <c r="O39" s="50">
        <f ca="1">+GETPIVOTDATA("TNG4",'ngaigiao (2016)'!$A$3,"MA_HT","DCH","MA_QH","NTS")</f>
        <v>0</v>
      </c>
      <c r="P39" s="50">
        <f ca="1">+GETPIVOTDATA("TNG4",'ngaigiao (2016)'!$A$3,"MA_HT","DCH","MA_QH","LMU")</f>
        <v>0</v>
      </c>
      <c r="Q39" s="50">
        <f ca="1">+GETPIVOTDATA("TNG4",'ngaigiao (2016)'!$A$3,"MA_HT","DCH","MA_QH","NKH")</f>
        <v>0</v>
      </c>
      <c r="R39" s="48">
        <f ca="1" t="shared" si="20"/>
        <v>0</v>
      </c>
      <c r="S39" s="50">
        <f ca="1">+GETPIVOTDATA("TNG4",'ngaigiao (2016)'!$A$3,"MA_HT","DCH","MA_QH","CQP")</f>
        <v>0</v>
      </c>
      <c r="T39" s="50">
        <f ca="1">+GETPIVOTDATA("TNG4",'ngaigiao (2016)'!$A$3,"MA_HT","DCH","MA_QH","CAN")</f>
        <v>0</v>
      </c>
      <c r="U39" s="50">
        <f ca="1">+GETPIVOTDATA("TNG4",'ngaigiao (2016)'!$A$3,"MA_HT","DCH","MA_QH","SKK")</f>
        <v>0</v>
      </c>
      <c r="V39" s="50">
        <f ca="1">+GETPIVOTDATA("TNG4",'ngaigiao (2016)'!$A$3,"MA_HT","DCH","MA_QH","SKT")</f>
        <v>0</v>
      </c>
      <c r="W39" s="50">
        <f ca="1">+GETPIVOTDATA("TNG4",'ngaigiao (2016)'!$A$3,"MA_HT","DCH","MA_QH","SKN")</f>
        <v>0</v>
      </c>
      <c r="X39" s="50">
        <f ca="1">+GETPIVOTDATA("TNG4",'ngaigiao (2016)'!$A$3,"MA_HT","DCH","MA_QH","TMD")</f>
        <v>0</v>
      </c>
      <c r="Y39" s="50">
        <f ca="1">+GETPIVOTDATA("TNG4",'ngaigiao (2016)'!$A$3,"MA_HT","DCH","MA_QH","SKC")</f>
        <v>0</v>
      </c>
      <c r="Z39" s="50">
        <f ca="1">+GETPIVOTDATA("TNG4",'ngaigiao (2016)'!$A$3,"MA_HT","DCH","MA_QH","SKS")</f>
        <v>0</v>
      </c>
      <c r="AA39" s="52">
        <f ca="1">+SUM(AB39:AK39,AM39)</f>
        <v>0</v>
      </c>
      <c r="AB39" s="50">
        <f ca="1">+GETPIVOTDATA("TNG4",'ngaigiao (2016)'!$A$3,"MA_HT","DCH","MA_QH","DGT")</f>
        <v>0</v>
      </c>
      <c r="AC39" s="50">
        <f ca="1">+GETPIVOTDATA("TNG4",'ngaigiao (2016)'!$A$3,"MA_HT","DCH","MA_QH","DTL")</f>
        <v>0</v>
      </c>
      <c r="AD39" s="50">
        <f ca="1">+GETPIVOTDATA("TNG4",'ngaigiao (2016)'!$A$3,"MA_HT","DCH","MA_QH","DNL")</f>
        <v>0</v>
      </c>
      <c r="AE39" s="50">
        <f ca="1">+GETPIVOTDATA("TNG4",'ngaigiao (2016)'!$A$3,"MA_HT","DCH","MA_QH","DBV")</f>
        <v>0</v>
      </c>
      <c r="AF39" s="50">
        <f ca="1">+GETPIVOTDATA("TNG4",'ngaigiao (2016)'!$A$3,"MA_HT","DCH","MA_QH","DVH")</f>
        <v>0</v>
      </c>
      <c r="AG39" s="50">
        <f ca="1">+GETPIVOTDATA("TNG4",'ngaigiao (2016)'!$A$3,"MA_HT","DCH","MA_QH","DYT")</f>
        <v>0</v>
      </c>
      <c r="AH39" s="50">
        <f ca="1">+GETPIVOTDATA("TNG4",'ngaigiao (2016)'!$A$3,"MA_HT","DCH","MA_QH","DGD")</f>
        <v>0</v>
      </c>
      <c r="AI39" s="50">
        <f ca="1">+GETPIVOTDATA("TNG4",'ngaigiao (2016)'!$A$3,"MA_HT","DCH","MA_QH","DTT")</f>
        <v>0</v>
      </c>
      <c r="AJ39" s="50">
        <f ca="1">+GETPIVOTDATA("TNG4",'ngaigiao (2016)'!$A$3,"MA_HT","DCH","MA_QH","NCK")</f>
        <v>0</v>
      </c>
      <c r="AK39" s="50">
        <f ca="1">+GETPIVOTDATA("TNG4",'ngaigiao (2016)'!$A$3,"MA_HT","DCH","MA_QH","DXH")</f>
        <v>0</v>
      </c>
      <c r="AL39" s="49" t="e">
        <f ca="1">$D39-$BF39</f>
        <v>#REF!</v>
      </c>
      <c r="AM39" s="50">
        <f ca="1">+GETPIVOTDATA("TNG4",'ngaigiao (2016)'!$A$3,"MA_HT","DXH","MA_QH","DKG")</f>
        <v>0</v>
      </c>
      <c r="AN39" s="50">
        <f ca="1">+GETPIVOTDATA("TNG4",'ngaigiao (2016)'!$A$3,"MA_HT","DCH","MA_QH","DDT")</f>
        <v>0</v>
      </c>
      <c r="AO39" s="50">
        <f ca="1">+GETPIVOTDATA("TNG4",'ngaigiao (2016)'!$A$3,"MA_HT","DCH","MA_QH","DDL")</f>
        <v>0</v>
      </c>
      <c r="AP39" s="50">
        <f ca="1">+GETPIVOTDATA("TNG4",'ngaigiao (2016)'!$A$3,"MA_HT","DCH","MA_QH","DRA")</f>
        <v>0</v>
      </c>
      <c r="AQ39" s="50">
        <f ca="1">+GETPIVOTDATA("TNG4",'ngaigiao (2016)'!$A$3,"MA_HT","DCH","MA_QH","ONT")</f>
        <v>0</v>
      </c>
      <c r="AR39" s="50">
        <f ca="1">+GETPIVOTDATA("TNG4",'ngaigiao (2016)'!$A$3,"MA_HT","DCH","MA_QH","ODT")</f>
        <v>0</v>
      </c>
      <c r="AS39" s="50">
        <f ca="1">+GETPIVOTDATA("TNG4",'ngaigiao (2016)'!$A$3,"MA_HT","DCH","MA_QH","TSC")</f>
        <v>0</v>
      </c>
      <c r="AT39" s="50">
        <f ca="1">+GETPIVOTDATA("TNG4",'ngaigiao (2016)'!$A$3,"MA_HT","DCH","MA_QH","DTS")</f>
        <v>0</v>
      </c>
      <c r="AU39" s="50">
        <f ca="1">+GETPIVOTDATA("TNG4",'ngaigiao (2016)'!$A$3,"MA_HT","DCH","MA_QH","DNG")</f>
        <v>0</v>
      </c>
      <c r="AV39" s="50">
        <f ca="1">+GETPIVOTDATA("TNG4",'ngaigiao (2016)'!$A$3,"MA_HT","DCH","MA_QH","TON")</f>
        <v>0</v>
      </c>
      <c r="AW39" s="50">
        <f ca="1">+GETPIVOTDATA("TNG4",'ngaigiao (2016)'!$A$3,"MA_HT","DCH","MA_QH","NTD")</f>
        <v>0</v>
      </c>
      <c r="AX39" s="50">
        <f ca="1">+GETPIVOTDATA("TNG4",'ngaigiao (2016)'!$A$3,"MA_HT","DCH","MA_QH","SKX")</f>
        <v>0</v>
      </c>
      <c r="AY39" s="50">
        <f ca="1">+GETPIVOTDATA("TNG4",'ngaigiao (2016)'!$A$3,"MA_HT","DCH","MA_QH","DSH")</f>
        <v>0</v>
      </c>
      <c r="AZ39" s="50">
        <f ca="1">+GETPIVOTDATA("TNG4",'ngaigiao (2016)'!$A$3,"MA_HT","DCH","MA_QH","DKV")</f>
        <v>0</v>
      </c>
      <c r="BA39" s="88">
        <f ca="1">+GETPIVOTDATA("TNG4",'ngaigiao (2016)'!$A$3,"MA_HT","DCH","MA_QH","TIN")</f>
        <v>0</v>
      </c>
      <c r="BB39" s="50">
        <f ca="1">+GETPIVOTDATA("TNG4",'ngaigiao (2016)'!$A$3,"MA_HT","DCH","MA_QH","SON")</f>
        <v>0</v>
      </c>
      <c r="BC39" s="50">
        <f ca="1">+GETPIVOTDATA("TNG4",'ngaigiao (2016)'!$A$3,"MA_HT","DCH","MA_QH","MNC")</f>
        <v>0</v>
      </c>
      <c r="BD39" s="50">
        <f ca="1">+GETPIVOTDATA("TNG4",'ngaigiao (2016)'!$A$3,"MA_HT","DCH","MA_QH","PNK")</f>
        <v>0</v>
      </c>
      <c r="BE39" s="80">
        <f ca="1">+GETPIVOTDATA("TNG4",'ngaigiao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+GETPIVOTDATA("TNG4",'ngaigiao (2016)'!$A$3,"MA_HT","DKG","MA_QH","LUC")</f>
        <v>0</v>
      </c>
      <c r="H40" s="50">
        <f ca="1">+GETPIVOTDATA("TNG4",'ngaigiao (2016)'!$A$3,"MA_HT","DKG","MA_QH","LUK")</f>
        <v>0</v>
      </c>
      <c r="I40" s="50">
        <f ca="1">+GETPIVOTDATA("TNG4",'ngaigiao (2016)'!$A$3,"MA_HT","DKG","MA_QH","LUN")</f>
        <v>0</v>
      </c>
      <c r="J40" s="50">
        <f ca="1">+GETPIVOTDATA("TNG4",'ngaigiao (2016)'!$A$3,"MA_HT","DKG","MA_QH","HNK")</f>
        <v>0</v>
      </c>
      <c r="K40" s="50">
        <f ca="1">+GETPIVOTDATA("TNG4",'ngaigiao (2016)'!$A$3,"MA_HT","DKG","MA_QH","CLN")</f>
        <v>0</v>
      </c>
      <c r="L40" s="50">
        <f ca="1">+GETPIVOTDATA("TNG4",'ngaigiao (2016)'!$A$3,"MA_HT","DKG","MA_QH","RSX")</f>
        <v>0</v>
      </c>
      <c r="M40" s="50">
        <f ca="1">+GETPIVOTDATA("TNG4",'ngaigiao (2016)'!$A$3,"MA_HT","DKG","MA_QH","RPH")</f>
        <v>0</v>
      </c>
      <c r="N40" s="50">
        <f ca="1">+GETPIVOTDATA("TNG4",'ngaigiao (2016)'!$A$3,"MA_HT","DKG","MA_QH","RDD")</f>
        <v>0</v>
      </c>
      <c r="O40" s="50">
        <f ca="1">+GETPIVOTDATA("TNG4",'ngaigiao (2016)'!$A$3,"MA_HT","DKG","MA_QH","NTS")</f>
        <v>0</v>
      </c>
      <c r="P40" s="50">
        <f ca="1">+GETPIVOTDATA("TNG4",'ngaigiao (2016)'!$A$3,"MA_HT","DKG","MA_QH","LMU")</f>
        <v>0</v>
      </c>
      <c r="Q40" s="50">
        <f ca="1">+GETPIVOTDATA("TNG4",'ngaigiao (2016)'!$A$3,"MA_HT","DKG","MA_QH","NKH")</f>
        <v>0</v>
      </c>
      <c r="R40" s="48">
        <f ca="1" t="shared" si="20"/>
        <v>0</v>
      </c>
      <c r="S40" s="50">
        <f ca="1">+GETPIVOTDATA("TNG4",'ngaigiao (2016)'!$A$3,"MA_HT","DKG","MA_QH","CQP")</f>
        <v>0</v>
      </c>
      <c r="T40" s="50">
        <f ca="1">+GETPIVOTDATA("TNG4",'ngaigiao (2016)'!$A$3,"MA_HT","DKG","MA_QH","CAN")</f>
        <v>0</v>
      </c>
      <c r="U40" s="50">
        <f ca="1">+GETPIVOTDATA("TNG4",'ngaigiao (2016)'!$A$3,"MA_HT","DKG","MA_QH","SKK")</f>
        <v>0</v>
      </c>
      <c r="V40" s="50">
        <f ca="1">+GETPIVOTDATA("TNG4",'ngaigiao (2016)'!$A$3,"MA_HT","DKG","MA_QH","SKT")</f>
        <v>0</v>
      </c>
      <c r="W40" s="50">
        <f ca="1">+GETPIVOTDATA("TNG4",'ngaigiao (2016)'!$A$3,"MA_HT","DKG","MA_QH","SKN")</f>
        <v>0</v>
      </c>
      <c r="X40" s="50">
        <f ca="1">+GETPIVOTDATA("TNG4",'ngaigiao (2016)'!$A$3,"MA_HT","DKG","MA_QH","TMD")</f>
        <v>0</v>
      </c>
      <c r="Y40" s="50">
        <f ca="1">+GETPIVOTDATA("TNG4",'ngaigiao (2016)'!$A$3,"MA_HT","DKG","MA_QH","SKC")</f>
        <v>0</v>
      </c>
      <c r="Z40" s="50">
        <f ca="1">+GETPIVOTDATA("TNG4",'ngaigiao (2016)'!$A$3,"MA_HT","DKG","MA_QH","SKS")</f>
        <v>0</v>
      </c>
      <c r="AA40" s="52">
        <f ca="1">+SUM(AB40:AL40)</f>
        <v>0</v>
      </c>
      <c r="AB40" s="50">
        <f ca="1">+GETPIVOTDATA("TNG4",'ngaigiao (2016)'!$A$3,"MA_HT","DKG","MA_QH","DGT")</f>
        <v>0</v>
      </c>
      <c r="AC40" s="50">
        <f ca="1">+GETPIVOTDATA("TNG4",'ngaigiao (2016)'!$A$3,"MA_HT","DKG","MA_QH","DTL")</f>
        <v>0</v>
      </c>
      <c r="AD40" s="50">
        <f ca="1">+GETPIVOTDATA("TNG4",'ngaigiao (2016)'!$A$3,"MA_HT","DKG","MA_QH","DNL")</f>
        <v>0</v>
      </c>
      <c r="AE40" s="50">
        <f ca="1">+GETPIVOTDATA("TNG4",'ngaigiao (2016)'!$A$3,"MA_HT","DKG","MA_QH","DBV")</f>
        <v>0</v>
      </c>
      <c r="AF40" s="50">
        <f ca="1">+GETPIVOTDATA("TNG4",'ngaigiao (2016)'!$A$3,"MA_HT","DKG","MA_QH","DVH")</f>
        <v>0</v>
      </c>
      <c r="AG40" s="50">
        <f ca="1">+GETPIVOTDATA("TNG4",'ngaigiao (2016)'!$A$3,"MA_HT","DKG","MA_QH","DYT")</f>
        <v>0</v>
      </c>
      <c r="AH40" s="50">
        <f ca="1">+GETPIVOTDATA("TNG4",'ngaigiao (2016)'!$A$3,"MA_HT","DKG","MA_QH","DGD")</f>
        <v>0</v>
      </c>
      <c r="AI40" s="50">
        <f ca="1">+GETPIVOTDATA("TNG4",'ngaigiao (2016)'!$A$3,"MA_HT","DKG","MA_QH","DTT")</f>
        <v>0</v>
      </c>
      <c r="AJ40" s="50">
        <f ca="1">+GETPIVOTDATA("TNG4",'ngaigiao (2016)'!$A$3,"MA_HT","DKG","MA_QH","NCK")</f>
        <v>0</v>
      </c>
      <c r="AK40" s="50">
        <f ca="1">+GETPIVOTDATA("TNG4",'ngaigiao (2016)'!$A$3,"MA_HT","DKG","MA_QH","DXH")</f>
        <v>0</v>
      </c>
      <c r="AL40" s="60">
        <f ca="1">+GETPIVOTDATA("TNG4",'ngaigiao (2016)'!$A$3,"MA_HT","DDT","MA_QH","DKG")</f>
        <v>0</v>
      </c>
      <c r="AM40" s="49" t="e">
        <f ca="1">$D40-$BF40</f>
        <v>#REF!</v>
      </c>
      <c r="AN40" s="50">
        <f ca="1">+GETPIVOTDATA("TNG4",'ngaigiao (2016)'!$A$3,"MA_HT","DKG","MA_QH","DDT")</f>
        <v>0</v>
      </c>
      <c r="AO40" s="50">
        <f ca="1">+GETPIVOTDATA("TNG4",'ngaigiao (2016)'!$A$3,"MA_HT","DKG","MA_QH","DDL")</f>
        <v>0</v>
      </c>
      <c r="AP40" s="50">
        <f ca="1">+GETPIVOTDATA("TNG4",'ngaigiao (2016)'!$A$3,"MA_HT","DKG","MA_QH","DRA")</f>
        <v>0</v>
      </c>
      <c r="AQ40" s="50">
        <f ca="1">+GETPIVOTDATA("TNG4",'ngaigiao (2016)'!$A$3,"MA_HT","DKG","MA_QH","ONT")</f>
        <v>0</v>
      </c>
      <c r="AR40" s="50">
        <f ca="1">+GETPIVOTDATA("TNG4",'ngaigiao (2016)'!$A$3,"MA_HT","DKG","MA_QH","ODT")</f>
        <v>0</v>
      </c>
      <c r="AS40" s="50">
        <f ca="1">+GETPIVOTDATA("TNG4",'ngaigiao (2016)'!$A$3,"MA_HT","DKG","MA_QH","TSC")</f>
        <v>0</v>
      </c>
      <c r="AT40" s="50">
        <f ca="1">+GETPIVOTDATA("TNG4",'ngaigiao (2016)'!$A$3,"MA_HT","DKG","MA_QH","DTS")</f>
        <v>0</v>
      </c>
      <c r="AU40" s="50">
        <f ca="1">+GETPIVOTDATA("TNG4",'ngaigiao (2016)'!$A$3,"MA_HT","DKG","MA_QH","DNG")</f>
        <v>0</v>
      </c>
      <c r="AV40" s="50">
        <f ca="1">+GETPIVOTDATA("TNG4",'ngaigiao (2016)'!$A$3,"MA_HT","DKG","MA_QH","TON")</f>
        <v>0</v>
      </c>
      <c r="AW40" s="50">
        <f ca="1">+GETPIVOTDATA("TNG4",'ngaigiao (2016)'!$A$3,"MA_HT","DKG","MA_QH","NTD")</f>
        <v>0</v>
      </c>
      <c r="AX40" s="50">
        <f ca="1">+GETPIVOTDATA("TNG4",'ngaigiao (2016)'!$A$3,"MA_HT","DKG","MA_QH","SKX")</f>
        <v>0</v>
      </c>
      <c r="AY40" s="50">
        <f ca="1">+GETPIVOTDATA("TNG4",'ngaigiao (2016)'!$A$3,"MA_HT","DKG","MA_QH","DSH")</f>
        <v>0</v>
      </c>
      <c r="AZ40" s="50">
        <f ca="1">+GETPIVOTDATA("TNG4",'ngaigiao (2016)'!$A$3,"MA_HT","DKG","MA_QH","DKV")</f>
        <v>0</v>
      </c>
      <c r="BA40" s="88">
        <f ca="1">+GETPIVOTDATA("TNG4",'ngaigiao (2016)'!$A$3,"MA_HT","DKG","MA_QH","TIN")</f>
        <v>0</v>
      </c>
      <c r="BB40" s="50">
        <f ca="1">+GETPIVOTDATA("TNG4",'ngaigiao (2016)'!$A$3,"MA_HT","DKG","MA_QH","SON")</f>
        <v>0</v>
      </c>
      <c r="BC40" s="50">
        <f ca="1">+GETPIVOTDATA("TNG4",'ngaigiao (2016)'!$A$3,"MA_HT","DKG","MA_QH","MNC")</f>
        <v>0</v>
      </c>
      <c r="BD40" s="50">
        <f ca="1">+GETPIVOTDATA("TNG4",'ngaigiao (2016)'!$A$3,"MA_HT","DKG","MA_QH","PNK")</f>
        <v>0</v>
      </c>
      <c r="BE40" s="80">
        <f ca="1">+GETPIVOTDATA("TNG4",'ngaigiao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+GETPIVOTDATA("TNG4",'ngaigiao (2016)'!$A$3,"MA_HT","DDT","MA_QH","LUC")</f>
        <v>0</v>
      </c>
      <c r="H41" s="60">
        <f ca="1">+GETPIVOTDATA("TNG4",'ngaigiao (2016)'!$A$3,"MA_HT","DDT","MA_QH","LUK")</f>
        <v>0</v>
      </c>
      <c r="I41" s="60">
        <f ca="1">+GETPIVOTDATA("TNG4",'ngaigiao (2016)'!$A$3,"MA_HT","DDT","MA_QH","LUN")</f>
        <v>0</v>
      </c>
      <c r="J41" s="60">
        <f ca="1">+GETPIVOTDATA("TNG4",'ngaigiao (2016)'!$A$3,"MA_HT","DDT","MA_QH","HNK")</f>
        <v>0</v>
      </c>
      <c r="K41" s="60">
        <f ca="1">+GETPIVOTDATA("TNG4",'ngaigiao (2016)'!$A$3,"MA_HT","DDT","MA_QH","CLN")</f>
        <v>0</v>
      </c>
      <c r="L41" s="60">
        <f ca="1">+GETPIVOTDATA("TNG4",'ngaigiao (2016)'!$A$3,"MA_HT","DDT","MA_QH","RSX")</f>
        <v>0</v>
      </c>
      <c r="M41" s="60">
        <f ca="1">+GETPIVOTDATA("TNG4",'ngaigiao (2016)'!$A$3,"MA_HT","DDT","MA_QH","RPH")</f>
        <v>0</v>
      </c>
      <c r="N41" s="60">
        <f ca="1">+GETPIVOTDATA("TNG4",'ngaigiao (2016)'!$A$3,"MA_HT","DDT","MA_QH","RDD")</f>
        <v>0</v>
      </c>
      <c r="O41" s="60">
        <f ca="1">+GETPIVOTDATA("TNG4",'ngaigiao (2016)'!$A$3,"MA_HT","DDT","MA_QH","NTS")</f>
        <v>0</v>
      </c>
      <c r="P41" s="60">
        <f ca="1">+GETPIVOTDATA("TNG4",'ngaigiao (2016)'!$A$3,"MA_HT","DDT","MA_QH","LMU")</f>
        <v>0</v>
      </c>
      <c r="Q41" s="60">
        <f ca="1">+GETPIVOTDATA("TNG4",'ngaigiao (2016)'!$A$3,"MA_HT","DDT","MA_QH","NKH")</f>
        <v>0</v>
      </c>
      <c r="R41" s="78">
        <f ca="1">SUM(S41:AA41,AO41:BD41)</f>
        <v>0</v>
      </c>
      <c r="S41" s="60">
        <f ca="1">+GETPIVOTDATA("TNG4",'ngaigiao (2016)'!$A$3,"MA_HT","DDT","MA_QH","CQP")</f>
        <v>0</v>
      </c>
      <c r="T41" s="60">
        <f ca="1">+GETPIVOTDATA("TNG4",'ngaigiao (2016)'!$A$3,"MA_HT","DDT","MA_QH","CAN")</f>
        <v>0</v>
      </c>
      <c r="U41" s="60">
        <f ca="1">+GETPIVOTDATA("TNG4",'ngaigiao (2016)'!$A$3,"MA_HT","DDT","MA_QH","SKK")</f>
        <v>0</v>
      </c>
      <c r="V41" s="60">
        <f ca="1">+GETPIVOTDATA("TNG4",'ngaigiao (2016)'!$A$3,"MA_HT","DDT","MA_QH","SKT")</f>
        <v>0</v>
      </c>
      <c r="W41" s="60">
        <f ca="1">+GETPIVOTDATA("TNG4",'ngaigiao (2016)'!$A$3,"MA_HT","DDT","MA_QH","SKN")</f>
        <v>0</v>
      </c>
      <c r="X41" s="60">
        <f ca="1">+GETPIVOTDATA("TNG4",'ngaigiao (2016)'!$A$3,"MA_HT","DDT","MA_QH","TMD")</f>
        <v>0</v>
      </c>
      <c r="Y41" s="60">
        <f ca="1">+GETPIVOTDATA("TNG4",'ngaigiao (2016)'!$A$3,"MA_HT","DDT","MA_QH","SKC")</f>
        <v>0</v>
      </c>
      <c r="Z41" s="60">
        <f ca="1">+GETPIVOTDATA("TNG4",'ngaigiao (2016)'!$A$3,"MA_HT","DDT","MA_QH","SKS")</f>
        <v>0</v>
      </c>
      <c r="AA41" s="59">
        <f ca="1" t="shared" ref="AA41:AA58" si="21">+SUM(AB41:AM41)</f>
        <v>0</v>
      </c>
      <c r="AB41" s="60">
        <f ca="1">+GETPIVOTDATA("TNG4",'ngaigiao (2016)'!$A$3,"MA_HT","DDT","MA_QH","DGT")</f>
        <v>0</v>
      </c>
      <c r="AC41" s="60">
        <f ca="1">+GETPIVOTDATA("TNG4",'ngaigiao (2016)'!$A$3,"MA_HT","DDT","MA_QH","DTL")</f>
        <v>0</v>
      </c>
      <c r="AD41" s="60">
        <f ca="1">+GETPIVOTDATA("TNG4",'ngaigiao (2016)'!$A$3,"MA_HT","DDT","MA_QH","DNL")</f>
        <v>0</v>
      </c>
      <c r="AE41" s="60">
        <f ca="1">+GETPIVOTDATA("TNG4",'ngaigiao (2016)'!$A$3,"MA_HT","DDT","MA_QH","DBV")</f>
        <v>0</v>
      </c>
      <c r="AF41" s="60">
        <f ca="1">+GETPIVOTDATA("TNG4",'ngaigiao (2016)'!$A$3,"MA_HT","DDT","MA_QH","DVH")</f>
        <v>0</v>
      </c>
      <c r="AG41" s="60">
        <f ca="1">+GETPIVOTDATA("TNG4",'ngaigiao (2016)'!$A$3,"MA_HT","DDT","MA_QH","DYT")</f>
        <v>0</v>
      </c>
      <c r="AH41" s="60">
        <f ca="1">+GETPIVOTDATA("TNG4",'ngaigiao (2016)'!$A$3,"MA_HT","DDT","MA_QH","DGD")</f>
        <v>0</v>
      </c>
      <c r="AI41" s="60">
        <f ca="1">+GETPIVOTDATA("TNG4",'ngaigiao (2016)'!$A$3,"MA_HT","DDT","MA_QH","DTT")</f>
        <v>0</v>
      </c>
      <c r="AJ41" s="60">
        <f ca="1">+GETPIVOTDATA("TNG4",'ngaigiao (2016)'!$A$3,"MA_HT","DDT","MA_QH","NCK")</f>
        <v>0</v>
      </c>
      <c r="AK41" s="60">
        <f ca="1">+GETPIVOTDATA("TNG4",'ngaigiao (2016)'!$A$3,"MA_HT","DDT","MA_QH","DXH")</f>
        <v>0</v>
      </c>
      <c r="AL41" s="60">
        <f ca="1">+GETPIVOTDATA("TNG4",'ngaigiao (2016)'!$A$3,"MA_HT","DDT","MA_QH","DCH")</f>
        <v>0</v>
      </c>
      <c r="AM41" s="60">
        <f ca="1">+GETPIVOTDATA("TNG4",'ngaigiao (2016)'!$A$3,"MA_HT","DDT","MA_QH","DKG")</f>
        <v>0</v>
      </c>
      <c r="AN41" s="81" t="e">
        <f ca="1">$D41-$BF41</f>
        <v>#REF!</v>
      </c>
      <c r="AO41" s="60">
        <f ca="1">+GETPIVOTDATA("TNG4",'ngaigiao (2016)'!$A$3,"MA_HT","DDT","MA_QH","DDL")</f>
        <v>0</v>
      </c>
      <c r="AP41" s="60">
        <f ca="1">+GETPIVOTDATA("TNG4",'ngaigiao (2016)'!$A$3,"MA_HT","DDT","MA_QH","DRA")</f>
        <v>0</v>
      </c>
      <c r="AQ41" s="60">
        <f ca="1">+GETPIVOTDATA("TNG4",'ngaigiao (2016)'!$A$3,"MA_HT","DDT","MA_QH","ONT")</f>
        <v>0</v>
      </c>
      <c r="AR41" s="60">
        <f ca="1">+GETPIVOTDATA("TNG4",'ngaigiao (2016)'!$A$3,"MA_HT","DDT","MA_QH","ODT")</f>
        <v>0</v>
      </c>
      <c r="AS41" s="60">
        <f ca="1">+GETPIVOTDATA("TNG4",'ngaigiao (2016)'!$A$3,"MA_HT","DDT","MA_QH","TSC")</f>
        <v>0</v>
      </c>
      <c r="AT41" s="60">
        <f ca="1">+GETPIVOTDATA("TNG4",'ngaigiao (2016)'!$A$3,"MA_HT","DDT","MA_QH","DTS")</f>
        <v>0</v>
      </c>
      <c r="AU41" s="60">
        <f ca="1">+GETPIVOTDATA("TNG4",'ngaigiao (2016)'!$A$3,"MA_HT","DDT","MA_QH","DNG")</f>
        <v>0</v>
      </c>
      <c r="AV41" s="60">
        <f ca="1">+GETPIVOTDATA("TNG4",'ngaigiao (2016)'!$A$3,"MA_HT","DDT","MA_QH","TON")</f>
        <v>0</v>
      </c>
      <c r="AW41" s="60">
        <f ca="1">+GETPIVOTDATA("TNG4",'ngaigiao (2016)'!$A$3,"MA_HT","DDT","MA_QH","NTD")</f>
        <v>0</v>
      </c>
      <c r="AX41" s="60">
        <f ca="1">+GETPIVOTDATA("TNG4",'ngaigiao (2016)'!$A$3,"MA_HT","DDT","MA_QH","SKX")</f>
        <v>0</v>
      </c>
      <c r="AY41" s="60">
        <f ca="1">+GETPIVOTDATA("TNG4",'ngaigiao (2016)'!$A$3,"MA_HT","DDT","MA_QH","DSH")</f>
        <v>0</v>
      </c>
      <c r="AZ41" s="60">
        <f ca="1">+GETPIVOTDATA("TNG4",'ngaigiao (2016)'!$A$3,"MA_HT","DDT","MA_QH","DKV")</f>
        <v>0</v>
      </c>
      <c r="BA41" s="90">
        <f ca="1">+GETPIVOTDATA("TNG4",'ngaigiao (2016)'!$A$3,"MA_HT","DDT","MA_QH","TIN")</f>
        <v>0</v>
      </c>
      <c r="BB41" s="91">
        <f ca="1">+GETPIVOTDATA("TNG4",'ngaigiao (2016)'!$A$3,"MA_HT","DDT","MA_QH","SON")</f>
        <v>0</v>
      </c>
      <c r="BC41" s="91">
        <f ca="1">+GETPIVOTDATA("TNG4",'ngaigiao (2016)'!$A$3,"MA_HT","DDT","MA_QH","MNC")</f>
        <v>0</v>
      </c>
      <c r="BD41" s="60">
        <f ca="1">+GETPIVOTDATA("TNG4",'ngaigiao (2016)'!$A$3,"MA_HT","DDT","MA_QH","PNK")</f>
        <v>0</v>
      </c>
      <c r="BE41" s="111">
        <f ca="1">+GETPIVOTDATA("TNG4",'ngaigiao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+GETPIVOTDATA("TNG4",'ngaigiao (2016)'!$A$3,"MA_HT","DDL","MA_QH","LUC")</f>
        <v>0</v>
      </c>
      <c r="H42" s="22">
        <f ca="1">+GETPIVOTDATA("TNG4",'ngaigiao (2016)'!$A$3,"MA_HT","DDL","MA_QH","LUK")</f>
        <v>0</v>
      </c>
      <c r="I42" s="22">
        <f ca="1">+GETPIVOTDATA("TNG4",'ngaigiao (2016)'!$A$3,"MA_HT","DDL","MA_QH","LUN")</f>
        <v>0</v>
      </c>
      <c r="J42" s="22">
        <f ca="1">+GETPIVOTDATA("TNG4",'ngaigiao (2016)'!$A$3,"MA_HT","DDL","MA_QH","HNK")</f>
        <v>0</v>
      </c>
      <c r="K42" s="22">
        <f ca="1">+GETPIVOTDATA("TNG4",'ngaigiao (2016)'!$A$3,"MA_HT","DDL","MA_QH","CLN")</f>
        <v>0</v>
      </c>
      <c r="L42" s="22">
        <f ca="1">+GETPIVOTDATA("TNG4",'ngaigiao (2016)'!$A$3,"MA_HT","DDL","MA_QH","RSX")</f>
        <v>0</v>
      </c>
      <c r="M42" s="22">
        <f ca="1">+GETPIVOTDATA("TNG4",'ngaigiao (2016)'!$A$3,"MA_HT","DDL","MA_QH","RPH")</f>
        <v>0</v>
      </c>
      <c r="N42" s="22">
        <f ca="1">+GETPIVOTDATA("TNG4",'ngaigiao (2016)'!$A$3,"MA_HT","DDL","MA_QH","RDD")</f>
        <v>0</v>
      </c>
      <c r="O42" s="22">
        <f ca="1">+GETPIVOTDATA("TNG4",'ngaigiao (2016)'!$A$3,"MA_HT","DDL","MA_QH","NTS")</f>
        <v>0</v>
      </c>
      <c r="P42" s="22">
        <f ca="1">+GETPIVOTDATA("TNG4",'ngaigiao (2016)'!$A$3,"MA_HT","DDL","MA_QH","LMU")</f>
        <v>0</v>
      </c>
      <c r="Q42" s="22">
        <f ca="1">+GETPIVOTDATA("TNG4",'ngaigiao (2016)'!$A$3,"MA_HT","DDL","MA_QH","NKH")</f>
        <v>0</v>
      </c>
      <c r="R42" s="79">
        <f ca="1">SUM(S42:AA42,AN42,AP42:BD42)</f>
        <v>0</v>
      </c>
      <c r="S42" s="22">
        <f ca="1">+GETPIVOTDATA("TNG4",'ngaigiao (2016)'!$A$3,"MA_HT","DDL","MA_QH","CQP")</f>
        <v>0</v>
      </c>
      <c r="T42" s="22">
        <f ca="1">+GETPIVOTDATA("TNG4",'ngaigiao (2016)'!$A$3,"MA_HT","DDL","MA_QH","CAN")</f>
        <v>0</v>
      </c>
      <c r="U42" s="22">
        <f ca="1">+GETPIVOTDATA("TNG4",'ngaigiao (2016)'!$A$3,"MA_HT","DDL","MA_QH","SKK")</f>
        <v>0</v>
      </c>
      <c r="V42" s="22">
        <f ca="1">+GETPIVOTDATA("TNG4",'ngaigiao (2016)'!$A$3,"MA_HT","DDL","MA_QH","SKT")</f>
        <v>0</v>
      </c>
      <c r="W42" s="22">
        <f ca="1">+GETPIVOTDATA("TNG4",'ngaigiao (2016)'!$A$3,"MA_HT","DDL","MA_QH","SKN")</f>
        <v>0</v>
      </c>
      <c r="X42" s="22">
        <f ca="1">+GETPIVOTDATA("TNG4",'ngaigiao (2016)'!$A$3,"MA_HT","DDL","MA_QH","TMD")</f>
        <v>0</v>
      </c>
      <c r="Y42" s="22">
        <f ca="1">+GETPIVOTDATA("TNG4",'ngaigiao (2016)'!$A$3,"MA_HT","DDL","MA_QH","SKC")</f>
        <v>0</v>
      </c>
      <c r="Z42" s="22">
        <f ca="1">+GETPIVOTDATA("TNG4",'ngaigiao (2016)'!$A$3,"MA_HT","DDL","MA_QH","SKS")</f>
        <v>0</v>
      </c>
      <c r="AA42" s="52">
        <f ca="1" t="shared" si="21"/>
        <v>0</v>
      </c>
      <c r="AB42" s="22">
        <f ca="1">+GETPIVOTDATA("TNG4",'ngaigiao (2016)'!$A$3,"MA_HT","DDL","MA_QH","DGT")</f>
        <v>0</v>
      </c>
      <c r="AC42" s="22">
        <f ca="1">+GETPIVOTDATA("TNG4",'ngaigiao (2016)'!$A$3,"MA_HT","DDL","MA_QH","DTL")</f>
        <v>0</v>
      </c>
      <c r="AD42" s="22">
        <f ca="1">+GETPIVOTDATA("TNG4",'ngaigiao (2016)'!$A$3,"MA_HT","DDL","MA_QH","DNL")</f>
        <v>0</v>
      </c>
      <c r="AE42" s="22">
        <f ca="1">+GETPIVOTDATA("TNG4",'ngaigiao (2016)'!$A$3,"MA_HT","DDL","MA_QH","DBV")</f>
        <v>0</v>
      </c>
      <c r="AF42" s="22">
        <f ca="1">+GETPIVOTDATA("TNG4",'ngaigiao (2016)'!$A$3,"MA_HT","DDL","MA_QH","DVH")</f>
        <v>0</v>
      </c>
      <c r="AG42" s="22">
        <f ca="1">+GETPIVOTDATA("TNG4",'ngaigiao (2016)'!$A$3,"MA_HT","DDL","MA_QH","DYT")</f>
        <v>0</v>
      </c>
      <c r="AH42" s="22">
        <f ca="1">+GETPIVOTDATA("TNG4",'ngaigiao (2016)'!$A$3,"MA_HT","DDL","MA_QH","DGD")</f>
        <v>0</v>
      </c>
      <c r="AI42" s="22">
        <f ca="1">+GETPIVOTDATA("TNG4",'ngaigiao (2016)'!$A$3,"MA_HT","DDL","MA_QH","DTT")</f>
        <v>0</v>
      </c>
      <c r="AJ42" s="22">
        <f ca="1">+GETPIVOTDATA("TNG4",'ngaigiao (2016)'!$A$3,"MA_HT","DDL","MA_QH","NCK")</f>
        <v>0</v>
      </c>
      <c r="AK42" s="22">
        <f ca="1">+GETPIVOTDATA("TNG4",'ngaigiao (2016)'!$A$3,"MA_HT","DDL","MA_QH","DXH")</f>
        <v>0</v>
      </c>
      <c r="AL42" s="22">
        <f ca="1">+GETPIVOTDATA("TNG4",'ngaigiao (2016)'!$A$3,"MA_HT","DDL","MA_QH","DCH")</f>
        <v>0</v>
      </c>
      <c r="AM42" s="22">
        <f ca="1">+GETPIVOTDATA("TNG4",'ngaigiao (2016)'!$A$3,"MA_HT","DDL","MA_QH","DKG")</f>
        <v>0</v>
      </c>
      <c r="AN42" s="22">
        <f ca="1">+GETPIVOTDATA("TNG4",'ngaigiao (2016)'!$A$3,"MA_HT","DDL","MA_QH","DDT")</f>
        <v>0</v>
      </c>
      <c r="AO42" s="43" t="e">
        <f ca="1">$D42-$BF42</f>
        <v>#REF!</v>
      </c>
      <c r="AP42" s="22">
        <f ca="1">+GETPIVOTDATA("TNG4",'ngaigiao (2016)'!$A$3,"MA_HT","DDL","MA_QH","DRA")</f>
        <v>0</v>
      </c>
      <c r="AQ42" s="22">
        <f ca="1">+GETPIVOTDATA("TNG4",'ngaigiao (2016)'!$A$3,"MA_HT","DDL","MA_QH","ONT")</f>
        <v>0</v>
      </c>
      <c r="AR42" s="22">
        <f ca="1">+GETPIVOTDATA("TNG4",'ngaigiao (2016)'!$A$3,"MA_HT","DDL","MA_QH","ODT")</f>
        <v>0</v>
      </c>
      <c r="AS42" s="22">
        <f ca="1">+GETPIVOTDATA("TNG4",'ngaigiao (2016)'!$A$3,"MA_HT","DDL","MA_QH","TSC")</f>
        <v>0</v>
      </c>
      <c r="AT42" s="22">
        <f ca="1">+GETPIVOTDATA("TNG4",'ngaigiao (2016)'!$A$3,"MA_HT","DDL","MA_QH","DTS")</f>
        <v>0</v>
      </c>
      <c r="AU42" s="22">
        <f ca="1">+GETPIVOTDATA("TNG4",'ngaigiao (2016)'!$A$3,"MA_HT","DDL","MA_QH","DNG")</f>
        <v>0</v>
      </c>
      <c r="AV42" s="22">
        <f ca="1">+GETPIVOTDATA("TNG4",'ngaigiao (2016)'!$A$3,"MA_HT","DDL","MA_QH","TON")</f>
        <v>0</v>
      </c>
      <c r="AW42" s="22">
        <f ca="1">+GETPIVOTDATA("TNG4",'ngaigiao (2016)'!$A$3,"MA_HT","DDL","MA_QH","NTD")</f>
        <v>0</v>
      </c>
      <c r="AX42" s="22">
        <f ca="1">+GETPIVOTDATA("TNG4",'ngaigiao (2016)'!$A$3,"MA_HT","DDL","MA_QH","SKX")</f>
        <v>0</v>
      </c>
      <c r="AY42" s="22">
        <f ca="1">+GETPIVOTDATA("TNG4",'ngaigiao (2016)'!$A$3,"MA_HT","DDL","MA_QH","DSH")</f>
        <v>0</v>
      </c>
      <c r="AZ42" s="22">
        <f ca="1">+GETPIVOTDATA("TNG4",'ngaigiao (2016)'!$A$3,"MA_HT","DDL","MA_QH","DKV")</f>
        <v>0</v>
      </c>
      <c r="BA42" s="89">
        <f ca="1">+GETPIVOTDATA("TNG4",'ngaigiao (2016)'!$A$3,"MA_HT","DDL","MA_QH","TIN")</f>
        <v>0</v>
      </c>
      <c r="BB42" s="50">
        <f ca="1">+GETPIVOTDATA("TNG4",'ngaigiao (2016)'!$A$3,"MA_HT","DDL","MA_QH","SON")</f>
        <v>0</v>
      </c>
      <c r="BC42" s="50">
        <f ca="1">+GETPIVOTDATA("TNG4",'ngaigiao (2016)'!$A$3,"MA_HT","DDL","MA_QH","MNC")</f>
        <v>0</v>
      </c>
      <c r="BD42" s="22">
        <f ca="1">+GETPIVOTDATA("TNG4",'ngaigiao (2016)'!$A$3,"MA_HT","DDL","MA_QH","PNK")</f>
        <v>0</v>
      </c>
      <c r="BE42" s="71">
        <f ca="1">+GETPIVOTDATA("TNG4",'ngaigiao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+GETPIVOTDATA("TNG4",'ngaigiao (2016)'!$A$3,"MA_HT","DRA","MA_QH","LUC")</f>
        <v>0</v>
      </c>
      <c r="H43" s="22">
        <f ca="1">+GETPIVOTDATA("TNG4",'ngaigiao (2016)'!$A$3,"MA_HT","DRA","MA_QH","LUK")</f>
        <v>0</v>
      </c>
      <c r="I43" s="22">
        <f ca="1">+GETPIVOTDATA("TNG4",'ngaigiao (2016)'!$A$3,"MA_HT","DRA","MA_QH","LUN")</f>
        <v>0</v>
      </c>
      <c r="J43" s="22">
        <f ca="1">+GETPIVOTDATA("TNG4",'ngaigiao (2016)'!$A$3,"MA_HT","DRA","MA_QH","HNK")</f>
        <v>0</v>
      </c>
      <c r="K43" s="22">
        <f ca="1">+GETPIVOTDATA("TNG4",'ngaigiao (2016)'!$A$3,"MA_HT","DRA","MA_QH","CLN")</f>
        <v>0</v>
      </c>
      <c r="L43" s="22">
        <f ca="1">+GETPIVOTDATA("TNG4",'ngaigiao (2016)'!$A$3,"MA_HT","DRA","MA_QH","RSX")</f>
        <v>0</v>
      </c>
      <c r="M43" s="22">
        <f ca="1">+GETPIVOTDATA("TNG4",'ngaigiao (2016)'!$A$3,"MA_HT","DRA","MA_QH","RPH")</f>
        <v>0</v>
      </c>
      <c r="N43" s="22">
        <f ca="1">+GETPIVOTDATA("TNG4",'ngaigiao (2016)'!$A$3,"MA_HT","DRA","MA_QH","RDD")</f>
        <v>0</v>
      </c>
      <c r="O43" s="22">
        <f ca="1">+GETPIVOTDATA("TNG4",'ngaigiao (2016)'!$A$3,"MA_HT","DRA","MA_QH","NTS")</f>
        <v>0</v>
      </c>
      <c r="P43" s="22">
        <f ca="1">+GETPIVOTDATA("TNG4",'ngaigiao (2016)'!$A$3,"MA_HT","DRA","MA_QH","LMU")</f>
        <v>0</v>
      </c>
      <c r="Q43" s="22">
        <f ca="1">+GETPIVOTDATA("TNG4",'ngaigiao (2016)'!$A$3,"MA_HT","DRA","MA_QH","NKH")</f>
        <v>0</v>
      </c>
      <c r="R43" s="79">
        <f ca="1">SUM(S43:AA43,AN43:AO43,AQ43:BD43)</f>
        <v>0</v>
      </c>
      <c r="S43" s="22">
        <f ca="1">+GETPIVOTDATA("TNG4",'ngaigiao (2016)'!$A$3,"MA_HT","DRA","MA_QH","CQP")</f>
        <v>0</v>
      </c>
      <c r="T43" s="22">
        <f ca="1">+GETPIVOTDATA("TNG4",'ngaigiao (2016)'!$A$3,"MA_HT","DRA","MA_QH","CAN")</f>
        <v>0</v>
      </c>
      <c r="U43" s="22">
        <f ca="1">+GETPIVOTDATA("TNG4",'ngaigiao (2016)'!$A$3,"MA_HT","DRA","MA_QH","SKK")</f>
        <v>0</v>
      </c>
      <c r="V43" s="22">
        <f ca="1">+GETPIVOTDATA("TNG4",'ngaigiao (2016)'!$A$3,"MA_HT","DRA","MA_QH","SKT")</f>
        <v>0</v>
      </c>
      <c r="W43" s="22">
        <f ca="1">+GETPIVOTDATA("TNG4",'ngaigiao (2016)'!$A$3,"MA_HT","DRA","MA_QH","SKN")</f>
        <v>0</v>
      </c>
      <c r="X43" s="22">
        <f ca="1">+GETPIVOTDATA("TNG4",'ngaigiao (2016)'!$A$3,"MA_HT","DRA","MA_QH","TMD")</f>
        <v>0</v>
      </c>
      <c r="Y43" s="22">
        <f ca="1">+GETPIVOTDATA("TNG4",'ngaigiao (2016)'!$A$3,"MA_HT","DRA","MA_QH","SKC")</f>
        <v>0</v>
      </c>
      <c r="Z43" s="22">
        <f ca="1">+GETPIVOTDATA("TNG4",'ngaigiao (2016)'!$A$3,"MA_HT","DRA","MA_QH","SKS")</f>
        <v>0</v>
      </c>
      <c r="AA43" s="52">
        <f ca="1" t="shared" si="21"/>
        <v>0</v>
      </c>
      <c r="AB43" s="22">
        <f ca="1">+GETPIVOTDATA("TNG4",'ngaigiao (2016)'!$A$3,"MA_HT","DRA","MA_QH","DGT")</f>
        <v>0</v>
      </c>
      <c r="AC43" s="22">
        <f ca="1">+GETPIVOTDATA("TNG4",'ngaigiao (2016)'!$A$3,"MA_HT","DRA","MA_QH","DTL")</f>
        <v>0</v>
      </c>
      <c r="AD43" s="22">
        <f ca="1">+GETPIVOTDATA("TNG4",'ngaigiao (2016)'!$A$3,"MA_HT","DRA","MA_QH","DNL")</f>
        <v>0</v>
      </c>
      <c r="AE43" s="22">
        <f ca="1">+GETPIVOTDATA("TNG4",'ngaigiao (2016)'!$A$3,"MA_HT","DRA","MA_QH","DBV")</f>
        <v>0</v>
      </c>
      <c r="AF43" s="22">
        <f ca="1">+GETPIVOTDATA("TNG4",'ngaigiao (2016)'!$A$3,"MA_HT","DRA","MA_QH","DVH")</f>
        <v>0</v>
      </c>
      <c r="AG43" s="22">
        <f ca="1">+GETPIVOTDATA("TNG4",'ngaigiao (2016)'!$A$3,"MA_HT","DRA","MA_QH","DYT")</f>
        <v>0</v>
      </c>
      <c r="AH43" s="22">
        <f ca="1">+GETPIVOTDATA("TNG4",'ngaigiao (2016)'!$A$3,"MA_HT","DRA","MA_QH","DGD")</f>
        <v>0</v>
      </c>
      <c r="AI43" s="22">
        <f ca="1">+GETPIVOTDATA("TNG4",'ngaigiao (2016)'!$A$3,"MA_HT","DRA","MA_QH","DTT")</f>
        <v>0</v>
      </c>
      <c r="AJ43" s="22">
        <f ca="1">+GETPIVOTDATA("TNG4",'ngaigiao (2016)'!$A$3,"MA_HT","DRA","MA_QH","NCK")</f>
        <v>0</v>
      </c>
      <c r="AK43" s="22">
        <f ca="1">+GETPIVOTDATA("TNG4",'ngaigiao (2016)'!$A$3,"MA_HT","DRA","MA_QH","DXH")</f>
        <v>0</v>
      </c>
      <c r="AL43" s="22">
        <f ca="1">+GETPIVOTDATA("TNG4",'ngaigiao (2016)'!$A$3,"MA_HT","DRA","MA_QH","DCH")</f>
        <v>0</v>
      </c>
      <c r="AM43" s="22">
        <f ca="1">+GETPIVOTDATA("TNG4",'ngaigiao (2016)'!$A$3,"MA_HT","DRA","MA_QH","DKG")</f>
        <v>0</v>
      </c>
      <c r="AN43" s="22">
        <f ca="1">+GETPIVOTDATA("TNG4",'ngaigiao (2016)'!$A$3,"MA_HT","DRA","MA_QH","DDT")</f>
        <v>0</v>
      </c>
      <c r="AO43" s="22">
        <f ca="1">+GETPIVOTDATA("TNG4",'ngaigiao (2016)'!$A$3,"MA_HT","DRA","MA_QH","DDL")</f>
        <v>0</v>
      </c>
      <c r="AP43" s="43" t="e">
        <f ca="1">$D43-$BF43</f>
        <v>#REF!</v>
      </c>
      <c r="AQ43" s="22">
        <f ca="1">+GETPIVOTDATA("TNG4",'ngaigiao (2016)'!$A$3,"MA_HT","DRA","MA_QH","ONT")</f>
        <v>0</v>
      </c>
      <c r="AR43" s="22">
        <f ca="1">+GETPIVOTDATA("TNG4",'ngaigiao (2016)'!$A$3,"MA_HT","DRA","MA_QH","ODT")</f>
        <v>0</v>
      </c>
      <c r="AS43" s="22">
        <f ca="1">+GETPIVOTDATA("TNG4",'ngaigiao (2016)'!$A$3,"MA_HT","DRA","MA_QH","TSC")</f>
        <v>0</v>
      </c>
      <c r="AT43" s="22">
        <f ca="1">+GETPIVOTDATA("TNG4",'ngaigiao (2016)'!$A$3,"MA_HT","DRA","MA_QH","DTS")</f>
        <v>0</v>
      </c>
      <c r="AU43" s="22">
        <f ca="1">+GETPIVOTDATA("TNG4",'ngaigiao (2016)'!$A$3,"MA_HT","DRA","MA_QH","DNG")</f>
        <v>0</v>
      </c>
      <c r="AV43" s="22">
        <f ca="1">+GETPIVOTDATA("TNG4",'ngaigiao (2016)'!$A$3,"MA_HT","DRA","MA_QH","TON")</f>
        <v>0</v>
      </c>
      <c r="AW43" s="22">
        <f ca="1">+GETPIVOTDATA("TNG4",'ngaigiao (2016)'!$A$3,"MA_HT","DRA","MA_QH","NTD")</f>
        <v>0</v>
      </c>
      <c r="AX43" s="22">
        <f ca="1">+GETPIVOTDATA("TNG4",'ngaigiao (2016)'!$A$3,"MA_HT","DRA","MA_QH","SKX")</f>
        <v>0</v>
      </c>
      <c r="AY43" s="22">
        <f ca="1">+GETPIVOTDATA("TNG4",'ngaigiao (2016)'!$A$3,"MA_HT","DRA","MA_QH","DSH")</f>
        <v>0</v>
      </c>
      <c r="AZ43" s="22">
        <f ca="1">+GETPIVOTDATA("TNG4",'ngaigiao (2016)'!$A$3,"MA_HT","DRA","MA_QH","DKV")</f>
        <v>0</v>
      </c>
      <c r="BA43" s="89">
        <f ca="1">+GETPIVOTDATA("TNG4",'ngaigiao (2016)'!$A$3,"MA_HT","DRA","MA_QH","TIN")</f>
        <v>0</v>
      </c>
      <c r="BB43" s="50">
        <f ca="1">+GETPIVOTDATA("TNG4",'ngaigiao (2016)'!$A$3,"MA_HT","DRA","MA_QH","SON")</f>
        <v>0</v>
      </c>
      <c r="BC43" s="50">
        <f ca="1">+GETPIVOTDATA("TNG4",'ngaigiao (2016)'!$A$3,"MA_HT","DRA","MA_QH","MNC")</f>
        <v>0</v>
      </c>
      <c r="BD43" s="22">
        <f ca="1">+GETPIVOTDATA("TNG4",'ngaigiao (2016)'!$A$3,"MA_HT","DRA","MA_QH","PNK")</f>
        <v>0</v>
      </c>
      <c r="BE43" s="71">
        <f ca="1">+GETPIVOTDATA("TNG4",'ngaigiao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+GETPIVOTDATA("TNG4",'ngaigiao (2016)'!$A$3,"MA_HT","ONT","MA_QH","LUC")</f>
        <v>0</v>
      </c>
      <c r="H44" s="22">
        <f ca="1">+GETPIVOTDATA("TNG4",'ngaigiao (2016)'!$A$3,"MA_HT","ONT","MA_QH","LUK")</f>
        <v>0</v>
      </c>
      <c r="I44" s="22">
        <f ca="1">+GETPIVOTDATA("TNG4",'ngaigiao (2016)'!$A$3,"MA_HT","ONT","MA_QH","LUN")</f>
        <v>0</v>
      </c>
      <c r="J44" s="22">
        <f ca="1">+GETPIVOTDATA("TNG4",'ngaigiao (2016)'!$A$3,"MA_HT","ONT","MA_QH","HNK")</f>
        <v>0</v>
      </c>
      <c r="K44" s="22">
        <f ca="1">+GETPIVOTDATA("TNG4",'ngaigiao (2016)'!$A$3,"MA_HT","ONT","MA_QH","CLN")</f>
        <v>0</v>
      </c>
      <c r="L44" s="22">
        <f ca="1">+GETPIVOTDATA("TNG4",'ngaigiao (2016)'!$A$3,"MA_HT","ONT","MA_QH","RSX")</f>
        <v>0</v>
      </c>
      <c r="M44" s="22">
        <f ca="1">+GETPIVOTDATA("TNG4",'ngaigiao (2016)'!$A$3,"MA_HT","ONT","MA_QH","RPH")</f>
        <v>0</v>
      </c>
      <c r="N44" s="22">
        <f ca="1">+GETPIVOTDATA("TNG4",'ngaigiao (2016)'!$A$3,"MA_HT","ONT","MA_QH","RDD")</f>
        <v>0</v>
      </c>
      <c r="O44" s="22">
        <f ca="1">+GETPIVOTDATA("TNG4",'ngaigiao (2016)'!$A$3,"MA_HT","ONT","MA_QH","NTS")</f>
        <v>0</v>
      </c>
      <c r="P44" s="22">
        <f ca="1">+GETPIVOTDATA("TNG4",'ngaigiao (2016)'!$A$3,"MA_HT","ONT","MA_QH","LMU")</f>
        <v>0</v>
      </c>
      <c r="Q44" s="22">
        <f ca="1">+GETPIVOTDATA("TNG4",'ngaigiao (2016)'!$A$3,"MA_HT","ONT","MA_QH","NKH")</f>
        <v>0</v>
      </c>
      <c r="R44" s="79">
        <f ca="1">SUM(S44:AA44,AN44:AP44,AR44:BD44)</f>
        <v>0</v>
      </c>
      <c r="S44" s="22">
        <f ca="1">+GETPIVOTDATA("TNG4",'ngaigiao (2016)'!$A$3,"MA_HT","ONT","MA_QH","CQP")</f>
        <v>0</v>
      </c>
      <c r="T44" s="22">
        <f ca="1">+GETPIVOTDATA("TNG4",'ngaigiao (2016)'!$A$3,"MA_HT","ONT","MA_QH","CAN")</f>
        <v>0</v>
      </c>
      <c r="U44" s="22">
        <f ca="1">+GETPIVOTDATA("TNG4",'ngaigiao (2016)'!$A$3,"MA_HT","ONT","MA_QH","SKK")</f>
        <v>0</v>
      </c>
      <c r="V44" s="22">
        <f ca="1">+GETPIVOTDATA("TNG4",'ngaigiao (2016)'!$A$3,"MA_HT","ONT","MA_QH","SKT")</f>
        <v>0</v>
      </c>
      <c r="W44" s="22">
        <f ca="1">+GETPIVOTDATA("TNG4",'ngaigiao (2016)'!$A$3,"MA_HT","ONT","MA_QH","SKN")</f>
        <v>0</v>
      </c>
      <c r="X44" s="22">
        <f ca="1">+GETPIVOTDATA("TNG4",'ngaigiao (2016)'!$A$3,"MA_HT","ONT","MA_QH","TMD")</f>
        <v>0</v>
      </c>
      <c r="Y44" s="22">
        <f ca="1">+GETPIVOTDATA("TNG4",'ngaigiao (2016)'!$A$3,"MA_HT","ONT","MA_QH","SKC")</f>
        <v>0</v>
      </c>
      <c r="Z44" s="22">
        <f ca="1">+GETPIVOTDATA("TNG4",'ngaigiao (2016)'!$A$3,"MA_HT","ONT","MA_QH","SKS")</f>
        <v>0</v>
      </c>
      <c r="AA44" s="52">
        <f ca="1" t="shared" si="21"/>
        <v>0</v>
      </c>
      <c r="AB44" s="22">
        <f ca="1">+GETPIVOTDATA("TNG4",'ngaigiao (2016)'!$A$3,"MA_HT","ONT","MA_QH","DGT")</f>
        <v>0</v>
      </c>
      <c r="AC44" s="22">
        <f ca="1">+GETPIVOTDATA("TNG4",'ngaigiao (2016)'!$A$3,"MA_HT","ONT","MA_QH","DTL")</f>
        <v>0</v>
      </c>
      <c r="AD44" s="22">
        <f ca="1">+GETPIVOTDATA("TNG4",'ngaigiao (2016)'!$A$3,"MA_HT","ONT","MA_QH","DNL")</f>
        <v>0</v>
      </c>
      <c r="AE44" s="22">
        <f ca="1">+GETPIVOTDATA("TNG4",'ngaigiao (2016)'!$A$3,"MA_HT","ONT","MA_QH","DBV")</f>
        <v>0</v>
      </c>
      <c r="AF44" s="22">
        <f ca="1">+GETPIVOTDATA("TNG4",'ngaigiao (2016)'!$A$3,"MA_HT","ONT","MA_QH","DVH")</f>
        <v>0</v>
      </c>
      <c r="AG44" s="22">
        <f ca="1">+GETPIVOTDATA("TNG4",'ngaigiao (2016)'!$A$3,"MA_HT","ONT","MA_QH","DYT")</f>
        <v>0</v>
      </c>
      <c r="AH44" s="22">
        <f ca="1">+GETPIVOTDATA("TNG4",'ngaigiao (2016)'!$A$3,"MA_HT","ONT","MA_QH","DGD")</f>
        <v>0</v>
      </c>
      <c r="AI44" s="22">
        <f ca="1">+GETPIVOTDATA("TNG4",'ngaigiao (2016)'!$A$3,"MA_HT","ONT","MA_QH","DTT")</f>
        <v>0</v>
      </c>
      <c r="AJ44" s="22">
        <f ca="1">+GETPIVOTDATA("TNG4",'ngaigiao (2016)'!$A$3,"MA_HT","ONT","MA_QH","NCK")</f>
        <v>0</v>
      </c>
      <c r="AK44" s="22">
        <f ca="1">+GETPIVOTDATA("TNG4",'ngaigiao (2016)'!$A$3,"MA_HT","ONT","MA_QH","DXH")</f>
        <v>0</v>
      </c>
      <c r="AL44" s="22">
        <f ca="1">+GETPIVOTDATA("TNG4",'ngaigiao (2016)'!$A$3,"MA_HT","ONT","MA_QH","DCH")</f>
        <v>0</v>
      </c>
      <c r="AM44" s="22">
        <f ca="1">+GETPIVOTDATA("TNG4",'ngaigiao (2016)'!$A$3,"MA_HT","ONT","MA_QH","DKG")</f>
        <v>0</v>
      </c>
      <c r="AN44" s="22">
        <f ca="1">+GETPIVOTDATA("TNG4",'ngaigiao (2016)'!$A$3,"MA_HT","ONT","MA_QH","DDT")</f>
        <v>0</v>
      </c>
      <c r="AO44" s="22">
        <f ca="1">+GETPIVOTDATA("TNG4",'ngaigiao (2016)'!$A$3,"MA_HT","ONT","MA_QH","DDL")</f>
        <v>0</v>
      </c>
      <c r="AP44" s="22">
        <f ca="1">+GETPIVOTDATA("TNG4",'ngaigiao (2016)'!$A$3,"MA_HT","ONT","MA_QH","DRA")</f>
        <v>0</v>
      </c>
      <c r="AQ44" s="43" t="e">
        <f ca="1">$D44-$BF44</f>
        <v>#REF!</v>
      </c>
      <c r="AR44" s="22">
        <f ca="1">+GETPIVOTDATA("TNG4",'ngaigiao (2016)'!$A$3,"MA_HT","ONT","MA_QH","ODT")</f>
        <v>0</v>
      </c>
      <c r="AS44" s="22">
        <f ca="1">+GETPIVOTDATA("TNG4",'ngaigiao (2016)'!$A$3,"MA_HT","ONT","MA_QH","TSC")</f>
        <v>0</v>
      </c>
      <c r="AT44" s="22">
        <f ca="1">+GETPIVOTDATA("TNG4",'ngaigiao (2016)'!$A$3,"MA_HT","ONT","MA_QH","DTS")</f>
        <v>0</v>
      </c>
      <c r="AU44" s="22">
        <f ca="1">+GETPIVOTDATA("TNG4",'ngaigiao (2016)'!$A$3,"MA_HT","ONT","MA_QH","DNG")</f>
        <v>0</v>
      </c>
      <c r="AV44" s="22">
        <f ca="1">+GETPIVOTDATA("TNG4",'ngaigiao (2016)'!$A$3,"MA_HT","ONT","MA_QH","TON")</f>
        <v>0</v>
      </c>
      <c r="AW44" s="22">
        <f ca="1">+GETPIVOTDATA("TNG4",'ngaigiao (2016)'!$A$3,"MA_HT","ONT","MA_QH","NTD")</f>
        <v>0</v>
      </c>
      <c r="AX44" s="22">
        <f ca="1">+GETPIVOTDATA("TNG4",'ngaigiao (2016)'!$A$3,"MA_HT","ONT","MA_QH","SKX")</f>
        <v>0</v>
      </c>
      <c r="AY44" s="22">
        <f ca="1">+GETPIVOTDATA("TNG4",'ngaigiao (2016)'!$A$3,"MA_HT","ONT","MA_QH","DSH")</f>
        <v>0</v>
      </c>
      <c r="AZ44" s="22">
        <f ca="1">+GETPIVOTDATA("TNG4",'ngaigiao (2016)'!$A$3,"MA_HT","ONT","MA_QH","DKV")</f>
        <v>0</v>
      </c>
      <c r="BA44" s="89">
        <f ca="1">+GETPIVOTDATA("TNG4",'ngaigiao (2016)'!$A$3,"MA_HT","ONT","MA_QH","TIN")</f>
        <v>0</v>
      </c>
      <c r="BB44" s="50">
        <f ca="1">+GETPIVOTDATA("TNG4",'ngaigiao (2016)'!$A$3,"MA_HT","ONT","MA_QH","SON")</f>
        <v>0</v>
      </c>
      <c r="BC44" s="50">
        <f ca="1">+GETPIVOTDATA("TNG4",'ngaigiao (2016)'!$A$3,"MA_HT","ONT","MA_QH","MNC")</f>
        <v>0</v>
      </c>
      <c r="BD44" s="22">
        <f ca="1">+GETPIVOTDATA("TNG4",'ngaigiao (2016)'!$A$3,"MA_HT","ONT","MA_QH","PNK")</f>
        <v>0</v>
      </c>
      <c r="BE44" s="71">
        <f ca="1">+GETPIVOTDATA("TNG4",'ngaigiao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+GETPIVOTDATA("TNG4",'ngaigiao (2016)'!$A$3,"MA_HT","ODT","MA_QH","LUC")</f>
        <v>0</v>
      </c>
      <c r="H45" s="67">
        <f ca="1">+GETPIVOTDATA("TNG4",'ngaigiao (2016)'!$A$3,"MA_HT","ODT","MA_QH","LUK")</f>
        <v>0</v>
      </c>
      <c r="I45" s="67">
        <f ca="1">+GETPIVOTDATA("TNG4",'ngaigiao (2016)'!$A$3,"MA_HT","ODT","MA_QH","LUN")</f>
        <v>0</v>
      </c>
      <c r="J45" s="67">
        <f ca="1">+GETPIVOTDATA("TNG4",'ngaigiao (2016)'!$A$3,"MA_HT","ODT","MA_QH","HNK")</f>
        <v>0</v>
      </c>
      <c r="K45" s="67">
        <f ca="1">+GETPIVOTDATA("TNG4",'ngaigiao (2016)'!$A$3,"MA_HT","ODT","MA_QH","CLN")</f>
        <v>0</v>
      </c>
      <c r="L45" s="67">
        <f ca="1">+GETPIVOTDATA("TNG4",'ngaigiao (2016)'!$A$3,"MA_HT","ODT","MA_QH","RSX")</f>
        <v>0</v>
      </c>
      <c r="M45" s="67">
        <f ca="1">+GETPIVOTDATA("TNG4",'ngaigiao (2016)'!$A$3,"MA_HT","ODT","MA_QH","RPH")</f>
        <v>0</v>
      </c>
      <c r="N45" s="67">
        <f ca="1">+GETPIVOTDATA("TNG4",'ngaigiao (2016)'!$A$3,"MA_HT","ODT","MA_QH","RDD")</f>
        <v>0</v>
      </c>
      <c r="O45" s="67">
        <f ca="1">+GETPIVOTDATA("TNG4",'ngaigiao (2016)'!$A$3,"MA_HT","ODT","MA_QH","NTS")</f>
        <v>0</v>
      </c>
      <c r="P45" s="67">
        <f ca="1">+GETPIVOTDATA("TNG4",'ngaigiao (2016)'!$A$3,"MA_HT","ODT","MA_QH","LMU")</f>
        <v>0</v>
      </c>
      <c r="Q45" s="67">
        <f ca="1">+GETPIVOTDATA("TNG4",'ngaigiao (2016)'!$A$3,"MA_HT","ODT","MA_QH","NKH")</f>
        <v>0</v>
      </c>
      <c r="R45" s="79">
        <f ca="1">SUM(S45:AA45,AN45:AQ45,AS45:BD45)</f>
        <v>0</v>
      </c>
      <c r="S45" s="67">
        <f ca="1">+GETPIVOTDATA("TNG4",'ngaigiao (2016)'!$A$3,"MA_HT","ODT","MA_QH","CQP")</f>
        <v>0</v>
      </c>
      <c r="T45" s="67">
        <f ca="1">+GETPIVOTDATA("TNG4",'ngaigiao (2016)'!$A$3,"MA_HT","ODT","MA_QH","CAN")</f>
        <v>0</v>
      </c>
      <c r="U45" s="67">
        <f ca="1">+GETPIVOTDATA("TNG4",'ngaigiao (2016)'!$A$3,"MA_HT","ODT","MA_QH","SKK")</f>
        <v>0</v>
      </c>
      <c r="V45" s="67">
        <f ca="1">+GETPIVOTDATA("TNG4",'ngaigiao (2016)'!$A$3,"MA_HT","ODT","MA_QH","SKT")</f>
        <v>0</v>
      </c>
      <c r="W45" s="67">
        <f ca="1">+GETPIVOTDATA("TNG4",'ngaigiao (2016)'!$A$3,"MA_HT","ODT","MA_QH","SKN")</f>
        <v>0</v>
      </c>
      <c r="X45" s="67">
        <f ca="1">+GETPIVOTDATA("TNG4",'ngaigiao (2016)'!$A$3,"MA_HT","ODT","MA_QH","TMD")</f>
        <v>0</v>
      </c>
      <c r="Y45" s="67">
        <f ca="1">+GETPIVOTDATA("TNG4",'ngaigiao (2016)'!$A$3,"MA_HT","ODT","MA_QH","SKC")</f>
        <v>0</v>
      </c>
      <c r="Z45" s="67">
        <f ca="1">+GETPIVOTDATA("TNG4",'ngaigiao (2016)'!$A$3,"MA_HT","ODT","MA_QH","SKS")</f>
        <v>0</v>
      </c>
      <c r="AA45" s="66">
        <f ca="1" t="shared" si="21"/>
        <v>0</v>
      </c>
      <c r="AB45" s="67">
        <f ca="1">+GETPIVOTDATA("TNG4",'ngaigiao (2016)'!$A$3,"MA_HT","ODT","MA_QH","DGT")</f>
        <v>0</v>
      </c>
      <c r="AC45" s="67">
        <f ca="1">+GETPIVOTDATA("TNG4",'ngaigiao (2016)'!$A$3,"MA_HT","ODT","MA_QH","DTL")</f>
        <v>0</v>
      </c>
      <c r="AD45" s="67">
        <f ca="1">+GETPIVOTDATA("TNG4",'ngaigiao (2016)'!$A$3,"MA_HT","ODT","MA_QH","DNL")</f>
        <v>0</v>
      </c>
      <c r="AE45" s="67">
        <f ca="1">+GETPIVOTDATA("TNG4",'ngaigiao (2016)'!$A$3,"MA_HT","ODT","MA_QH","DBV")</f>
        <v>0</v>
      </c>
      <c r="AF45" s="67">
        <f ca="1">+GETPIVOTDATA("TNG4",'ngaigiao (2016)'!$A$3,"MA_HT","ODT","MA_QH","DVH")</f>
        <v>0</v>
      </c>
      <c r="AG45" s="67">
        <f ca="1">+GETPIVOTDATA("TNG4",'ngaigiao (2016)'!$A$3,"MA_HT","ODT","MA_QH","DYT")</f>
        <v>0</v>
      </c>
      <c r="AH45" s="67">
        <f ca="1">+GETPIVOTDATA("TNG4",'ngaigiao (2016)'!$A$3,"MA_HT","ODT","MA_QH","DGD")</f>
        <v>0</v>
      </c>
      <c r="AI45" s="67">
        <f ca="1">+GETPIVOTDATA("TNG4",'ngaigiao (2016)'!$A$3,"MA_HT","ODT","MA_QH","DTT")</f>
        <v>0</v>
      </c>
      <c r="AJ45" s="67">
        <f ca="1">+GETPIVOTDATA("TNG4",'ngaigiao (2016)'!$A$3,"MA_HT","ODT","MA_QH","NCK")</f>
        <v>0</v>
      </c>
      <c r="AK45" s="67">
        <f ca="1">+GETPIVOTDATA("TNG4",'ngaigiao (2016)'!$A$3,"MA_HT","ODT","MA_QH","DXH")</f>
        <v>0</v>
      </c>
      <c r="AL45" s="67">
        <f ca="1">+GETPIVOTDATA("TNG4",'ngaigiao (2016)'!$A$3,"MA_HT","ODT","MA_QH","DCH")</f>
        <v>0</v>
      </c>
      <c r="AM45" s="67">
        <f ca="1">+GETPIVOTDATA("TNG4",'ngaigiao (2016)'!$A$3,"MA_HT","ODT","MA_QH","DKG")</f>
        <v>0</v>
      </c>
      <c r="AN45" s="67">
        <f ca="1">+GETPIVOTDATA("TNG4",'ngaigiao (2016)'!$A$3,"MA_HT","ODT","MA_QH","DDT")</f>
        <v>0</v>
      </c>
      <c r="AO45" s="67">
        <f ca="1">+GETPIVOTDATA("TNG4",'ngaigiao (2016)'!$A$3,"MA_HT","ODT","MA_QH","DDL")</f>
        <v>0</v>
      </c>
      <c r="AP45" s="67">
        <f ca="1">+GETPIVOTDATA("TNG4",'ngaigiao (2016)'!$A$3,"MA_HT","ODT","MA_QH","DRA")</f>
        <v>0</v>
      </c>
      <c r="AQ45" s="67">
        <f ca="1">+GETPIVOTDATA("TNG4",'ngaigiao (2016)'!$A$3,"MA_HT","ODT","MA_QH","ONT")</f>
        <v>0</v>
      </c>
      <c r="AR45" s="82" t="e">
        <f ca="1">$D45-$BF45</f>
        <v>#REF!</v>
      </c>
      <c r="AS45" s="67">
        <f ca="1">+GETPIVOTDATA("TNG4",'ngaigiao (2016)'!$A$3,"MA_HT","ODT","MA_QH","TSC")</f>
        <v>0</v>
      </c>
      <c r="AT45" s="67">
        <f ca="1">+GETPIVOTDATA("TNG4",'ngaigiao (2016)'!$A$3,"MA_HT","ODT","MA_QH","DTS")</f>
        <v>0</v>
      </c>
      <c r="AU45" s="67">
        <f ca="1">+GETPIVOTDATA("TNG4",'ngaigiao (2016)'!$A$3,"MA_HT","ODT","MA_QH","DNG")</f>
        <v>0</v>
      </c>
      <c r="AV45" s="67">
        <f ca="1">+GETPIVOTDATA("TNG4",'ngaigiao (2016)'!$A$3,"MA_HT","ODT","MA_QH","TON")</f>
        <v>0</v>
      </c>
      <c r="AW45" s="67">
        <f ca="1">+GETPIVOTDATA("TNG4",'ngaigiao (2016)'!$A$3,"MA_HT","ODT","MA_QH","NTD")</f>
        <v>0</v>
      </c>
      <c r="AX45" s="67">
        <f ca="1">+GETPIVOTDATA("TNG4",'ngaigiao (2016)'!$A$3,"MA_HT","ODT","MA_QH","SKX")</f>
        <v>0</v>
      </c>
      <c r="AY45" s="67">
        <f ca="1">+GETPIVOTDATA("TNG4",'ngaigiao (2016)'!$A$3,"MA_HT","ODT","MA_QH","DSH")</f>
        <v>0</v>
      </c>
      <c r="AZ45" s="67">
        <f ca="1">+GETPIVOTDATA("TNG4",'ngaigiao (2016)'!$A$3,"MA_HT","ODT","MA_QH","DKV")</f>
        <v>0</v>
      </c>
      <c r="BA45" s="92">
        <f ca="1">+GETPIVOTDATA("TNG4",'ngaigiao (2016)'!$A$3,"MA_HT","ODT","MA_QH","TIN")</f>
        <v>0</v>
      </c>
      <c r="BB45" s="93">
        <f ca="1">+GETPIVOTDATA("TNG4",'ngaigiao (2016)'!$A$3,"MA_HT","ODT","MA_QH","SON")</f>
        <v>0</v>
      </c>
      <c r="BC45" s="93">
        <f ca="1">+GETPIVOTDATA("TNG4",'ngaigiao (2016)'!$A$3,"MA_HT","ODT","MA_QH","MNC")</f>
        <v>0</v>
      </c>
      <c r="BD45" s="67">
        <f ca="1">+GETPIVOTDATA("TNG4",'ngaigiao (2016)'!$A$3,"MA_HT","ODT","MA_QH","PNK")</f>
        <v>0</v>
      </c>
      <c r="BE45" s="116">
        <f ca="1">+GETPIVOTDATA("TNG4",'ngaigiao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+GETPIVOTDATA("TNG4",'ngaigiao (2016)'!$A$3,"MA_HT","TSC","MA_QH","LUC")</f>
        <v>0</v>
      </c>
      <c r="H46" s="22">
        <f ca="1">+GETPIVOTDATA("TNG4",'ngaigiao (2016)'!$A$3,"MA_HT","TSC","MA_QH","LUK")</f>
        <v>0</v>
      </c>
      <c r="I46" s="22">
        <f ca="1">+GETPIVOTDATA("TNG4",'ngaigiao (2016)'!$A$3,"MA_HT","TSC","MA_QH","LUN")</f>
        <v>0</v>
      </c>
      <c r="J46" s="22">
        <f ca="1">+GETPIVOTDATA("TNG4",'ngaigiao (2016)'!$A$3,"MA_HT","TSC","MA_QH","HNK")</f>
        <v>0</v>
      </c>
      <c r="K46" s="22">
        <f ca="1">+GETPIVOTDATA("TNG4",'ngaigiao (2016)'!$A$3,"MA_HT","TSC","MA_QH","CLN")</f>
        <v>0</v>
      </c>
      <c r="L46" s="22">
        <f ca="1">+GETPIVOTDATA("TNG4",'ngaigiao (2016)'!$A$3,"MA_HT","TSC","MA_QH","RSX")</f>
        <v>0</v>
      </c>
      <c r="M46" s="22">
        <f ca="1">+GETPIVOTDATA("TNG4",'ngaigiao (2016)'!$A$3,"MA_HT","TSC","MA_QH","RPH")</f>
        <v>0</v>
      </c>
      <c r="N46" s="22">
        <f ca="1">+GETPIVOTDATA("TNG4",'ngaigiao (2016)'!$A$3,"MA_HT","TSC","MA_QH","RDD")</f>
        <v>0</v>
      </c>
      <c r="O46" s="22">
        <f ca="1">+GETPIVOTDATA("TNG4",'ngaigiao (2016)'!$A$3,"MA_HT","TSC","MA_QH","NTS")</f>
        <v>0</v>
      </c>
      <c r="P46" s="22">
        <f ca="1">+GETPIVOTDATA("TNG4",'ngaigiao (2016)'!$A$3,"MA_HT","TSC","MA_QH","LMU")</f>
        <v>0</v>
      </c>
      <c r="Q46" s="22">
        <f ca="1">+GETPIVOTDATA("TNG4",'ngaigiao (2016)'!$A$3,"MA_HT","TSC","MA_QH","NKH")</f>
        <v>0</v>
      </c>
      <c r="R46" s="48">
        <f ca="1">SUM(S46:AA46,AN46:AR46,AT46:BD46)</f>
        <v>0</v>
      </c>
      <c r="S46" s="22">
        <f ca="1">+GETPIVOTDATA("TNG4",'ngaigiao (2016)'!$A$3,"MA_HT","TSC","MA_QH","CQP")</f>
        <v>0</v>
      </c>
      <c r="T46" s="22">
        <f ca="1">+GETPIVOTDATA("TNG4",'ngaigiao (2016)'!$A$3,"MA_HT","TSC","MA_QH","CAN")</f>
        <v>0</v>
      </c>
      <c r="U46" s="22">
        <f ca="1">+GETPIVOTDATA("TNG4",'ngaigiao (2016)'!$A$3,"MA_HT","TSC","MA_QH","SKK")</f>
        <v>0</v>
      </c>
      <c r="V46" s="22">
        <f ca="1">+GETPIVOTDATA("TNG4",'ngaigiao (2016)'!$A$3,"MA_HT","TSC","MA_QH","SKT")</f>
        <v>0</v>
      </c>
      <c r="W46" s="22">
        <f ca="1">+GETPIVOTDATA("TNG4",'ngaigiao (2016)'!$A$3,"MA_HT","TSC","MA_QH","SKN")</f>
        <v>0</v>
      </c>
      <c r="X46" s="22">
        <f ca="1">+GETPIVOTDATA("TNG4",'ngaigiao (2016)'!$A$3,"MA_HT","TSC","MA_QH","TMD")</f>
        <v>0</v>
      </c>
      <c r="Y46" s="22">
        <f ca="1">+GETPIVOTDATA("TNG4",'ngaigiao (2016)'!$A$3,"MA_HT","TSC","MA_QH","SKC")</f>
        <v>0</v>
      </c>
      <c r="Z46" s="22">
        <f ca="1">+GETPIVOTDATA("TNG4",'ngaigiao (2016)'!$A$3,"MA_HT","TSC","MA_QH","SKS")</f>
        <v>0</v>
      </c>
      <c r="AA46" s="52">
        <f ca="1" t="shared" si="21"/>
        <v>0</v>
      </c>
      <c r="AB46" s="22">
        <f ca="1">+GETPIVOTDATA("TNG4",'ngaigiao (2016)'!$A$3,"MA_HT","TSC","MA_QH","DGT")</f>
        <v>0</v>
      </c>
      <c r="AC46" s="22">
        <f ca="1">+GETPIVOTDATA("TNG4",'ngaigiao (2016)'!$A$3,"MA_HT","TSC","MA_QH","DTL")</f>
        <v>0</v>
      </c>
      <c r="AD46" s="22">
        <f ca="1">+GETPIVOTDATA("TNG4",'ngaigiao (2016)'!$A$3,"MA_HT","TSC","MA_QH","DNL")</f>
        <v>0</v>
      </c>
      <c r="AE46" s="22">
        <f ca="1">+GETPIVOTDATA("TNG4",'ngaigiao (2016)'!$A$3,"MA_HT","TSC","MA_QH","DBV")</f>
        <v>0</v>
      </c>
      <c r="AF46" s="22">
        <f ca="1">+GETPIVOTDATA("TNG4",'ngaigiao (2016)'!$A$3,"MA_HT","TSC","MA_QH","DVH")</f>
        <v>0</v>
      </c>
      <c r="AG46" s="22">
        <f ca="1">+GETPIVOTDATA("TNG4",'ngaigiao (2016)'!$A$3,"MA_HT","TSC","MA_QH","DYT")</f>
        <v>0</v>
      </c>
      <c r="AH46" s="22">
        <f ca="1">+GETPIVOTDATA("TNG4",'ngaigiao (2016)'!$A$3,"MA_HT","TSC","MA_QH","DGD")</f>
        <v>0</v>
      </c>
      <c r="AI46" s="22">
        <f ca="1">+GETPIVOTDATA("TNG4",'ngaigiao (2016)'!$A$3,"MA_HT","TSC","MA_QH","DTT")</f>
        <v>0</v>
      </c>
      <c r="AJ46" s="22">
        <f ca="1">+GETPIVOTDATA("TNG4",'ngaigiao (2016)'!$A$3,"MA_HT","TSC","MA_QH","NCK")</f>
        <v>0</v>
      </c>
      <c r="AK46" s="22">
        <f ca="1">+GETPIVOTDATA("TNG4",'ngaigiao (2016)'!$A$3,"MA_HT","TSC","MA_QH","DXH")</f>
        <v>0</v>
      </c>
      <c r="AL46" s="22">
        <f ca="1">+GETPIVOTDATA("TNG4",'ngaigiao (2016)'!$A$3,"MA_HT","TSC","MA_QH","DCH")</f>
        <v>0</v>
      </c>
      <c r="AM46" s="22">
        <f ca="1">+GETPIVOTDATA("TNG4",'ngaigiao (2016)'!$A$3,"MA_HT","TSC","MA_QH","DKG")</f>
        <v>0</v>
      </c>
      <c r="AN46" s="22">
        <f ca="1">+GETPIVOTDATA("TNG4",'ngaigiao (2016)'!$A$3,"MA_HT","TSC","MA_QH","DDT")</f>
        <v>0</v>
      </c>
      <c r="AO46" s="22">
        <f ca="1">+GETPIVOTDATA("TNG4",'ngaigiao (2016)'!$A$3,"MA_HT","TSC","MA_QH","DDL")</f>
        <v>0</v>
      </c>
      <c r="AP46" s="22">
        <f ca="1">+GETPIVOTDATA("TNG4",'ngaigiao (2016)'!$A$3,"MA_HT","TSC","MA_QH","DRA")</f>
        <v>0</v>
      </c>
      <c r="AQ46" s="22">
        <f ca="1">+GETPIVOTDATA("TNG4",'ngaigiao (2016)'!$A$3,"MA_HT","TSC","MA_QH","ONT")</f>
        <v>0</v>
      </c>
      <c r="AR46" s="22">
        <f ca="1">+GETPIVOTDATA("TNG4",'ngaigiao (2016)'!$A$3,"MA_HT","TSC","MA_QH","ODT")</f>
        <v>0</v>
      </c>
      <c r="AS46" s="43" t="e">
        <f ca="1">$D46-$BF46</f>
        <v>#REF!</v>
      </c>
      <c r="AT46" s="22">
        <f ca="1">+GETPIVOTDATA("TNG4",'ngaigiao (2016)'!$A$3,"MA_HT","TSC","MA_QH","DTS")</f>
        <v>0</v>
      </c>
      <c r="AU46" s="22">
        <f ca="1">+GETPIVOTDATA("TNG4",'ngaigiao (2016)'!$A$3,"MA_HT","TSC","MA_QH","DNG")</f>
        <v>0</v>
      </c>
      <c r="AV46" s="22">
        <f ca="1">+GETPIVOTDATA("TNG4",'ngaigiao (2016)'!$A$3,"MA_HT","TSC","MA_QH","TON")</f>
        <v>0</v>
      </c>
      <c r="AW46" s="22">
        <f ca="1">+GETPIVOTDATA("TNG4",'ngaigiao (2016)'!$A$3,"MA_HT","TSC","MA_QH","NTD")</f>
        <v>0</v>
      </c>
      <c r="AX46" s="22">
        <f ca="1">+GETPIVOTDATA("TNG4",'ngaigiao (2016)'!$A$3,"MA_HT","TSC","MA_QH","SKX")</f>
        <v>0</v>
      </c>
      <c r="AY46" s="22">
        <f ca="1">+GETPIVOTDATA("TNG4",'ngaigiao (2016)'!$A$3,"MA_HT","TSC","MA_QH","DSH")</f>
        <v>0</v>
      </c>
      <c r="AZ46" s="22">
        <f ca="1">+GETPIVOTDATA("TNG4",'ngaigiao (2016)'!$A$3,"MA_HT","TSC","MA_QH","DKV")</f>
        <v>0</v>
      </c>
      <c r="BA46" s="89">
        <f ca="1">+GETPIVOTDATA("TNG4",'ngaigiao (2016)'!$A$3,"MA_HT","TSC","MA_QH","TIN")</f>
        <v>0</v>
      </c>
      <c r="BB46" s="50">
        <f ca="1">+GETPIVOTDATA("TNG4",'ngaigiao (2016)'!$A$3,"MA_HT","TSC","MA_QH","SON")</f>
        <v>0</v>
      </c>
      <c r="BC46" s="50">
        <f ca="1">+GETPIVOTDATA("TNG4",'ngaigiao (2016)'!$A$3,"MA_HT","TSC","MA_QH","MNC")</f>
        <v>0</v>
      </c>
      <c r="BD46" s="22">
        <f ca="1">+GETPIVOTDATA("TNG4",'ngaigiao (2016)'!$A$3,"MA_HT","TSC","MA_QH","PNK")</f>
        <v>0</v>
      </c>
      <c r="BE46" s="71">
        <f ca="1">+GETPIVOTDATA("TNG4",'ngaigiao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+GETPIVOTDATA("TNG4",'ngaigiao (2016)'!$A$3,"MA_HT","DTS","MA_QH","LUC")</f>
        <v>0</v>
      </c>
      <c r="H47" s="60">
        <f ca="1">+GETPIVOTDATA("TNG4",'ngaigiao (2016)'!$A$3,"MA_HT","DTS","MA_QH","LUK")</f>
        <v>0</v>
      </c>
      <c r="I47" s="60">
        <f ca="1">+GETPIVOTDATA("TNG4",'ngaigiao (2016)'!$A$3,"MA_HT","DTS","MA_QH","LUN")</f>
        <v>0</v>
      </c>
      <c r="J47" s="60">
        <f ca="1">+GETPIVOTDATA("TNG4",'ngaigiao (2016)'!$A$3,"MA_HT","DTS","MA_QH","HNK")</f>
        <v>0</v>
      </c>
      <c r="K47" s="60">
        <f ca="1">+GETPIVOTDATA("TNG4",'ngaigiao (2016)'!$A$3,"MA_HT","DTS","MA_QH","CLN")</f>
        <v>0</v>
      </c>
      <c r="L47" s="60">
        <f ca="1">+GETPIVOTDATA("TNG4",'ngaigiao (2016)'!$A$3,"MA_HT","DTS","MA_QH","RSX")</f>
        <v>0</v>
      </c>
      <c r="M47" s="60">
        <f ca="1">+GETPIVOTDATA("TNG4",'ngaigiao (2016)'!$A$3,"MA_HT","DTS","MA_QH","RPH")</f>
        <v>0</v>
      </c>
      <c r="N47" s="60">
        <f ca="1">+GETPIVOTDATA("TNG4",'ngaigiao (2016)'!$A$3,"MA_HT","DTS","MA_QH","RDD")</f>
        <v>0</v>
      </c>
      <c r="O47" s="60">
        <f ca="1">+GETPIVOTDATA("TNG4",'ngaigiao (2016)'!$A$3,"MA_HT","DTS","MA_QH","NTS")</f>
        <v>0</v>
      </c>
      <c r="P47" s="60">
        <f ca="1">+GETPIVOTDATA("TNG4",'ngaigiao (2016)'!$A$3,"MA_HT","DTS","MA_QH","LMU")</f>
        <v>0</v>
      </c>
      <c r="Q47" s="60">
        <f ca="1">+GETPIVOTDATA("TNG4",'ngaigiao (2016)'!$A$3,"MA_HT","DTS","MA_QH","NKH")</f>
        <v>0</v>
      </c>
      <c r="R47" s="78">
        <f ca="1">SUM(S47:AA47,AN47:AS47,AU47:BD47)</f>
        <v>0</v>
      </c>
      <c r="S47" s="60">
        <f ca="1">+GETPIVOTDATA("TNG4",'ngaigiao (2016)'!$A$3,"MA_HT","DTS","MA_QH","CQP")</f>
        <v>0</v>
      </c>
      <c r="T47" s="60">
        <f ca="1">+GETPIVOTDATA("TNG4",'ngaigiao (2016)'!$A$3,"MA_HT","DTS","MA_QH","CAN")</f>
        <v>0</v>
      </c>
      <c r="U47" s="60">
        <f ca="1">+GETPIVOTDATA("TNG4",'ngaigiao (2016)'!$A$3,"MA_HT","DTS","MA_QH","SKK")</f>
        <v>0</v>
      </c>
      <c r="V47" s="60">
        <f ca="1">+GETPIVOTDATA("TNG4",'ngaigiao (2016)'!$A$3,"MA_HT","DTS","MA_QH","SKT")</f>
        <v>0</v>
      </c>
      <c r="W47" s="60">
        <f ca="1">+GETPIVOTDATA("TNG4",'ngaigiao (2016)'!$A$3,"MA_HT","DTS","MA_QH","SKN")</f>
        <v>0</v>
      </c>
      <c r="X47" s="60">
        <f ca="1">+GETPIVOTDATA("TNG4",'ngaigiao (2016)'!$A$3,"MA_HT","DTS","MA_QH","TMD")</f>
        <v>0</v>
      </c>
      <c r="Y47" s="60">
        <f ca="1">+GETPIVOTDATA("TNG4",'ngaigiao (2016)'!$A$3,"MA_HT","DTS","MA_QH","SKC")</f>
        <v>0</v>
      </c>
      <c r="Z47" s="60">
        <f ca="1">+GETPIVOTDATA("TNG4",'ngaigiao (2016)'!$A$3,"MA_HT","DTS","MA_QH","SKS")</f>
        <v>0</v>
      </c>
      <c r="AA47" s="59">
        <f ca="1" t="shared" si="21"/>
        <v>0</v>
      </c>
      <c r="AB47" s="60">
        <f ca="1">+GETPIVOTDATA("TNG4",'ngaigiao (2016)'!$A$3,"MA_HT","DTS","MA_QH","DGT")</f>
        <v>0</v>
      </c>
      <c r="AC47" s="60">
        <f ca="1">+GETPIVOTDATA("TNG4",'ngaigiao (2016)'!$A$3,"MA_HT","DTS","MA_QH","DTL")</f>
        <v>0</v>
      </c>
      <c r="AD47" s="60">
        <f ca="1">+GETPIVOTDATA("TNG4",'ngaigiao (2016)'!$A$3,"MA_HT","DTS","MA_QH","DNL")</f>
        <v>0</v>
      </c>
      <c r="AE47" s="60">
        <f ca="1">+GETPIVOTDATA("TNG4",'ngaigiao (2016)'!$A$3,"MA_HT","DTS","MA_QH","DBV")</f>
        <v>0</v>
      </c>
      <c r="AF47" s="60">
        <f ca="1">+GETPIVOTDATA("TNG4",'ngaigiao (2016)'!$A$3,"MA_HT","DTS","MA_QH","DVH")</f>
        <v>0</v>
      </c>
      <c r="AG47" s="60">
        <f ca="1">+GETPIVOTDATA("TNG4",'ngaigiao (2016)'!$A$3,"MA_HT","DTS","MA_QH","DYT")</f>
        <v>0</v>
      </c>
      <c r="AH47" s="60">
        <f ca="1">+GETPIVOTDATA("TNG4",'ngaigiao (2016)'!$A$3,"MA_HT","DTS","MA_QH","DGD")</f>
        <v>0</v>
      </c>
      <c r="AI47" s="60">
        <f ca="1">+GETPIVOTDATA("TNG4",'ngaigiao (2016)'!$A$3,"MA_HT","DTS","MA_QH","DTT")</f>
        <v>0</v>
      </c>
      <c r="AJ47" s="60">
        <f ca="1">+GETPIVOTDATA("TNG4",'ngaigiao (2016)'!$A$3,"MA_HT","DTS","MA_QH","NCK")</f>
        <v>0</v>
      </c>
      <c r="AK47" s="60">
        <f ca="1">+GETPIVOTDATA("TNG4",'ngaigiao (2016)'!$A$3,"MA_HT","DTS","MA_QH","DXH")</f>
        <v>0</v>
      </c>
      <c r="AL47" s="60">
        <f ca="1">+GETPIVOTDATA("TNG4",'ngaigiao (2016)'!$A$3,"MA_HT","DTS","MA_QH","DCH")</f>
        <v>0</v>
      </c>
      <c r="AM47" s="60">
        <f ca="1">+GETPIVOTDATA("TNG4",'ngaigiao (2016)'!$A$3,"MA_HT","DTS","MA_QH","DKG")</f>
        <v>0</v>
      </c>
      <c r="AN47" s="60">
        <f ca="1">+GETPIVOTDATA("TNG4",'ngaigiao (2016)'!$A$3,"MA_HT","DTS","MA_QH","DDT")</f>
        <v>0</v>
      </c>
      <c r="AO47" s="60">
        <f ca="1">+GETPIVOTDATA("TNG4",'ngaigiao (2016)'!$A$3,"MA_HT","DTS","MA_QH","DDL")</f>
        <v>0</v>
      </c>
      <c r="AP47" s="60">
        <f ca="1">+GETPIVOTDATA("TNG4",'ngaigiao (2016)'!$A$3,"MA_HT","DTS","MA_QH","DRA")</f>
        <v>0</v>
      </c>
      <c r="AQ47" s="60">
        <f ca="1">+GETPIVOTDATA("TNG4",'ngaigiao (2016)'!$A$3,"MA_HT","DTS","MA_QH","ONT")</f>
        <v>0</v>
      </c>
      <c r="AR47" s="60">
        <f ca="1">+GETPIVOTDATA("TNG4",'ngaigiao (2016)'!$A$3,"MA_HT","DTS","MA_QH","ODT")</f>
        <v>0</v>
      </c>
      <c r="AS47" s="60">
        <f ca="1">+GETPIVOTDATA("TNG4",'ngaigiao (2016)'!$A$3,"MA_HT","DTS","MA_QH","TSC")</f>
        <v>0</v>
      </c>
      <c r="AT47" s="81" t="e">
        <f ca="1">$D47-$BF47</f>
        <v>#REF!</v>
      </c>
      <c r="AU47" s="60">
        <f ca="1">+GETPIVOTDATA("TNG4",'ngaigiao (2016)'!$A$3,"MA_HT","DTS","MA_QH","DNG")</f>
        <v>0</v>
      </c>
      <c r="AV47" s="60">
        <f ca="1">+GETPIVOTDATA("TNG4",'ngaigiao (2016)'!$A$3,"MA_HT","DTS","MA_QH","TON")</f>
        <v>0</v>
      </c>
      <c r="AW47" s="60">
        <f ca="1">+GETPIVOTDATA("TNG4",'ngaigiao (2016)'!$A$3,"MA_HT","DTS","MA_QH","NTD")</f>
        <v>0</v>
      </c>
      <c r="AX47" s="60">
        <f ca="1">+GETPIVOTDATA("TNG4",'ngaigiao (2016)'!$A$3,"MA_HT","DTS","MA_QH","SKX")</f>
        <v>0</v>
      </c>
      <c r="AY47" s="60">
        <f ca="1">+GETPIVOTDATA("TNG4",'ngaigiao (2016)'!$A$3,"MA_HT","DTS","MA_QH","DSH")</f>
        <v>0</v>
      </c>
      <c r="AZ47" s="60">
        <f ca="1">+GETPIVOTDATA("TNG4",'ngaigiao (2016)'!$A$3,"MA_HT","DTS","MA_QH","DKV")</f>
        <v>0</v>
      </c>
      <c r="BA47" s="90">
        <f ca="1">+GETPIVOTDATA("TNG4",'ngaigiao (2016)'!$A$3,"MA_HT","DTS","MA_QH","TIN")</f>
        <v>0</v>
      </c>
      <c r="BB47" s="91">
        <f ca="1">+GETPIVOTDATA("TNG4",'ngaigiao (2016)'!$A$3,"MA_HT","DTS","MA_QH","SON")</f>
        <v>0</v>
      </c>
      <c r="BC47" s="91">
        <f ca="1">+GETPIVOTDATA("TNG4",'ngaigiao (2016)'!$A$3,"MA_HT","DTS","MA_QH","MNC")</f>
        <v>0</v>
      </c>
      <c r="BD47" s="60">
        <f ca="1">+GETPIVOTDATA("TNG4",'ngaigiao (2016)'!$A$3,"MA_HT","DTS","MA_QH","PNK")</f>
        <v>0</v>
      </c>
      <c r="BE47" s="111">
        <f ca="1">+GETPIVOTDATA("TNG4",'ngaigiao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+GETPIVOTDATA("TNG4",'ngaigiao (2016)'!$A$3,"MA_HT","DNG","MA_QH","LUC")</f>
        <v>0</v>
      </c>
      <c r="H48" s="22">
        <f ca="1">+GETPIVOTDATA("TNG4",'ngaigiao (2016)'!$A$3,"MA_HT","DNG","MA_QH","LUK")</f>
        <v>0</v>
      </c>
      <c r="I48" s="22">
        <f ca="1">+GETPIVOTDATA("TNG4",'ngaigiao (2016)'!$A$3,"MA_HT","DNG","MA_QH","LUN")</f>
        <v>0</v>
      </c>
      <c r="J48" s="22">
        <f ca="1">+GETPIVOTDATA("TNG4",'ngaigiao (2016)'!$A$3,"MA_HT","DNG","MA_QH","HNK")</f>
        <v>0</v>
      </c>
      <c r="K48" s="22">
        <f ca="1">+GETPIVOTDATA("TNG4",'ngaigiao (2016)'!$A$3,"MA_HT","DNG","MA_QH","CLN")</f>
        <v>0</v>
      </c>
      <c r="L48" s="22">
        <f ca="1">+GETPIVOTDATA("TNG4",'ngaigiao (2016)'!$A$3,"MA_HT","DNG","MA_QH","RSX")</f>
        <v>0</v>
      </c>
      <c r="M48" s="22">
        <f ca="1">+GETPIVOTDATA("TNG4",'ngaigiao (2016)'!$A$3,"MA_HT","DNG","MA_QH","RPH")</f>
        <v>0</v>
      </c>
      <c r="N48" s="22">
        <f ca="1">+GETPIVOTDATA("TNG4",'ngaigiao (2016)'!$A$3,"MA_HT","DNG","MA_QH","RDD")</f>
        <v>0</v>
      </c>
      <c r="O48" s="22">
        <f ca="1">+GETPIVOTDATA("TNG4",'ngaigiao (2016)'!$A$3,"MA_HT","DNG","MA_QH","NTS")</f>
        <v>0</v>
      </c>
      <c r="P48" s="22">
        <f ca="1">+GETPIVOTDATA("TNG4",'ngaigiao (2016)'!$A$3,"MA_HT","DNG","MA_QH","LMU")</f>
        <v>0</v>
      </c>
      <c r="Q48" s="22">
        <f ca="1">+GETPIVOTDATA("TNG4",'ngaigiao (2016)'!$A$3,"MA_HT","DNG","MA_QH","NKH")</f>
        <v>0</v>
      </c>
      <c r="R48" s="79">
        <f ca="1">SUM(S48:AA48,AN48:AT48,AV48:BD48)</f>
        <v>0</v>
      </c>
      <c r="S48" s="22">
        <f ca="1">+GETPIVOTDATA("TNG4",'ngaigiao (2016)'!$A$3,"MA_HT","DNG","MA_QH","CQP")</f>
        <v>0</v>
      </c>
      <c r="T48" s="22">
        <f ca="1">+GETPIVOTDATA("TNG4",'ngaigiao (2016)'!$A$3,"MA_HT","DNG","MA_QH","CAN")</f>
        <v>0</v>
      </c>
      <c r="U48" s="22">
        <f ca="1">+GETPIVOTDATA("TNG4",'ngaigiao (2016)'!$A$3,"MA_HT","DNG","MA_QH","SKK")</f>
        <v>0</v>
      </c>
      <c r="V48" s="22">
        <f ca="1">+GETPIVOTDATA("TNG4",'ngaigiao (2016)'!$A$3,"MA_HT","DNG","MA_QH","SKT")</f>
        <v>0</v>
      </c>
      <c r="W48" s="22">
        <f ca="1">+GETPIVOTDATA("TNG4",'ngaigiao (2016)'!$A$3,"MA_HT","DNG","MA_QH","SKN")</f>
        <v>0</v>
      </c>
      <c r="X48" s="22">
        <f ca="1">+GETPIVOTDATA("TNG4",'ngaigiao (2016)'!$A$3,"MA_HT","DNG","MA_QH","TMD")</f>
        <v>0</v>
      </c>
      <c r="Y48" s="22">
        <f ca="1">+GETPIVOTDATA("TNG4",'ngaigiao (2016)'!$A$3,"MA_HT","DNG","MA_QH","SKC")</f>
        <v>0</v>
      </c>
      <c r="Z48" s="22">
        <f ca="1">+GETPIVOTDATA("TNG4",'ngaigiao (2016)'!$A$3,"MA_HT","DNG","MA_QH","SKS")</f>
        <v>0</v>
      </c>
      <c r="AA48" s="52">
        <f ca="1" t="shared" si="21"/>
        <v>0</v>
      </c>
      <c r="AB48" s="22">
        <f ca="1">+GETPIVOTDATA("TNG4",'ngaigiao (2016)'!$A$3,"MA_HT","DNG","MA_QH","DGT")</f>
        <v>0</v>
      </c>
      <c r="AC48" s="22">
        <f ca="1">+GETPIVOTDATA("TNG4",'ngaigiao (2016)'!$A$3,"MA_HT","DNG","MA_QH","DTL")</f>
        <v>0</v>
      </c>
      <c r="AD48" s="22">
        <f ca="1">+GETPIVOTDATA("TNG4",'ngaigiao (2016)'!$A$3,"MA_HT","DNG","MA_QH","DNL")</f>
        <v>0</v>
      </c>
      <c r="AE48" s="22">
        <f ca="1">+GETPIVOTDATA("TNG4",'ngaigiao (2016)'!$A$3,"MA_HT","DNG","MA_QH","DBV")</f>
        <v>0</v>
      </c>
      <c r="AF48" s="22">
        <f ca="1">+GETPIVOTDATA("TNG4",'ngaigiao (2016)'!$A$3,"MA_HT","DNG","MA_QH","DVH")</f>
        <v>0</v>
      </c>
      <c r="AG48" s="22">
        <f ca="1">+GETPIVOTDATA("TNG4",'ngaigiao (2016)'!$A$3,"MA_HT","DNG","MA_QH","DYT")</f>
        <v>0</v>
      </c>
      <c r="AH48" s="22">
        <f ca="1">+GETPIVOTDATA("TNG4",'ngaigiao (2016)'!$A$3,"MA_HT","DNG","MA_QH","DGD")</f>
        <v>0</v>
      </c>
      <c r="AI48" s="22">
        <f ca="1">+GETPIVOTDATA("TNG4",'ngaigiao (2016)'!$A$3,"MA_HT","DNG","MA_QH","DTT")</f>
        <v>0</v>
      </c>
      <c r="AJ48" s="22">
        <f ca="1">+GETPIVOTDATA("TNG4",'ngaigiao (2016)'!$A$3,"MA_HT","DNG","MA_QH","NCK")</f>
        <v>0</v>
      </c>
      <c r="AK48" s="22">
        <f ca="1">+GETPIVOTDATA("TNG4",'ngaigiao (2016)'!$A$3,"MA_HT","DNG","MA_QH","DXH")</f>
        <v>0</v>
      </c>
      <c r="AL48" s="22">
        <f ca="1">+GETPIVOTDATA("TNG4",'ngaigiao (2016)'!$A$3,"MA_HT","DNG","MA_QH","DCH")</f>
        <v>0</v>
      </c>
      <c r="AM48" s="22">
        <f ca="1">+GETPIVOTDATA("TNG4",'ngaigiao (2016)'!$A$3,"MA_HT","DNG","MA_QH","DKG")</f>
        <v>0</v>
      </c>
      <c r="AN48" s="22">
        <f ca="1">+GETPIVOTDATA("TNG4",'ngaigiao (2016)'!$A$3,"MA_HT","DNG","MA_QH","DDT")</f>
        <v>0</v>
      </c>
      <c r="AO48" s="22">
        <f ca="1">+GETPIVOTDATA("TNG4",'ngaigiao (2016)'!$A$3,"MA_HT","DNG","MA_QH","DDL")</f>
        <v>0</v>
      </c>
      <c r="AP48" s="22">
        <f ca="1">+GETPIVOTDATA("TNG4",'ngaigiao (2016)'!$A$3,"MA_HT","DNG","MA_QH","DRA")</f>
        <v>0</v>
      </c>
      <c r="AQ48" s="22">
        <f ca="1">+GETPIVOTDATA("TNG4",'ngaigiao (2016)'!$A$3,"MA_HT","DNG","MA_QH","ONT")</f>
        <v>0</v>
      </c>
      <c r="AR48" s="22">
        <f ca="1">+GETPIVOTDATA("TNG4",'ngaigiao (2016)'!$A$3,"MA_HT","DNG","MA_QH","ODT")</f>
        <v>0</v>
      </c>
      <c r="AS48" s="22">
        <f ca="1">+GETPIVOTDATA("TNG4",'ngaigiao (2016)'!$A$3,"MA_HT","DNG","MA_QH","TSC")</f>
        <v>0</v>
      </c>
      <c r="AT48" s="22">
        <f ca="1">+GETPIVOTDATA("TNG4",'ngaigiao (2016)'!$A$3,"MA_HT","DNG","MA_QH","DTS")</f>
        <v>0</v>
      </c>
      <c r="AU48" s="43" t="e">
        <f ca="1">$D48-$BF48</f>
        <v>#REF!</v>
      </c>
      <c r="AV48" s="22">
        <f ca="1">+GETPIVOTDATA("TNG4",'ngaigiao (2016)'!$A$3,"MA_HT","DNG","MA_QH","TON")</f>
        <v>0</v>
      </c>
      <c r="AW48" s="22">
        <f ca="1">+GETPIVOTDATA("TNG4",'ngaigiao (2016)'!$A$3,"MA_HT","DNG","MA_QH","NTD")</f>
        <v>0</v>
      </c>
      <c r="AX48" s="22">
        <f ca="1">+GETPIVOTDATA("TNG4",'ngaigiao (2016)'!$A$3,"MA_HT","DNG","MA_QH","SKX")</f>
        <v>0</v>
      </c>
      <c r="AY48" s="22">
        <f ca="1">+GETPIVOTDATA("TNG4",'ngaigiao (2016)'!$A$3,"MA_HT","DNG","MA_QH","DSH")</f>
        <v>0</v>
      </c>
      <c r="AZ48" s="22">
        <f ca="1">+GETPIVOTDATA("TNG4",'ngaigiao (2016)'!$A$3,"MA_HT","DNG","MA_QH","DKV")</f>
        <v>0</v>
      </c>
      <c r="BA48" s="89">
        <f ca="1">+GETPIVOTDATA("TNG4",'ngaigiao (2016)'!$A$3,"MA_HT","DNG","MA_QH","TIN")</f>
        <v>0</v>
      </c>
      <c r="BB48" s="50">
        <f ca="1">+GETPIVOTDATA("TNG4",'ngaigiao (2016)'!$A$3,"MA_HT","DNG","MA_QH","SON")</f>
        <v>0</v>
      </c>
      <c r="BC48" s="50">
        <f ca="1">+GETPIVOTDATA("TNG4",'ngaigiao (2016)'!$A$3,"MA_HT","DNG","MA_QH","MNC")</f>
        <v>0</v>
      </c>
      <c r="BD48" s="22">
        <f ca="1">+GETPIVOTDATA("TNG4",'ngaigiao (2016)'!$A$3,"MA_HT","DNG","MA_QH","PNK")</f>
        <v>0</v>
      </c>
      <c r="BE48" s="71">
        <f ca="1">+GETPIVOTDATA("TNG4",'ngaigiao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+GETPIVOTDATA("TNG4",'ngaigiao (2016)'!$A$3,"MA_HT","TON","MA_QH","LUC")</f>
        <v>0</v>
      </c>
      <c r="H49" s="22">
        <f ca="1">+GETPIVOTDATA("TNG4",'ngaigiao (2016)'!$A$3,"MA_HT","TON","MA_QH","LUK")</f>
        <v>0</v>
      </c>
      <c r="I49" s="22">
        <f ca="1">+GETPIVOTDATA("TNG4",'ngaigiao (2016)'!$A$3,"MA_HT","TON","MA_QH","LUN")</f>
        <v>0</v>
      </c>
      <c r="J49" s="22">
        <f ca="1">+GETPIVOTDATA("TNG4",'ngaigiao (2016)'!$A$3,"MA_HT","TON","MA_QH","HNK")</f>
        <v>0</v>
      </c>
      <c r="K49" s="22">
        <f ca="1">+GETPIVOTDATA("TNG4",'ngaigiao (2016)'!$A$3,"MA_HT","TON","MA_QH","CLN")</f>
        <v>0</v>
      </c>
      <c r="L49" s="22">
        <f ca="1">+GETPIVOTDATA("TNG4",'ngaigiao (2016)'!$A$3,"MA_HT","TON","MA_QH","RSX")</f>
        <v>0</v>
      </c>
      <c r="M49" s="22">
        <f ca="1">+GETPIVOTDATA("TNG4",'ngaigiao (2016)'!$A$3,"MA_HT","TON","MA_QH","RPH")</f>
        <v>0</v>
      </c>
      <c r="N49" s="22">
        <f ca="1">+GETPIVOTDATA("TNG4",'ngaigiao (2016)'!$A$3,"MA_HT","TON","MA_QH","RDD")</f>
        <v>0</v>
      </c>
      <c r="O49" s="22">
        <f ca="1">+GETPIVOTDATA("TNG4",'ngaigiao (2016)'!$A$3,"MA_HT","TON","MA_QH","NTS")</f>
        <v>0</v>
      </c>
      <c r="P49" s="22">
        <f ca="1">+GETPIVOTDATA("TNG4",'ngaigiao (2016)'!$A$3,"MA_HT","TON","MA_QH","LMU")</f>
        <v>0</v>
      </c>
      <c r="Q49" s="22">
        <f ca="1">+GETPIVOTDATA("TNG4",'ngaigiao (2016)'!$A$3,"MA_HT","TON","MA_QH","NKH")</f>
        <v>0</v>
      </c>
      <c r="R49" s="79">
        <f ca="1">SUM(S49:AA49,AN49:AU49,AW49:BD49)</f>
        <v>0</v>
      </c>
      <c r="S49" s="22">
        <f ca="1">+GETPIVOTDATA("TNG4",'ngaigiao (2016)'!$A$3,"MA_HT","TON","MA_QH","CQP")</f>
        <v>0</v>
      </c>
      <c r="T49" s="22">
        <f ca="1">+GETPIVOTDATA("TNG4",'ngaigiao (2016)'!$A$3,"MA_HT","TON","MA_QH","CAN")</f>
        <v>0</v>
      </c>
      <c r="U49" s="22">
        <f ca="1">+GETPIVOTDATA("TNG4",'ngaigiao (2016)'!$A$3,"MA_HT","TON","MA_QH","SKK")</f>
        <v>0</v>
      </c>
      <c r="V49" s="22">
        <f ca="1">+GETPIVOTDATA("TNG4",'ngaigiao (2016)'!$A$3,"MA_HT","TON","MA_QH","SKT")</f>
        <v>0</v>
      </c>
      <c r="W49" s="22">
        <f ca="1">+GETPIVOTDATA("TNG4",'ngaigiao (2016)'!$A$3,"MA_HT","TON","MA_QH","SKN")</f>
        <v>0</v>
      </c>
      <c r="X49" s="22">
        <f ca="1">+GETPIVOTDATA("TNG4",'ngaigiao (2016)'!$A$3,"MA_HT","TON","MA_QH","TMD")</f>
        <v>0</v>
      </c>
      <c r="Y49" s="22">
        <f ca="1">+GETPIVOTDATA("TNG4",'ngaigiao (2016)'!$A$3,"MA_HT","TON","MA_QH","SKC")</f>
        <v>0</v>
      </c>
      <c r="Z49" s="22">
        <f ca="1">+GETPIVOTDATA("TNG4",'ngaigiao (2016)'!$A$3,"MA_HT","TON","MA_QH","SKS")</f>
        <v>0</v>
      </c>
      <c r="AA49" s="52">
        <f ca="1" t="shared" si="21"/>
        <v>0</v>
      </c>
      <c r="AB49" s="22">
        <f ca="1">+GETPIVOTDATA("TNG4",'ngaigiao (2016)'!$A$3,"MA_HT","TON","MA_QH","DGT")</f>
        <v>0</v>
      </c>
      <c r="AC49" s="22">
        <f ca="1">+GETPIVOTDATA("TNG4",'ngaigiao (2016)'!$A$3,"MA_HT","TON","MA_QH","DTL")</f>
        <v>0</v>
      </c>
      <c r="AD49" s="22">
        <f ca="1">+GETPIVOTDATA("TNG4",'ngaigiao (2016)'!$A$3,"MA_HT","TON","MA_QH","DNL")</f>
        <v>0</v>
      </c>
      <c r="AE49" s="22">
        <f ca="1">+GETPIVOTDATA("TNG4",'ngaigiao (2016)'!$A$3,"MA_HT","TON","MA_QH","DBV")</f>
        <v>0</v>
      </c>
      <c r="AF49" s="22">
        <f ca="1">+GETPIVOTDATA("TNG4",'ngaigiao (2016)'!$A$3,"MA_HT","TON","MA_QH","DVH")</f>
        <v>0</v>
      </c>
      <c r="AG49" s="22">
        <f ca="1">+GETPIVOTDATA("TNG4",'ngaigiao (2016)'!$A$3,"MA_HT","TON","MA_QH","DYT")</f>
        <v>0</v>
      </c>
      <c r="AH49" s="22">
        <f ca="1">+GETPIVOTDATA("TNG4",'ngaigiao (2016)'!$A$3,"MA_HT","TON","MA_QH","DGD")</f>
        <v>0</v>
      </c>
      <c r="AI49" s="22">
        <f ca="1">+GETPIVOTDATA("TNG4",'ngaigiao (2016)'!$A$3,"MA_HT","TON","MA_QH","DTT")</f>
        <v>0</v>
      </c>
      <c r="AJ49" s="22">
        <f ca="1">+GETPIVOTDATA("TNG4",'ngaigiao (2016)'!$A$3,"MA_HT","TON","MA_QH","NCK")</f>
        <v>0</v>
      </c>
      <c r="AK49" s="22">
        <f ca="1">+GETPIVOTDATA("TNG4",'ngaigiao (2016)'!$A$3,"MA_HT","TON","MA_QH","DXH")</f>
        <v>0</v>
      </c>
      <c r="AL49" s="22">
        <f ca="1">+GETPIVOTDATA("TNG4",'ngaigiao (2016)'!$A$3,"MA_HT","TON","MA_QH","DCH")</f>
        <v>0</v>
      </c>
      <c r="AM49" s="22">
        <f ca="1">+GETPIVOTDATA("TNG4",'ngaigiao (2016)'!$A$3,"MA_HT","TON","MA_QH","DKG")</f>
        <v>0</v>
      </c>
      <c r="AN49" s="22">
        <f ca="1">+GETPIVOTDATA("TNG4",'ngaigiao (2016)'!$A$3,"MA_HT","TON","MA_QH","DDT")</f>
        <v>0</v>
      </c>
      <c r="AO49" s="22">
        <f ca="1">+GETPIVOTDATA("TNG4",'ngaigiao (2016)'!$A$3,"MA_HT","TON","MA_QH","DDL")</f>
        <v>0</v>
      </c>
      <c r="AP49" s="22">
        <f ca="1">+GETPIVOTDATA("TNG4",'ngaigiao (2016)'!$A$3,"MA_HT","TON","MA_QH","DRA")</f>
        <v>0</v>
      </c>
      <c r="AQ49" s="22">
        <f ca="1">+GETPIVOTDATA("TNG4",'ngaigiao (2016)'!$A$3,"MA_HT","TON","MA_QH","ONT")</f>
        <v>0</v>
      </c>
      <c r="AR49" s="22">
        <f ca="1">+GETPIVOTDATA("TNG4",'ngaigiao (2016)'!$A$3,"MA_HT","TON","MA_QH","ODT")</f>
        <v>0</v>
      </c>
      <c r="AS49" s="22">
        <f ca="1">+GETPIVOTDATA("TNG4",'ngaigiao (2016)'!$A$3,"MA_HT","TON","MA_QH","TSC")</f>
        <v>0</v>
      </c>
      <c r="AT49" s="22">
        <f ca="1">+GETPIVOTDATA("TNG4",'ngaigiao (2016)'!$A$3,"MA_HT","TON","MA_QH","DTS")</f>
        <v>0</v>
      </c>
      <c r="AU49" s="22">
        <f ca="1">+GETPIVOTDATA("TNG4",'ngaigiao (2016)'!$A$3,"MA_HT","TON","MA_QH","DNG")</f>
        <v>0</v>
      </c>
      <c r="AV49" s="43" t="e">
        <f ca="1">$D49-$BF49</f>
        <v>#REF!</v>
      </c>
      <c r="AW49" s="22">
        <f ca="1">+GETPIVOTDATA("TNG4",'ngaigiao (2016)'!$A$3,"MA_HT","TON","MA_QH","NTD")</f>
        <v>0</v>
      </c>
      <c r="AX49" s="22">
        <f ca="1">+GETPIVOTDATA("TNG4",'ngaigiao (2016)'!$A$3,"MA_HT","TON","MA_QH","SKX")</f>
        <v>0</v>
      </c>
      <c r="AY49" s="22">
        <f ca="1">+GETPIVOTDATA("TNG4",'ngaigiao (2016)'!$A$3,"MA_HT","TON","MA_QH","DSH")</f>
        <v>0</v>
      </c>
      <c r="AZ49" s="22">
        <f ca="1">+GETPIVOTDATA("TNG4",'ngaigiao (2016)'!$A$3,"MA_HT","TON","MA_QH","DKV")</f>
        <v>0</v>
      </c>
      <c r="BA49" s="89">
        <f ca="1">+GETPIVOTDATA("TNG4",'ngaigiao (2016)'!$A$3,"MA_HT","TON","MA_QH","TIN")</f>
        <v>0</v>
      </c>
      <c r="BB49" s="50">
        <f ca="1">+GETPIVOTDATA("TNG4",'ngaigiao (2016)'!$A$3,"MA_HT","TON","MA_QH","SON")</f>
        <v>0</v>
      </c>
      <c r="BC49" s="50">
        <f ca="1">+GETPIVOTDATA("TNG4",'ngaigiao (2016)'!$A$3,"MA_HT","TON","MA_QH","MNC")</f>
        <v>0</v>
      </c>
      <c r="BD49" s="22">
        <f ca="1">+GETPIVOTDATA("TNG4",'ngaigiao (2016)'!$A$3,"MA_HT","TON","MA_QH","PNK")</f>
        <v>0</v>
      </c>
      <c r="BE49" s="71">
        <f ca="1">+GETPIVOTDATA("TNG4",'ngaigiao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+GETPIVOTDATA("TNG4",'ngaigiao (2016)'!$A$3,"MA_HT","NTD","MA_QH","LUC")</f>
        <v>0</v>
      </c>
      <c r="H50" s="22">
        <f ca="1">+GETPIVOTDATA("TNG4",'ngaigiao (2016)'!$A$3,"MA_HT","NTD","MA_QH","LUK")</f>
        <v>0</v>
      </c>
      <c r="I50" s="22">
        <f ca="1">+GETPIVOTDATA("TNG4",'ngaigiao (2016)'!$A$3,"MA_HT","NTD","MA_QH","LUN")</f>
        <v>0</v>
      </c>
      <c r="J50" s="22">
        <f ca="1">+GETPIVOTDATA("TNG4",'ngaigiao (2016)'!$A$3,"MA_HT","NTD","MA_QH","HNK")</f>
        <v>0</v>
      </c>
      <c r="K50" s="22">
        <f ca="1">+GETPIVOTDATA("TNG4",'ngaigiao (2016)'!$A$3,"MA_HT","NTD","MA_QH","CLN")</f>
        <v>0</v>
      </c>
      <c r="L50" s="22">
        <f ca="1">+GETPIVOTDATA("TNG4",'ngaigiao (2016)'!$A$3,"MA_HT","NTD","MA_QH","RSX")</f>
        <v>0</v>
      </c>
      <c r="M50" s="22">
        <f ca="1">+GETPIVOTDATA("TNG4",'ngaigiao (2016)'!$A$3,"MA_HT","NTD","MA_QH","RPH")</f>
        <v>0</v>
      </c>
      <c r="N50" s="22">
        <f ca="1">+GETPIVOTDATA("TNG4",'ngaigiao (2016)'!$A$3,"MA_HT","NTD","MA_QH","RDD")</f>
        <v>0</v>
      </c>
      <c r="O50" s="22">
        <f ca="1">+GETPIVOTDATA("TNG4",'ngaigiao (2016)'!$A$3,"MA_HT","NTD","MA_QH","NTS")</f>
        <v>0</v>
      </c>
      <c r="P50" s="22">
        <f ca="1">+GETPIVOTDATA("TNG4",'ngaigiao (2016)'!$A$3,"MA_HT","NTD","MA_QH","LMU")</f>
        <v>0</v>
      </c>
      <c r="Q50" s="22">
        <f ca="1">+GETPIVOTDATA("TNG4",'ngaigiao (2016)'!$A$3,"MA_HT","NTD","MA_QH","NKH")</f>
        <v>0</v>
      </c>
      <c r="R50" s="79">
        <f ca="1">SUM(S50:AA50,AN50:AV50,AX50:BD50)</f>
        <v>0</v>
      </c>
      <c r="S50" s="22">
        <f ca="1">+GETPIVOTDATA("TNG4",'ngaigiao (2016)'!$A$3,"MA_HT","NTD","MA_QH","CQP")</f>
        <v>0</v>
      </c>
      <c r="T50" s="22">
        <f ca="1">+GETPIVOTDATA("TNG4",'ngaigiao (2016)'!$A$3,"MA_HT","NTD","MA_QH","CAN")</f>
        <v>0</v>
      </c>
      <c r="U50" s="22">
        <f ca="1">+GETPIVOTDATA("TNG4",'ngaigiao (2016)'!$A$3,"MA_HT","NTD","MA_QH","SKK")</f>
        <v>0</v>
      </c>
      <c r="V50" s="22">
        <f ca="1">+GETPIVOTDATA("TNG4",'ngaigiao (2016)'!$A$3,"MA_HT","NTD","MA_QH","SKT")</f>
        <v>0</v>
      </c>
      <c r="W50" s="22">
        <f ca="1">+GETPIVOTDATA("TNG4",'ngaigiao (2016)'!$A$3,"MA_HT","NTD","MA_QH","SKN")</f>
        <v>0</v>
      </c>
      <c r="X50" s="22">
        <f ca="1">+GETPIVOTDATA("TNG4",'ngaigiao (2016)'!$A$3,"MA_HT","NTD","MA_QH","TMD")</f>
        <v>0</v>
      </c>
      <c r="Y50" s="22">
        <f ca="1">+GETPIVOTDATA("TNG4",'ngaigiao (2016)'!$A$3,"MA_HT","NTD","MA_QH","SKC")</f>
        <v>0</v>
      </c>
      <c r="Z50" s="22">
        <f ca="1">+GETPIVOTDATA("TNG4",'ngaigiao (2016)'!$A$3,"MA_HT","NTD","MA_QH","SKS")</f>
        <v>0</v>
      </c>
      <c r="AA50" s="52">
        <f ca="1" t="shared" si="21"/>
        <v>0</v>
      </c>
      <c r="AB50" s="22">
        <f ca="1">+GETPIVOTDATA("TNG4",'ngaigiao (2016)'!$A$3,"MA_HT","NTD","MA_QH","DGT")</f>
        <v>0</v>
      </c>
      <c r="AC50" s="22">
        <f ca="1">+GETPIVOTDATA("TNG4",'ngaigiao (2016)'!$A$3,"MA_HT","NTD","MA_QH","DTL")</f>
        <v>0</v>
      </c>
      <c r="AD50" s="22">
        <f ca="1">+GETPIVOTDATA("TNG4",'ngaigiao (2016)'!$A$3,"MA_HT","NTD","MA_QH","DNL")</f>
        <v>0</v>
      </c>
      <c r="AE50" s="22">
        <f ca="1">+GETPIVOTDATA("TNG4",'ngaigiao (2016)'!$A$3,"MA_HT","NTD","MA_QH","DBV")</f>
        <v>0</v>
      </c>
      <c r="AF50" s="22">
        <f ca="1">+GETPIVOTDATA("TNG4",'ngaigiao (2016)'!$A$3,"MA_HT","NTD","MA_QH","DVH")</f>
        <v>0</v>
      </c>
      <c r="AG50" s="22">
        <f ca="1">+GETPIVOTDATA("TNG4",'ngaigiao (2016)'!$A$3,"MA_HT","NTD","MA_QH","DYT")</f>
        <v>0</v>
      </c>
      <c r="AH50" s="22">
        <f ca="1">+GETPIVOTDATA("TNG4",'ngaigiao (2016)'!$A$3,"MA_HT","NTD","MA_QH","DGD")</f>
        <v>0</v>
      </c>
      <c r="AI50" s="22">
        <f ca="1">+GETPIVOTDATA("TNG4",'ngaigiao (2016)'!$A$3,"MA_HT","NTD","MA_QH","DTT")</f>
        <v>0</v>
      </c>
      <c r="AJ50" s="22">
        <f ca="1">+GETPIVOTDATA("TNG4",'ngaigiao (2016)'!$A$3,"MA_HT","NTD","MA_QH","NCK")</f>
        <v>0</v>
      </c>
      <c r="AK50" s="22">
        <f ca="1">+GETPIVOTDATA("TNG4",'ngaigiao (2016)'!$A$3,"MA_HT","NTD","MA_QH","DXH")</f>
        <v>0</v>
      </c>
      <c r="AL50" s="22">
        <f ca="1">+GETPIVOTDATA("TNG4",'ngaigiao (2016)'!$A$3,"MA_HT","NTD","MA_QH","DCH")</f>
        <v>0</v>
      </c>
      <c r="AM50" s="22">
        <f ca="1">+GETPIVOTDATA("TNG4",'ngaigiao (2016)'!$A$3,"MA_HT","NTD","MA_QH","DKG")</f>
        <v>0</v>
      </c>
      <c r="AN50" s="22">
        <f ca="1">+GETPIVOTDATA("TNG4",'ngaigiao (2016)'!$A$3,"MA_HT","NTD","MA_QH","DDT")</f>
        <v>0</v>
      </c>
      <c r="AO50" s="22">
        <f ca="1">+GETPIVOTDATA("TNG4",'ngaigiao (2016)'!$A$3,"MA_HT","NTD","MA_QH","DDL")</f>
        <v>0</v>
      </c>
      <c r="AP50" s="22">
        <f ca="1">+GETPIVOTDATA("TNG4",'ngaigiao (2016)'!$A$3,"MA_HT","NTD","MA_QH","DRA")</f>
        <v>0</v>
      </c>
      <c r="AQ50" s="22">
        <f ca="1">+GETPIVOTDATA("TNG4",'ngaigiao (2016)'!$A$3,"MA_HT","NTD","MA_QH","ONT")</f>
        <v>0</v>
      </c>
      <c r="AR50" s="22">
        <f ca="1">+GETPIVOTDATA("TNG4",'ngaigiao (2016)'!$A$3,"MA_HT","NTD","MA_QH","ODT")</f>
        <v>0</v>
      </c>
      <c r="AS50" s="22">
        <f ca="1">+GETPIVOTDATA("TNG4",'ngaigiao (2016)'!$A$3,"MA_HT","NTD","MA_QH","TSC")</f>
        <v>0</v>
      </c>
      <c r="AT50" s="22">
        <f ca="1">+GETPIVOTDATA("TNG4",'ngaigiao (2016)'!$A$3,"MA_HT","NTD","MA_QH","DTS")</f>
        <v>0</v>
      </c>
      <c r="AU50" s="22">
        <f ca="1">+GETPIVOTDATA("TNG4",'ngaigiao (2016)'!$A$3,"MA_HT","NTD","MA_QH","DNG")</f>
        <v>0</v>
      </c>
      <c r="AV50" s="22">
        <f ca="1">+GETPIVOTDATA("TNG4",'ngaigiao (2016)'!$A$3,"MA_HT","NTD","MA_QH","TON")</f>
        <v>0</v>
      </c>
      <c r="AW50" s="43" t="e">
        <f ca="1">$D50-$BF50</f>
        <v>#REF!</v>
      </c>
      <c r="AX50" s="22">
        <f ca="1">+GETPIVOTDATA("TNG4",'ngaigiao (2016)'!$A$3,"MA_HT","NTD","MA_QH","SKX")</f>
        <v>0</v>
      </c>
      <c r="AY50" s="22">
        <f ca="1">+GETPIVOTDATA("TNG4",'ngaigiao (2016)'!$A$3,"MA_HT","NTD","MA_QH","DSH")</f>
        <v>0</v>
      </c>
      <c r="AZ50" s="22">
        <f ca="1">+GETPIVOTDATA("TNG4",'ngaigiao (2016)'!$A$3,"MA_HT","NTD","MA_QH","DKV")</f>
        <v>0</v>
      </c>
      <c r="BA50" s="89">
        <f ca="1">+GETPIVOTDATA("TNG4",'ngaigiao (2016)'!$A$3,"MA_HT","NTD","MA_QH","TIN")</f>
        <v>0</v>
      </c>
      <c r="BB50" s="50">
        <f ca="1">+GETPIVOTDATA("TNG4",'ngaigiao (2016)'!$A$3,"MA_HT","NTD","MA_QH","SON")</f>
        <v>0</v>
      </c>
      <c r="BC50" s="50">
        <f ca="1">+GETPIVOTDATA("TNG4",'ngaigiao (2016)'!$A$3,"MA_HT","NTD","MA_QH","MNC")</f>
        <v>0</v>
      </c>
      <c r="BD50" s="22">
        <f ca="1">+GETPIVOTDATA("TNG4",'ngaigiao (2016)'!$A$3,"MA_HT","NTD","MA_QH","PNK")</f>
        <v>0</v>
      </c>
      <c r="BE50" s="71">
        <f ca="1">+GETPIVOTDATA("TNG4",'ngaigiao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+GETPIVOTDATA("TNG4",'ngaigiao (2016)'!$A$3,"MA_HT","SKX","MA_QH","LUC")</f>
        <v>0</v>
      </c>
      <c r="H51" s="22">
        <f ca="1">+GETPIVOTDATA("TNG4",'ngaigiao (2016)'!$A$3,"MA_HT","SKX","MA_QH","LUK")</f>
        <v>0</v>
      </c>
      <c r="I51" s="22">
        <f ca="1">+GETPIVOTDATA("TNG4",'ngaigiao (2016)'!$A$3,"MA_HT","SKX","MA_QH","LUN")</f>
        <v>0</v>
      </c>
      <c r="J51" s="22">
        <f ca="1">+GETPIVOTDATA("TNG4",'ngaigiao (2016)'!$A$3,"MA_HT","SKX","MA_QH","HNK")</f>
        <v>0</v>
      </c>
      <c r="K51" s="22">
        <f ca="1">+GETPIVOTDATA("TNG4",'ngaigiao (2016)'!$A$3,"MA_HT","SKX","MA_QH","CLN")</f>
        <v>0</v>
      </c>
      <c r="L51" s="22">
        <f ca="1">+GETPIVOTDATA("TNG4",'ngaigiao (2016)'!$A$3,"MA_HT","SKX","MA_QH","RSX")</f>
        <v>0</v>
      </c>
      <c r="M51" s="22">
        <f ca="1">+GETPIVOTDATA("TNG4",'ngaigiao (2016)'!$A$3,"MA_HT","SKX","MA_QH","RPH")</f>
        <v>0</v>
      </c>
      <c r="N51" s="22">
        <f ca="1">+GETPIVOTDATA("TNG4",'ngaigiao (2016)'!$A$3,"MA_HT","SKX","MA_QH","RDD")</f>
        <v>0</v>
      </c>
      <c r="O51" s="22">
        <f ca="1">+GETPIVOTDATA("TNG4",'ngaigiao (2016)'!$A$3,"MA_HT","SKX","MA_QH","NTS")</f>
        <v>0</v>
      </c>
      <c r="P51" s="22">
        <f ca="1">+GETPIVOTDATA("TNG4",'ngaigiao (2016)'!$A$3,"MA_HT","SKX","MA_QH","LMU")</f>
        <v>0</v>
      </c>
      <c r="Q51" s="22">
        <f ca="1">+GETPIVOTDATA("TNG4",'ngaigiao (2016)'!$A$3,"MA_HT","SKX","MA_QH","NKH")</f>
        <v>0</v>
      </c>
      <c r="R51" s="79">
        <f ca="1">SUM(S51:AA51,AN51:AW51,AY51:BD51)</f>
        <v>0</v>
      </c>
      <c r="S51" s="22">
        <f ca="1">+GETPIVOTDATA("TNG4",'ngaigiao (2016)'!$A$3,"MA_HT","SKX","MA_QH","CQP")</f>
        <v>0</v>
      </c>
      <c r="T51" s="22">
        <f ca="1">+GETPIVOTDATA("TNG4",'ngaigiao (2016)'!$A$3,"MA_HT","SKX","MA_QH","CAN")</f>
        <v>0</v>
      </c>
      <c r="U51" s="22">
        <f ca="1">+GETPIVOTDATA("TNG4",'ngaigiao (2016)'!$A$3,"MA_HT","SKX","MA_QH","SKK")</f>
        <v>0</v>
      </c>
      <c r="V51" s="22">
        <f ca="1">+GETPIVOTDATA("TNG4",'ngaigiao (2016)'!$A$3,"MA_HT","SKX","MA_QH","SKT")</f>
        <v>0</v>
      </c>
      <c r="W51" s="22">
        <f ca="1">+GETPIVOTDATA("TNG4",'ngaigiao (2016)'!$A$3,"MA_HT","SKX","MA_QH","SKN")</f>
        <v>0</v>
      </c>
      <c r="X51" s="22">
        <f ca="1">+GETPIVOTDATA("TNG4",'ngaigiao (2016)'!$A$3,"MA_HT","SKX","MA_QH","TMD")</f>
        <v>0</v>
      </c>
      <c r="Y51" s="22">
        <f ca="1">+GETPIVOTDATA("TNG4",'ngaigiao (2016)'!$A$3,"MA_HT","SKX","MA_QH","SKC")</f>
        <v>0</v>
      </c>
      <c r="Z51" s="22">
        <f ca="1">+GETPIVOTDATA("TNG4",'ngaigiao (2016)'!$A$3,"MA_HT","SKX","MA_QH","SKS")</f>
        <v>0</v>
      </c>
      <c r="AA51" s="52">
        <f ca="1" t="shared" si="21"/>
        <v>0</v>
      </c>
      <c r="AB51" s="22">
        <f ca="1">+GETPIVOTDATA("TNG4",'ngaigiao (2016)'!$A$3,"MA_HT","SKX","MA_QH","DGT")</f>
        <v>0</v>
      </c>
      <c r="AC51" s="22">
        <f ca="1">+GETPIVOTDATA("TNG4",'ngaigiao (2016)'!$A$3,"MA_HT","SKX","MA_QH","DTL")</f>
        <v>0</v>
      </c>
      <c r="AD51" s="22">
        <f ca="1">+GETPIVOTDATA("TNG4",'ngaigiao (2016)'!$A$3,"MA_HT","SKX","MA_QH","DNL")</f>
        <v>0</v>
      </c>
      <c r="AE51" s="22">
        <f ca="1">+GETPIVOTDATA("TNG4",'ngaigiao (2016)'!$A$3,"MA_HT","SKX","MA_QH","DBV")</f>
        <v>0</v>
      </c>
      <c r="AF51" s="22">
        <f ca="1">+GETPIVOTDATA("TNG4",'ngaigiao (2016)'!$A$3,"MA_HT","SKX","MA_QH","DVH")</f>
        <v>0</v>
      </c>
      <c r="AG51" s="22">
        <f ca="1">+GETPIVOTDATA("TNG4",'ngaigiao (2016)'!$A$3,"MA_HT","SKX","MA_QH","DYT")</f>
        <v>0</v>
      </c>
      <c r="AH51" s="22">
        <f ca="1">+GETPIVOTDATA("TNG4",'ngaigiao (2016)'!$A$3,"MA_HT","SKX","MA_QH","DGD")</f>
        <v>0</v>
      </c>
      <c r="AI51" s="22">
        <f ca="1">+GETPIVOTDATA("TNG4",'ngaigiao (2016)'!$A$3,"MA_HT","SKX","MA_QH","DTT")</f>
        <v>0</v>
      </c>
      <c r="AJ51" s="22">
        <f ca="1">+GETPIVOTDATA("TNG4",'ngaigiao (2016)'!$A$3,"MA_HT","SKX","MA_QH","NCK")</f>
        <v>0</v>
      </c>
      <c r="AK51" s="22">
        <f ca="1">+GETPIVOTDATA("TNG4",'ngaigiao (2016)'!$A$3,"MA_HT","SKX","MA_QH","DXH")</f>
        <v>0</v>
      </c>
      <c r="AL51" s="22">
        <f ca="1">+GETPIVOTDATA("TNG4",'ngaigiao (2016)'!$A$3,"MA_HT","SKX","MA_QH","DCH")</f>
        <v>0</v>
      </c>
      <c r="AM51" s="22">
        <f ca="1">+GETPIVOTDATA("TNG4",'ngaigiao (2016)'!$A$3,"MA_HT","SKX","MA_QH","DKG")</f>
        <v>0</v>
      </c>
      <c r="AN51" s="22">
        <f ca="1">+GETPIVOTDATA("TNG4",'ngaigiao (2016)'!$A$3,"MA_HT","SKX","MA_QH","DDT")</f>
        <v>0</v>
      </c>
      <c r="AO51" s="22">
        <f ca="1">+GETPIVOTDATA("TNG4",'ngaigiao (2016)'!$A$3,"MA_HT","SKX","MA_QH","DDL")</f>
        <v>0</v>
      </c>
      <c r="AP51" s="22">
        <f ca="1">+GETPIVOTDATA("TNG4",'ngaigiao (2016)'!$A$3,"MA_HT","SKX","MA_QH","DRA")</f>
        <v>0</v>
      </c>
      <c r="AQ51" s="22">
        <f ca="1">+GETPIVOTDATA("TNG4",'ngaigiao (2016)'!$A$3,"MA_HT","SKX","MA_QH","ONT")</f>
        <v>0</v>
      </c>
      <c r="AR51" s="22">
        <f ca="1">+GETPIVOTDATA("TNG4",'ngaigiao (2016)'!$A$3,"MA_HT","SKX","MA_QH","ODT")</f>
        <v>0</v>
      </c>
      <c r="AS51" s="22">
        <f ca="1">+GETPIVOTDATA("TNG4",'ngaigiao (2016)'!$A$3,"MA_HT","SKX","MA_QH","TSC")</f>
        <v>0</v>
      </c>
      <c r="AT51" s="22">
        <f ca="1">+GETPIVOTDATA("TNG4",'ngaigiao (2016)'!$A$3,"MA_HT","SKX","MA_QH","DTS")</f>
        <v>0</v>
      </c>
      <c r="AU51" s="22">
        <f ca="1">+GETPIVOTDATA("TNG4",'ngaigiao (2016)'!$A$3,"MA_HT","SKX","MA_QH","DNG")</f>
        <v>0</v>
      </c>
      <c r="AV51" s="22">
        <f ca="1">+GETPIVOTDATA("TNG4",'ngaigiao (2016)'!$A$3,"MA_HT","SKX","MA_QH","TON")</f>
        <v>0</v>
      </c>
      <c r="AW51" s="22">
        <f ca="1">+GETPIVOTDATA("TNG4",'ngaigiao (2016)'!$A$3,"MA_HT","SKX","MA_QH","NTD")</f>
        <v>0</v>
      </c>
      <c r="AX51" s="43" t="e">
        <f ca="1">$D51-$BF51</f>
        <v>#REF!</v>
      </c>
      <c r="AY51" s="22">
        <f ca="1">+GETPIVOTDATA("TNG4",'ngaigiao (2016)'!$A$3,"MA_HT","SKX","MA_QH","DSH")</f>
        <v>0</v>
      </c>
      <c r="AZ51" s="22">
        <f ca="1">+GETPIVOTDATA("TNG4",'ngaigiao (2016)'!$A$3,"MA_HT","SKX","MA_QH","DKV")</f>
        <v>0</v>
      </c>
      <c r="BA51" s="89">
        <f ca="1">+GETPIVOTDATA("TNG4",'ngaigiao (2016)'!$A$3,"MA_HT","SKX","MA_QH","TIN")</f>
        <v>0</v>
      </c>
      <c r="BB51" s="50">
        <f ca="1">+GETPIVOTDATA("TNG4",'ngaigiao (2016)'!$A$3,"MA_HT","SKX","MA_QH","SON")</f>
        <v>0</v>
      </c>
      <c r="BC51" s="50">
        <f ca="1">+GETPIVOTDATA("TNG4",'ngaigiao (2016)'!$A$3,"MA_HT","SKX","MA_QH","MNC")</f>
        <v>0</v>
      </c>
      <c r="BD51" s="22">
        <f ca="1">+GETPIVOTDATA("TNG4",'ngaigiao (2016)'!$A$3,"MA_HT","SKX","MA_QH","PNK")</f>
        <v>0</v>
      </c>
      <c r="BE51" s="71">
        <f ca="1">+GETPIVOTDATA("TNG4",'ngaigiao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+GETPIVOTDATA("TNG4",'ngaigiao (2016)'!$A$3,"MA_HT","DSH","MA_QH","LUC")</f>
        <v>0</v>
      </c>
      <c r="H52" s="22">
        <f ca="1">+GETPIVOTDATA("TNG4",'ngaigiao (2016)'!$A$3,"MA_HT","DSH","MA_QH","LUK")</f>
        <v>0</v>
      </c>
      <c r="I52" s="22">
        <f ca="1">+GETPIVOTDATA("TNG4",'ngaigiao (2016)'!$A$3,"MA_HT","DSH","MA_QH","LUN")</f>
        <v>0</v>
      </c>
      <c r="J52" s="22">
        <f ca="1">+GETPIVOTDATA("TNG4",'ngaigiao (2016)'!$A$3,"MA_HT","DSH","MA_QH","HNK")</f>
        <v>0</v>
      </c>
      <c r="K52" s="22">
        <f ca="1">+GETPIVOTDATA("TNG4",'ngaigiao (2016)'!$A$3,"MA_HT","DSH","MA_QH","CLN")</f>
        <v>0</v>
      </c>
      <c r="L52" s="22">
        <f ca="1">+GETPIVOTDATA("TNG4",'ngaigiao (2016)'!$A$3,"MA_HT","DSH","MA_QH","RSX")</f>
        <v>0</v>
      </c>
      <c r="M52" s="22">
        <f ca="1">+GETPIVOTDATA("TNG4",'ngaigiao (2016)'!$A$3,"MA_HT","DSH","MA_QH","RPH")</f>
        <v>0</v>
      </c>
      <c r="N52" s="22">
        <f ca="1">+GETPIVOTDATA("TNG4",'ngaigiao (2016)'!$A$3,"MA_HT","DSH","MA_QH","RDD")</f>
        <v>0</v>
      </c>
      <c r="O52" s="22">
        <f ca="1">+GETPIVOTDATA("TNG4",'ngaigiao (2016)'!$A$3,"MA_HT","DSH","MA_QH","NTS")</f>
        <v>0</v>
      </c>
      <c r="P52" s="22">
        <f ca="1">+GETPIVOTDATA("TNG4",'ngaigiao (2016)'!$A$3,"MA_HT","DSH","MA_QH","LMU")</f>
        <v>0</v>
      </c>
      <c r="Q52" s="22">
        <f ca="1">+GETPIVOTDATA("TNG4",'ngaigiao (2016)'!$A$3,"MA_HT","DSH","MA_QH","NKH")</f>
        <v>0</v>
      </c>
      <c r="R52" s="79">
        <f ca="1">SUM(S52:AA52,AN52:AX52,AZ52:BD52)</f>
        <v>0</v>
      </c>
      <c r="S52" s="22">
        <f ca="1">+GETPIVOTDATA("TNG4",'ngaigiao (2016)'!$A$3,"MA_HT","DSH","MA_QH","CQP")</f>
        <v>0</v>
      </c>
      <c r="T52" s="22">
        <f ca="1">+GETPIVOTDATA("TNG4",'ngaigiao (2016)'!$A$3,"MA_HT","DSH","MA_QH","CAN")</f>
        <v>0</v>
      </c>
      <c r="U52" s="22">
        <f ca="1">+GETPIVOTDATA("TNG4",'ngaigiao (2016)'!$A$3,"MA_HT","DSH","MA_QH","SKK")</f>
        <v>0</v>
      </c>
      <c r="V52" s="22">
        <f ca="1">+GETPIVOTDATA("TNG4",'ngaigiao (2016)'!$A$3,"MA_HT","DSH","MA_QH","SKT")</f>
        <v>0</v>
      </c>
      <c r="W52" s="22">
        <f ca="1">+GETPIVOTDATA("TNG4",'ngaigiao (2016)'!$A$3,"MA_HT","DSH","MA_QH","SKN")</f>
        <v>0</v>
      </c>
      <c r="X52" s="22">
        <f ca="1">+GETPIVOTDATA("TNG4",'ngaigiao (2016)'!$A$3,"MA_HT","DSH","MA_QH","TMD")</f>
        <v>0</v>
      </c>
      <c r="Y52" s="22">
        <f ca="1">+GETPIVOTDATA("TNG4",'ngaigiao (2016)'!$A$3,"MA_HT","DSH","MA_QH","SKC")</f>
        <v>0</v>
      </c>
      <c r="Z52" s="22">
        <f ca="1">+GETPIVOTDATA("TNG4",'ngaigiao (2016)'!$A$3,"MA_HT","DSH","MA_QH","SKS")</f>
        <v>0</v>
      </c>
      <c r="AA52" s="52">
        <f ca="1" t="shared" si="21"/>
        <v>0</v>
      </c>
      <c r="AB52" s="22">
        <f ca="1">+GETPIVOTDATA("TNG4",'ngaigiao (2016)'!$A$3,"MA_HT","DSH","MA_QH","DGT")</f>
        <v>0</v>
      </c>
      <c r="AC52" s="22">
        <f ca="1">+GETPIVOTDATA("TNG4",'ngaigiao (2016)'!$A$3,"MA_HT","DSH","MA_QH","DTL")</f>
        <v>0</v>
      </c>
      <c r="AD52" s="22">
        <f ca="1">+GETPIVOTDATA("TNG4",'ngaigiao (2016)'!$A$3,"MA_HT","DSH","MA_QH","DNL")</f>
        <v>0</v>
      </c>
      <c r="AE52" s="22">
        <f ca="1">+GETPIVOTDATA("TNG4",'ngaigiao (2016)'!$A$3,"MA_HT","DSH","MA_QH","DBV")</f>
        <v>0</v>
      </c>
      <c r="AF52" s="22">
        <f ca="1">+GETPIVOTDATA("TNG4",'ngaigiao (2016)'!$A$3,"MA_HT","DSH","MA_QH","DVH")</f>
        <v>0</v>
      </c>
      <c r="AG52" s="22">
        <f ca="1">+GETPIVOTDATA("TNG4",'ngaigiao (2016)'!$A$3,"MA_HT","DSH","MA_QH","DYT")</f>
        <v>0</v>
      </c>
      <c r="AH52" s="22">
        <f ca="1">+GETPIVOTDATA("TNG4",'ngaigiao (2016)'!$A$3,"MA_HT","DSH","MA_QH","DGD")</f>
        <v>0</v>
      </c>
      <c r="AI52" s="22">
        <f ca="1">+GETPIVOTDATA("TNG4",'ngaigiao (2016)'!$A$3,"MA_HT","DSH","MA_QH","DTT")</f>
        <v>0</v>
      </c>
      <c r="AJ52" s="22">
        <f ca="1">+GETPIVOTDATA("TNG4",'ngaigiao (2016)'!$A$3,"MA_HT","DSH","MA_QH","NCK")</f>
        <v>0</v>
      </c>
      <c r="AK52" s="22">
        <f ca="1">+GETPIVOTDATA("TNG4",'ngaigiao (2016)'!$A$3,"MA_HT","DSH","MA_QH","DXH")</f>
        <v>0</v>
      </c>
      <c r="AL52" s="22">
        <f ca="1">+GETPIVOTDATA("TNG4",'ngaigiao (2016)'!$A$3,"MA_HT","DSH","MA_QH","DCH")</f>
        <v>0</v>
      </c>
      <c r="AM52" s="22">
        <f ca="1">+GETPIVOTDATA("TNG4",'ngaigiao (2016)'!$A$3,"MA_HT","DSH","MA_QH","DKG")</f>
        <v>0</v>
      </c>
      <c r="AN52" s="22">
        <f ca="1">+GETPIVOTDATA("TNG4",'ngaigiao (2016)'!$A$3,"MA_HT","DSH","MA_QH","DDT")</f>
        <v>0</v>
      </c>
      <c r="AO52" s="22">
        <f ca="1">+GETPIVOTDATA("TNG4",'ngaigiao (2016)'!$A$3,"MA_HT","DSH","MA_QH","DDL")</f>
        <v>0</v>
      </c>
      <c r="AP52" s="22">
        <f ca="1">+GETPIVOTDATA("TNG4",'ngaigiao (2016)'!$A$3,"MA_HT","DSH","MA_QH","DRA")</f>
        <v>0</v>
      </c>
      <c r="AQ52" s="22">
        <f ca="1">+GETPIVOTDATA("TNG4",'ngaigiao (2016)'!$A$3,"MA_HT","DSH","MA_QH","ONT")</f>
        <v>0</v>
      </c>
      <c r="AR52" s="22">
        <f ca="1">+GETPIVOTDATA("TNG4",'ngaigiao (2016)'!$A$3,"MA_HT","DSH","MA_QH","ODT")</f>
        <v>0</v>
      </c>
      <c r="AS52" s="22">
        <f ca="1">+GETPIVOTDATA("TNG4",'ngaigiao (2016)'!$A$3,"MA_HT","DSH","MA_QH","TSC")</f>
        <v>0</v>
      </c>
      <c r="AT52" s="22">
        <f ca="1">+GETPIVOTDATA("TNG4",'ngaigiao (2016)'!$A$3,"MA_HT","DSH","MA_QH","DTS")</f>
        <v>0</v>
      </c>
      <c r="AU52" s="22">
        <f ca="1">+GETPIVOTDATA("TNG4",'ngaigiao (2016)'!$A$3,"MA_HT","DSH","MA_QH","DNG")</f>
        <v>0</v>
      </c>
      <c r="AV52" s="22">
        <f ca="1">+GETPIVOTDATA("TNG4",'ngaigiao (2016)'!$A$3,"MA_HT","DSH","MA_QH","TON")</f>
        <v>0</v>
      </c>
      <c r="AW52" s="22">
        <f ca="1">+GETPIVOTDATA("TNG4",'ngaigiao (2016)'!$A$3,"MA_HT","DSH","MA_QH","NTD")</f>
        <v>0</v>
      </c>
      <c r="AX52" s="22">
        <f ca="1">+GETPIVOTDATA("TNG4",'ngaigiao (2016)'!$A$3,"MA_HT","DSH","MA_QH","SKX")</f>
        <v>0</v>
      </c>
      <c r="AY52" s="43" t="e">
        <f ca="1">$D52-$BF52</f>
        <v>#REF!</v>
      </c>
      <c r="AZ52" s="22">
        <f ca="1">+GETPIVOTDATA("TNG4",'ngaigiao (2016)'!$A$3,"MA_HT","DSH","MA_QH","DKV")</f>
        <v>0</v>
      </c>
      <c r="BA52" s="89">
        <f ca="1">+GETPIVOTDATA("TNG4",'ngaigiao (2016)'!$A$3,"MA_HT","DSH","MA_QH","TIN")</f>
        <v>0</v>
      </c>
      <c r="BB52" s="50">
        <f ca="1">+GETPIVOTDATA("TNG4",'ngaigiao (2016)'!$A$3,"MA_HT","DSH","MA_QH","SON")</f>
        <v>0</v>
      </c>
      <c r="BC52" s="50">
        <f ca="1">+GETPIVOTDATA("TNG4",'ngaigiao (2016)'!$A$3,"MA_HT","DSH","MA_QH","MNC")</f>
        <v>0</v>
      </c>
      <c r="BD52" s="22">
        <f ca="1">+GETPIVOTDATA("TNG4",'ngaigiao (2016)'!$A$3,"MA_HT","DSH","MA_QH","PNK")</f>
        <v>0</v>
      </c>
      <c r="BE52" s="71">
        <f ca="1">+GETPIVOTDATA("TNG4",'ngaigiao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+GETPIVOTDATA("TNG4",'ngaigiao (2016)'!$A$3,"MA_HT","DKV","MA_QH","LUC")</f>
        <v>0</v>
      </c>
      <c r="H53" s="22">
        <f ca="1">+GETPIVOTDATA("TNG4",'ngaigiao (2016)'!$A$3,"MA_HT","DKV","MA_QH","LUK")</f>
        <v>0</v>
      </c>
      <c r="I53" s="22">
        <f ca="1">+GETPIVOTDATA("TNG4",'ngaigiao (2016)'!$A$3,"MA_HT","DKV","MA_QH","LUN")</f>
        <v>0</v>
      </c>
      <c r="J53" s="22">
        <f ca="1">+GETPIVOTDATA("TNG4",'ngaigiao (2016)'!$A$3,"MA_HT","DKV","MA_QH","HNK")</f>
        <v>0</v>
      </c>
      <c r="K53" s="22">
        <f ca="1">+GETPIVOTDATA("TNG4",'ngaigiao (2016)'!$A$3,"MA_HT","DKV","MA_QH","CLN")</f>
        <v>0</v>
      </c>
      <c r="L53" s="22">
        <f ca="1">+GETPIVOTDATA("TNG4",'ngaigiao (2016)'!$A$3,"MA_HT","DKV","MA_QH","RSX")</f>
        <v>0</v>
      </c>
      <c r="M53" s="22">
        <f ca="1">+GETPIVOTDATA("TNG4",'ngaigiao (2016)'!$A$3,"MA_HT","DKV","MA_QH","RPH")</f>
        <v>0</v>
      </c>
      <c r="N53" s="22">
        <f ca="1">+GETPIVOTDATA("TNG4",'ngaigiao (2016)'!$A$3,"MA_HT","DKV","MA_QH","RDD")</f>
        <v>0</v>
      </c>
      <c r="O53" s="22">
        <f ca="1">+GETPIVOTDATA("TNG4",'ngaigiao (2016)'!$A$3,"MA_HT","DKV","MA_QH","NTS")</f>
        <v>0</v>
      </c>
      <c r="P53" s="22">
        <f ca="1">+GETPIVOTDATA("TNG4",'ngaigiao (2016)'!$A$3,"MA_HT","DKV","MA_QH","LMU")</f>
        <v>0</v>
      </c>
      <c r="Q53" s="22">
        <f ca="1">+GETPIVOTDATA("TNG4",'ngaigiao (2016)'!$A$3,"MA_HT","DKV","MA_QH","NKH")</f>
        <v>0</v>
      </c>
      <c r="R53" s="79">
        <f ca="1">SUM(S53:AA53,AN53:AY53,BB53:BD53)</f>
        <v>0</v>
      </c>
      <c r="S53" s="22">
        <f ca="1">+GETPIVOTDATA("TNG4",'ngaigiao (2016)'!$A$3,"MA_HT","DKV","MA_QH","CQP")</f>
        <v>0</v>
      </c>
      <c r="T53" s="22">
        <f ca="1">+GETPIVOTDATA("TNG4",'ngaigiao (2016)'!$A$3,"MA_HT","DKV","MA_QH","CAN")</f>
        <v>0</v>
      </c>
      <c r="U53" s="22">
        <f ca="1">+GETPIVOTDATA("TNG4",'ngaigiao (2016)'!$A$3,"MA_HT","DKV","MA_QH","SKK")</f>
        <v>0</v>
      </c>
      <c r="V53" s="22">
        <f ca="1">+GETPIVOTDATA("TNG4",'ngaigiao (2016)'!$A$3,"MA_HT","DKV","MA_QH","SKT")</f>
        <v>0</v>
      </c>
      <c r="W53" s="22">
        <f ca="1">+GETPIVOTDATA("TNG4",'ngaigiao (2016)'!$A$3,"MA_HT","DKV","MA_QH","SKN")</f>
        <v>0</v>
      </c>
      <c r="X53" s="22">
        <f ca="1">+GETPIVOTDATA("TNG4",'ngaigiao (2016)'!$A$3,"MA_HT","DKV","MA_QH","TMD")</f>
        <v>0</v>
      </c>
      <c r="Y53" s="22">
        <f ca="1">+GETPIVOTDATA("TNG4",'ngaigiao (2016)'!$A$3,"MA_HT","DKV","MA_QH","SKC")</f>
        <v>0</v>
      </c>
      <c r="Z53" s="22">
        <f ca="1">+GETPIVOTDATA("TNG4",'ngaigiao (2016)'!$A$3,"MA_HT","DKV","MA_QH","SKS")</f>
        <v>0</v>
      </c>
      <c r="AA53" s="52">
        <f ca="1" t="shared" si="21"/>
        <v>0</v>
      </c>
      <c r="AB53" s="22">
        <f ca="1">+GETPIVOTDATA("TNG4",'ngaigiao (2016)'!$A$3,"MA_HT","DKV","MA_QH","DGT")</f>
        <v>0</v>
      </c>
      <c r="AC53" s="22">
        <f ca="1">+GETPIVOTDATA("TNG4",'ngaigiao (2016)'!$A$3,"MA_HT","DKV","MA_QH","DTL")</f>
        <v>0</v>
      </c>
      <c r="AD53" s="22">
        <f ca="1">+GETPIVOTDATA("TNG4",'ngaigiao (2016)'!$A$3,"MA_HT","DKV","MA_QH","DNL")</f>
        <v>0</v>
      </c>
      <c r="AE53" s="22">
        <f ca="1">+GETPIVOTDATA("TNG4",'ngaigiao (2016)'!$A$3,"MA_HT","DKV","MA_QH","DBV")</f>
        <v>0</v>
      </c>
      <c r="AF53" s="22">
        <f ca="1">+GETPIVOTDATA("TNG4",'ngaigiao (2016)'!$A$3,"MA_HT","DKV","MA_QH","DVH")</f>
        <v>0</v>
      </c>
      <c r="AG53" s="22">
        <f ca="1">+GETPIVOTDATA("TNG4",'ngaigiao (2016)'!$A$3,"MA_HT","DKV","MA_QH","DYT")</f>
        <v>0</v>
      </c>
      <c r="AH53" s="22">
        <f ca="1">+GETPIVOTDATA("TNG4",'ngaigiao (2016)'!$A$3,"MA_HT","DKV","MA_QH","DGD")</f>
        <v>0</v>
      </c>
      <c r="AI53" s="22">
        <f ca="1">+GETPIVOTDATA("TNG4",'ngaigiao (2016)'!$A$3,"MA_HT","DKV","MA_QH","DTT")</f>
        <v>0</v>
      </c>
      <c r="AJ53" s="22">
        <f ca="1">+GETPIVOTDATA("TNG4",'ngaigiao (2016)'!$A$3,"MA_HT","DKV","MA_QH","NCK")</f>
        <v>0</v>
      </c>
      <c r="AK53" s="22">
        <f ca="1">+GETPIVOTDATA("TNG4",'ngaigiao (2016)'!$A$3,"MA_HT","DKV","MA_QH","DXH")</f>
        <v>0</v>
      </c>
      <c r="AL53" s="22">
        <f ca="1">+GETPIVOTDATA("TNG4",'ngaigiao (2016)'!$A$3,"MA_HT","DKV","MA_QH","DCH")</f>
        <v>0</v>
      </c>
      <c r="AM53" s="22">
        <f ca="1">+GETPIVOTDATA("TNG4",'ngaigiao (2016)'!$A$3,"MA_HT","DKV","MA_QH","DKG")</f>
        <v>0</v>
      </c>
      <c r="AN53" s="22">
        <f ca="1">+GETPIVOTDATA("TNG4",'ngaigiao (2016)'!$A$3,"MA_HT","DKV","MA_QH","DDT")</f>
        <v>0</v>
      </c>
      <c r="AO53" s="22">
        <f ca="1">+GETPIVOTDATA("TNG4",'ngaigiao (2016)'!$A$3,"MA_HT","DKV","MA_QH","DDL")</f>
        <v>0</v>
      </c>
      <c r="AP53" s="22">
        <f ca="1">+GETPIVOTDATA("TNG4",'ngaigiao (2016)'!$A$3,"MA_HT","DKV","MA_QH","DRA")</f>
        <v>0</v>
      </c>
      <c r="AQ53" s="22">
        <f ca="1">+GETPIVOTDATA("TNG4",'ngaigiao (2016)'!$A$3,"MA_HT","DKV","MA_QH","ONT")</f>
        <v>0</v>
      </c>
      <c r="AR53" s="22">
        <f ca="1">+GETPIVOTDATA("TNG4",'ngaigiao (2016)'!$A$3,"MA_HT","DKV","MA_QH","ODT")</f>
        <v>0</v>
      </c>
      <c r="AS53" s="22">
        <f ca="1">+GETPIVOTDATA("TNG4",'ngaigiao (2016)'!$A$3,"MA_HT","DKV","MA_QH","TSC")</f>
        <v>0</v>
      </c>
      <c r="AT53" s="22">
        <f ca="1">+GETPIVOTDATA("TNG4",'ngaigiao (2016)'!$A$3,"MA_HT","DKV","MA_QH","DTS")</f>
        <v>0</v>
      </c>
      <c r="AU53" s="22">
        <f ca="1">+GETPIVOTDATA("TNG4",'ngaigiao (2016)'!$A$3,"MA_HT","DKV","MA_QH","DNG")</f>
        <v>0</v>
      </c>
      <c r="AV53" s="22">
        <f ca="1">+GETPIVOTDATA("TNG4",'ngaigiao (2016)'!$A$3,"MA_HT","DKV","MA_QH","TON")</f>
        <v>0</v>
      </c>
      <c r="AW53" s="22">
        <f ca="1">+GETPIVOTDATA("TNG4",'ngaigiao (2016)'!$A$3,"MA_HT","DKV","MA_QH","NTD")</f>
        <v>0</v>
      </c>
      <c r="AX53" s="22">
        <f ca="1">+GETPIVOTDATA("TNG4",'ngaigiao (2016)'!$A$3,"MA_HT","DKV","MA_QH","SKX")</f>
        <v>0</v>
      </c>
      <c r="AY53" s="22">
        <f ca="1">+GETPIVOTDATA("TNG4",'ngaigiao (2016)'!$A$3,"MA_HT","DKV","MA_QH","DSH")</f>
        <v>0</v>
      </c>
      <c r="AZ53" s="43" t="e">
        <f ca="1">$D53-$BF53</f>
        <v>#REF!</v>
      </c>
      <c r="BA53" s="89">
        <f ca="1">+GETPIVOTDATA("TNG4",'ngaigiao (2016)'!$A$3,"MA_HT","DKV","MA_QH","TIN")</f>
        <v>0</v>
      </c>
      <c r="BB53" s="50">
        <f ca="1">+GETPIVOTDATA("TNG4",'ngaigiao (2016)'!$A$3,"MA_HT","DKV","MA_QH","SON")</f>
        <v>0</v>
      </c>
      <c r="BC53" s="50">
        <f ca="1">+GETPIVOTDATA("TNG4",'ngaigiao (2016)'!$A$3,"MA_HT","DKV","MA_QH","MNC")</f>
        <v>0</v>
      </c>
      <c r="BD53" s="22">
        <f ca="1">+GETPIVOTDATA("TNG4",'ngaigiao (2016)'!$A$3,"MA_HT","DKV","MA_QH","PNK")</f>
        <v>0</v>
      </c>
      <c r="BE53" s="71">
        <f ca="1">+GETPIVOTDATA("TNG4",'ngaigiao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+GETPIVOTDATA("TNG4",'ngaigiao (2016)'!$A$3,"MA_HT","TIN","MA_QH","LUC")</f>
        <v>0</v>
      </c>
      <c r="H54" s="22">
        <f ca="1">+GETPIVOTDATA("TNG4",'ngaigiao (2016)'!$A$3,"MA_HT","TIN","MA_QH","LUK")</f>
        <v>0</v>
      </c>
      <c r="I54" s="22">
        <f ca="1">+GETPIVOTDATA("TNG4",'ngaigiao (2016)'!$A$3,"MA_HT","TIN","MA_QH","LUN")</f>
        <v>0</v>
      </c>
      <c r="J54" s="22">
        <f ca="1">+GETPIVOTDATA("TNG4",'ngaigiao (2016)'!$A$3,"MA_HT","TIN","MA_QH","HNK")</f>
        <v>0</v>
      </c>
      <c r="K54" s="22">
        <f ca="1">+GETPIVOTDATA("TNG4",'ngaigiao (2016)'!$A$3,"MA_HT","TIN","MA_QH","CLN")</f>
        <v>0</v>
      </c>
      <c r="L54" s="22">
        <f ca="1">+GETPIVOTDATA("TNG4",'ngaigiao (2016)'!$A$3,"MA_HT","TIN","MA_QH","RSX")</f>
        <v>0</v>
      </c>
      <c r="M54" s="22">
        <f ca="1">+GETPIVOTDATA("TNG4",'ngaigiao (2016)'!$A$3,"MA_HT","TIN","MA_QH","RPH")</f>
        <v>0</v>
      </c>
      <c r="N54" s="22">
        <f ca="1">+GETPIVOTDATA("TNG4",'ngaigiao (2016)'!$A$3,"MA_HT","TIN","MA_QH","RDD")</f>
        <v>0</v>
      </c>
      <c r="O54" s="22">
        <f ca="1">+GETPIVOTDATA("TNG4",'ngaigiao (2016)'!$A$3,"MA_HT","TIN","MA_QH","NTS")</f>
        <v>0</v>
      </c>
      <c r="P54" s="22">
        <f ca="1">+GETPIVOTDATA("TNG4",'ngaigiao (2016)'!$A$3,"MA_HT","TIN","MA_QH","LMU")</f>
        <v>0</v>
      </c>
      <c r="Q54" s="22">
        <f ca="1">+GETPIVOTDATA("TNG4",'ngaigiao (2016)'!$A$3,"MA_HT","TIN","MA_QH","NKH")</f>
        <v>0</v>
      </c>
      <c r="R54" s="79">
        <f ca="1">SUM(S54:AA54,AN54:AZ54,BB54:BD54)</f>
        <v>0</v>
      </c>
      <c r="S54" s="22">
        <f ca="1">+GETPIVOTDATA("TNG4",'ngaigiao (2016)'!$A$3,"MA_HT","TIN","MA_QH","CQP")</f>
        <v>0</v>
      </c>
      <c r="T54" s="22">
        <f ca="1">+GETPIVOTDATA("TNG4",'ngaigiao (2016)'!$A$3,"MA_HT","TIN","MA_QH","CAN")</f>
        <v>0</v>
      </c>
      <c r="U54" s="22">
        <f ca="1">+GETPIVOTDATA("TNG4",'ngaigiao (2016)'!$A$3,"MA_HT","TIN","MA_QH","SKK")</f>
        <v>0</v>
      </c>
      <c r="V54" s="22">
        <f ca="1">+GETPIVOTDATA("TNG4",'ngaigiao (2016)'!$A$3,"MA_HT","TIN","MA_QH","SKT")</f>
        <v>0</v>
      </c>
      <c r="W54" s="22">
        <f ca="1">+GETPIVOTDATA("TNG4",'ngaigiao (2016)'!$A$3,"MA_HT","TIN","MA_QH","SKN")</f>
        <v>0</v>
      </c>
      <c r="X54" s="22">
        <f ca="1">+GETPIVOTDATA("TNG4",'ngaigiao (2016)'!$A$3,"MA_HT","TIN","MA_QH","TMD")</f>
        <v>0</v>
      </c>
      <c r="Y54" s="22">
        <f ca="1">+GETPIVOTDATA("TNG4",'ngaigiao (2016)'!$A$3,"MA_HT","TIN","MA_QH","SKC")</f>
        <v>0</v>
      </c>
      <c r="Z54" s="22">
        <f ca="1">+GETPIVOTDATA("TNG4",'ngaigiao (2016)'!$A$3,"MA_HT","TIN","MA_QH","SKS")</f>
        <v>0</v>
      </c>
      <c r="AA54" s="52">
        <f ca="1" t="shared" si="21"/>
        <v>0</v>
      </c>
      <c r="AB54" s="22">
        <f ca="1">+GETPIVOTDATA("TNG4",'ngaigiao (2016)'!$A$3,"MA_HT","TIN","MA_QH","DGT")</f>
        <v>0</v>
      </c>
      <c r="AC54" s="22">
        <f ca="1">+GETPIVOTDATA("TNG4",'ngaigiao (2016)'!$A$3,"MA_HT","TIN","MA_QH","DTL")</f>
        <v>0</v>
      </c>
      <c r="AD54" s="22">
        <f ca="1">+GETPIVOTDATA("TNG4",'ngaigiao (2016)'!$A$3,"MA_HT","TIN","MA_QH","DNL")</f>
        <v>0</v>
      </c>
      <c r="AE54" s="22">
        <f ca="1">+GETPIVOTDATA("TNG4",'ngaigiao (2016)'!$A$3,"MA_HT","TIN","MA_QH","DBV")</f>
        <v>0</v>
      </c>
      <c r="AF54" s="22">
        <f ca="1">+GETPIVOTDATA("TNG4",'ngaigiao (2016)'!$A$3,"MA_HT","TIN","MA_QH","DVH")</f>
        <v>0</v>
      </c>
      <c r="AG54" s="22">
        <f ca="1">+GETPIVOTDATA("TNG4",'ngaigiao (2016)'!$A$3,"MA_HT","TIN","MA_QH","DYT")</f>
        <v>0</v>
      </c>
      <c r="AH54" s="22">
        <f ca="1">+GETPIVOTDATA("TNG4",'ngaigiao (2016)'!$A$3,"MA_HT","TIN","MA_QH","DGD")</f>
        <v>0</v>
      </c>
      <c r="AI54" s="22">
        <f ca="1">+GETPIVOTDATA("TNG4",'ngaigiao (2016)'!$A$3,"MA_HT","TIN","MA_QH","DTT")</f>
        <v>0</v>
      </c>
      <c r="AJ54" s="22">
        <f ca="1">+GETPIVOTDATA("TNG4",'ngaigiao (2016)'!$A$3,"MA_HT","TIN","MA_QH","NCK")</f>
        <v>0</v>
      </c>
      <c r="AK54" s="22">
        <f ca="1">+GETPIVOTDATA("TNG4",'ngaigiao (2016)'!$A$3,"MA_HT","TIN","MA_QH","DXH")</f>
        <v>0</v>
      </c>
      <c r="AL54" s="22">
        <f ca="1">+GETPIVOTDATA("TNG4",'ngaigiao (2016)'!$A$3,"MA_HT","TIN","MA_QH","DCH")</f>
        <v>0</v>
      </c>
      <c r="AM54" s="22">
        <f ca="1">+GETPIVOTDATA("TNG4",'ngaigiao (2016)'!$A$3,"MA_HT","TIN","MA_QH","DKG")</f>
        <v>0</v>
      </c>
      <c r="AN54" s="22">
        <f ca="1">+GETPIVOTDATA("TNG4",'ngaigiao (2016)'!$A$3,"MA_HT","TIN","MA_QH","DDT")</f>
        <v>0</v>
      </c>
      <c r="AO54" s="22">
        <f ca="1">+GETPIVOTDATA("TNG4",'ngaigiao (2016)'!$A$3,"MA_HT","TIN","MA_QH","DDL")</f>
        <v>0</v>
      </c>
      <c r="AP54" s="22">
        <f ca="1">+GETPIVOTDATA("TNG4",'ngaigiao (2016)'!$A$3,"MA_HT","TIN","MA_QH","DRA")</f>
        <v>0</v>
      </c>
      <c r="AQ54" s="22">
        <f ca="1">+GETPIVOTDATA("TNG4",'ngaigiao (2016)'!$A$3,"MA_HT","TIN","MA_QH","ONT")</f>
        <v>0</v>
      </c>
      <c r="AR54" s="22">
        <f ca="1">+GETPIVOTDATA("TNG4",'ngaigiao (2016)'!$A$3,"MA_HT","TIN","MA_QH","ODT")</f>
        <v>0</v>
      </c>
      <c r="AS54" s="22">
        <f ca="1">+GETPIVOTDATA("TNG4",'ngaigiao (2016)'!$A$3,"MA_HT","TIN","MA_QH","TSC")</f>
        <v>0</v>
      </c>
      <c r="AT54" s="22">
        <f ca="1">+GETPIVOTDATA("TNG4",'ngaigiao (2016)'!$A$3,"MA_HT","TIN","MA_QH","DTS")</f>
        <v>0</v>
      </c>
      <c r="AU54" s="22">
        <f ca="1">+GETPIVOTDATA("TNG4",'ngaigiao (2016)'!$A$3,"MA_HT","TIN","MA_QH","DNG")</f>
        <v>0</v>
      </c>
      <c r="AV54" s="22">
        <f ca="1">+GETPIVOTDATA("TNG4",'ngaigiao (2016)'!$A$3,"MA_HT","TIN","MA_QH","TON")</f>
        <v>0</v>
      </c>
      <c r="AW54" s="22">
        <f ca="1">+GETPIVOTDATA("TNG4",'ngaigiao (2016)'!$A$3,"MA_HT","TIN","MA_QH","NTD")</f>
        <v>0</v>
      </c>
      <c r="AX54" s="22">
        <f ca="1">+GETPIVOTDATA("TNG4",'ngaigiao (2016)'!$A$3,"MA_HT","TIN","MA_QH","SKX")</f>
        <v>0</v>
      </c>
      <c r="AY54" s="22">
        <f ca="1">+GETPIVOTDATA("TNG4",'ngaigiao (2016)'!$A$3,"MA_HT","TIN","MA_QH","DSH")</f>
        <v>0</v>
      </c>
      <c r="AZ54" s="22">
        <f ca="1">+GETPIVOTDATA("TNG4",'ngaigiao (2016)'!$A$3,"MA_HT","TIN","MA_QH","DKV")</f>
        <v>0</v>
      </c>
      <c r="BA54" s="43" t="e">
        <f ca="1">$D54-$BF54</f>
        <v>#REF!</v>
      </c>
      <c r="BB54" s="22">
        <f ca="1">+GETPIVOTDATA("TNG4",'ngaigiao (2016)'!$A$3,"MA_HT","TIN","MA_QH","SON")</f>
        <v>0</v>
      </c>
      <c r="BC54" s="22">
        <f ca="1">+GETPIVOTDATA("TNG4",'ngaigiao (2016)'!$A$3,"MA_HT","TIN","MA_QH","MNC")</f>
        <v>0</v>
      </c>
      <c r="BD54" s="22">
        <f ca="1">+GETPIVOTDATA("TNG4",'ngaigiao (2016)'!$A$3,"MA_HT","TIN","MA_QH","PNK")</f>
        <v>0</v>
      </c>
      <c r="BE54" s="71">
        <f ca="1">+GETPIVOTDATA("TNG4",'ngaigiao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+GETPIVOTDATA("TNG4",'ngaigiao (2016)'!$A$3,"MA_HT","SON","MA_QH","LUC")</f>
        <v>0</v>
      </c>
      <c r="H55" s="22">
        <f ca="1">+GETPIVOTDATA("TNG4",'ngaigiao (2016)'!$A$3,"MA_HT","SON","MA_QH","LUK")</f>
        <v>0</v>
      </c>
      <c r="I55" s="22">
        <f ca="1">+GETPIVOTDATA("TNG4",'ngaigiao (2016)'!$A$3,"MA_HT","SON","MA_QH","LUN")</f>
        <v>0</v>
      </c>
      <c r="J55" s="22">
        <f ca="1">+GETPIVOTDATA("TNG4",'ngaigiao (2016)'!$A$3,"MA_HT","SON","MA_QH","HNK")</f>
        <v>0</v>
      </c>
      <c r="K55" s="22">
        <f ca="1">+GETPIVOTDATA("TNG4",'ngaigiao (2016)'!$A$3,"MA_HT","SON","MA_QH","CLN")</f>
        <v>0</v>
      </c>
      <c r="L55" s="22">
        <f ca="1">+GETPIVOTDATA("TNG4",'ngaigiao (2016)'!$A$3,"MA_HT","SON","MA_QH","RSX")</f>
        <v>0</v>
      </c>
      <c r="M55" s="22">
        <f ca="1">+GETPIVOTDATA("TNG4",'ngaigiao (2016)'!$A$3,"MA_HT","SON","MA_QH","RPH")</f>
        <v>0</v>
      </c>
      <c r="N55" s="22">
        <f ca="1">+GETPIVOTDATA("TNG4",'ngaigiao (2016)'!$A$3,"MA_HT","SON","MA_QH","RDD")</f>
        <v>0</v>
      </c>
      <c r="O55" s="22">
        <f ca="1">+GETPIVOTDATA("TNG4",'ngaigiao (2016)'!$A$3,"MA_HT","SON","MA_QH","NTS")</f>
        <v>0</v>
      </c>
      <c r="P55" s="22">
        <f ca="1">+GETPIVOTDATA("TNG4",'ngaigiao (2016)'!$A$3,"MA_HT","SON","MA_QH","LMU")</f>
        <v>0</v>
      </c>
      <c r="Q55" s="22">
        <f ca="1">+GETPIVOTDATA("TNG4",'ngaigiao (2016)'!$A$3,"MA_HT","SON","MA_QH","NKH")</f>
        <v>0</v>
      </c>
      <c r="R55" s="79">
        <f ca="1">SUM(S55:AA55,AN55:AZ55,BC55:BD55)</f>
        <v>0</v>
      </c>
      <c r="S55" s="22">
        <f ca="1">+GETPIVOTDATA("TNG4",'ngaigiao (2016)'!$A$3,"MA_HT","SON","MA_QH","CQP")</f>
        <v>0</v>
      </c>
      <c r="T55" s="22">
        <f ca="1">+GETPIVOTDATA("TNG4",'ngaigiao (2016)'!$A$3,"MA_HT","SON","MA_QH","CAN")</f>
        <v>0</v>
      </c>
      <c r="U55" s="22">
        <f ca="1">+GETPIVOTDATA("TNG4",'ngaigiao (2016)'!$A$3,"MA_HT","SON","MA_QH","SKK")</f>
        <v>0</v>
      </c>
      <c r="V55" s="22">
        <f ca="1">+GETPIVOTDATA("TNG4",'ngaigiao (2016)'!$A$3,"MA_HT","SON","MA_QH","SKT")</f>
        <v>0</v>
      </c>
      <c r="W55" s="22">
        <f ca="1">+GETPIVOTDATA("TNG4",'ngaigiao (2016)'!$A$3,"MA_HT","SON","MA_QH","SKN")</f>
        <v>0</v>
      </c>
      <c r="X55" s="22">
        <f ca="1">+GETPIVOTDATA("TNG4",'ngaigiao (2016)'!$A$3,"MA_HT","SON","MA_QH","TMD")</f>
        <v>0</v>
      </c>
      <c r="Y55" s="22">
        <f ca="1">+GETPIVOTDATA("TNG4",'ngaigiao (2016)'!$A$3,"MA_HT","SON","MA_QH","SKC")</f>
        <v>0</v>
      </c>
      <c r="Z55" s="22">
        <f ca="1">+GETPIVOTDATA("TNG4",'ngaigiao (2016)'!$A$3,"MA_HT","SON","MA_QH","SKS")</f>
        <v>0</v>
      </c>
      <c r="AA55" s="52">
        <f ca="1" t="shared" si="21"/>
        <v>0</v>
      </c>
      <c r="AB55" s="22">
        <f ca="1">+GETPIVOTDATA("TNG4",'ngaigiao (2016)'!$A$3,"MA_HT","SON","MA_QH","DGT")</f>
        <v>0</v>
      </c>
      <c r="AC55" s="22">
        <f ca="1">+GETPIVOTDATA("TNG4",'ngaigiao (2016)'!$A$3,"MA_HT","SON","MA_QH","DTL")</f>
        <v>0</v>
      </c>
      <c r="AD55" s="22">
        <f ca="1">+GETPIVOTDATA("TNG4",'ngaigiao (2016)'!$A$3,"MA_HT","SON","MA_QH","DNL")</f>
        <v>0</v>
      </c>
      <c r="AE55" s="22">
        <f ca="1">+GETPIVOTDATA("TNG4",'ngaigiao (2016)'!$A$3,"MA_HT","SON","MA_QH","DBV")</f>
        <v>0</v>
      </c>
      <c r="AF55" s="22">
        <f ca="1">+GETPIVOTDATA("TNG4",'ngaigiao (2016)'!$A$3,"MA_HT","SON","MA_QH","DVH")</f>
        <v>0</v>
      </c>
      <c r="AG55" s="22">
        <f ca="1">+GETPIVOTDATA("TNG4",'ngaigiao (2016)'!$A$3,"MA_HT","SON","MA_QH","DYT")</f>
        <v>0</v>
      </c>
      <c r="AH55" s="22">
        <f ca="1">+GETPIVOTDATA("TNG4",'ngaigiao (2016)'!$A$3,"MA_HT","SON","MA_QH","DGD")</f>
        <v>0</v>
      </c>
      <c r="AI55" s="22">
        <f ca="1">+GETPIVOTDATA("TNG4",'ngaigiao (2016)'!$A$3,"MA_HT","SON","MA_QH","DTT")</f>
        <v>0</v>
      </c>
      <c r="AJ55" s="22">
        <f ca="1">+GETPIVOTDATA("TNG4",'ngaigiao (2016)'!$A$3,"MA_HT","SON","MA_QH","NCK")</f>
        <v>0</v>
      </c>
      <c r="AK55" s="22">
        <f ca="1">+GETPIVOTDATA("TNG4",'ngaigiao (2016)'!$A$3,"MA_HT","SON","MA_QH","DXH")</f>
        <v>0</v>
      </c>
      <c r="AL55" s="22">
        <f ca="1">+GETPIVOTDATA("TNG4",'ngaigiao (2016)'!$A$3,"MA_HT","SON","MA_QH","DCH")</f>
        <v>0</v>
      </c>
      <c r="AM55" s="22">
        <f ca="1">+GETPIVOTDATA("TNG4",'ngaigiao (2016)'!$A$3,"MA_HT","SON","MA_QH","DKG")</f>
        <v>0</v>
      </c>
      <c r="AN55" s="22">
        <f ca="1">+GETPIVOTDATA("TNG4",'ngaigiao (2016)'!$A$3,"MA_HT","SON","MA_QH","DDT")</f>
        <v>0</v>
      </c>
      <c r="AO55" s="22">
        <f ca="1">+GETPIVOTDATA("TNG4",'ngaigiao (2016)'!$A$3,"MA_HT","SON","MA_QH","DDL")</f>
        <v>0</v>
      </c>
      <c r="AP55" s="22">
        <f ca="1">+GETPIVOTDATA("TNG4",'ngaigiao (2016)'!$A$3,"MA_HT","SON","MA_QH","DRA")</f>
        <v>0</v>
      </c>
      <c r="AQ55" s="22">
        <f ca="1">+GETPIVOTDATA("TNG4",'ngaigiao (2016)'!$A$3,"MA_HT","SON","MA_QH","ONT")</f>
        <v>0</v>
      </c>
      <c r="AR55" s="22">
        <f ca="1">+GETPIVOTDATA("TNG4",'ngaigiao (2016)'!$A$3,"MA_HT","SON","MA_QH","ODT")</f>
        <v>0</v>
      </c>
      <c r="AS55" s="22">
        <f ca="1">+GETPIVOTDATA("TNG4",'ngaigiao (2016)'!$A$3,"MA_HT","SON","MA_QH","TSC")</f>
        <v>0</v>
      </c>
      <c r="AT55" s="22">
        <f ca="1">+GETPIVOTDATA("TNG4",'ngaigiao (2016)'!$A$3,"MA_HT","SON","MA_QH","DTS")</f>
        <v>0</v>
      </c>
      <c r="AU55" s="22">
        <f ca="1">+GETPIVOTDATA("TNG4",'ngaigiao (2016)'!$A$3,"MA_HT","SON","MA_QH","DNG")</f>
        <v>0</v>
      </c>
      <c r="AV55" s="22">
        <f ca="1">+GETPIVOTDATA("TNG4",'ngaigiao (2016)'!$A$3,"MA_HT","SON","MA_QH","TON")</f>
        <v>0</v>
      </c>
      <c r="AW55" s="22">
        <f ca="1">+GETPIVOTDATA("TNG4",'ngaigiao (2016)'!$A$3,"MA_HT","SON","MA_QH","NTD")</f>
        <v>0</v>
      </c>
      <c r="AX55" s="22">
        <f ca="1">+GETPIVOTDATA("TNG4",'ngaigiao (2016)'!$A$3,"MA_HT","SON","MA_QH","SKX")</f>
        <v>0</v>
      </c>
      <c r="AY55" s="22">
        <f ca="1">+GETPIVOTDATA("TNG4",'ngaigiao (2016)'!$A$3,"MA_HT","SON","MA_QH","DSH")</f>
        <v>0</v>
      </c>
      <c r="AZ55" s="22">
        <f ca="1">+GETPIVOTDATA("TNG4",'ngaigiao (2016)'!$A$3,"MA_HT","SON","MA_QH","DKV")</f>
        <v>0</v>
      </c>
      <c r="BA55" s="89">
        <f ca="1">+GETPIVOTDATA("TNG4",'ngaigiao (2016)'!$A$3,"MA_HT","SON","MA_QH","TIN")</f>
        <v>0</v>
      </c>
      <c r="BB55" s="43" t="e">
        <f ca="1">$D55-$BF55</f>
        <v>#REF!</v>
      </c>
      <c r="BC55" s="50">
        <f ca="1">+GETPIVOTDATA("TNG4",'ngaigiao (2016)'!$A$3,"MA_HT","SON","MA_QH","MNC")</f>
        <v>0</v>
      </c>
      <c r="BD55" s="22">
        <f ca="1">+GETPIVOTDATA("TNG4",'ngaigiao (2016)'!$A$3,"MA_HT","SON","MA_QH","PNK")</f>
        <v>0</v>
      </c>
      <c r="BE55" s="71">
        <f ca="1">+GETPIVOTDATA("TNG4",'ngaigiao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+GETPIVOTDATA("TNG4",'ngaigiao (2016)'!$A$3,"MA_HT","MNC","MA_QH","LUC")</f>
        <v>0</v>
      </c>
      <c r="H56" s="22">
        <f ca="1">+GETPIVOTDATA("TNG4",'ngaigiao (2016)'!$A$3,"MA_HT","MNC","MA_QH","LUK")</f>
        <v>0</v>
      </c>
      <c r="I56" s="22">
        <f ca="1">+GETPIVOTDATA("TNG4",'ngaigiao (2016)'!$A$3,"MA_HT","MNC","MA_QH","LUN")</f>
        <v>0</v>
      </c>
      <c r="J56" s="22">
        <f ca="1">+GETPIVOTDATA("TNG4",'ngaigiao (2016)'!$A$3,"MA_HT","MNC","MA_QH","HNK")</f>
        <v>0</v>
      </c>
      <c r="K56" s="22">
        <f ca="1">+GETPIVOTDATA("TNG4",'ngaigiao (2016)'!$A$3,"MA_HT","MNC","MA_QH","CLN")</f>
        <v>0</v>
      </c>
      <c r="L56" s="22">
        <f ca="1">+GETPIVOTDATA("TNG4",'ngaigiao (2016)'!$A$3,"MA_HT","MNC","MA_QH","RSX")</f>
        <v>0</v>
      </c>
      <c r="M56" s="22">
        <f ca="1">+GETPIVOTDATA("TNG4",'ngaigiao (2016)'!$A$3,"MA_HT","MNC","MA_QH","RPH")</f>
        <v>0</v>
      </c>
      <c r="N56" s="22">
        <f ca="1">+GETPIVOTDATA("TNG4",'ngaigiao (2016)'!$A$3,"MA_HT","MNC","MA_QH","RDD")</f>
        <v>0</v>
      </c>
      <c r="O56" s="22">
        <f ca="1">+GETPIVOTDATA("TNG4",'ngaigiao (2016)'!$A$3,"MA_HT","MNC","MA_QH","NTS")</f>
        <v>0</v>
      </c>
      <c r="P56" s="22">
        <f ca="1">+GETPIVOTDATA("TNG4",'ngaigiao (2016)'!$A$3,"MA_HT","MNC","MA_QH","LMU")</f>
        <v>0</v>
      </c>
      <c r="Q56" s="22">
        <f ca="1">+GETPIVOTDATA("TNG4",'ngaigiao (2016)'!$A$3,"MA_HT","MNC","MA_QH","NKH")</f>
        <v>0</v>
      </c>
      <c r="R56" s="79">
        <f ca="1">SUM(S56:AA56,AN56:BB56,BD56)</f>
        <v>0</v>
      </c>
      <c r="S56" s="22">
        <f ca="1">+GETPIVOTDATA("TNG4",'ngaigiao (2016)'!$A$3,"MA_HT","MNC","MA_QH","CQP")</f>
        <v>0</v>
      </c>
      <c r="T56" s="22">
        <f ca="1">+GETPIVOTDATA("TNG4",'ngaigiao (2016)'!$A$3,"MA_HT","MNC","MA_QH","CAN")</f>
        <v>0</v>
      </c>
      <c r="U56" s="22">
        <f ca="1">+GETPIVOTDATA("TNG4",'ngaigiao (2016)'!$A$3,"MA_HT","MNC","MA_QH","SKK")</f>
        <v>0</v>
      </c>
      <c r="V56" s="22">
        <f ca="1">+GETPIVOTDATA("TNG4",'ngaigiao (2016)'!$A$3,"MA_HT","MNC","MA_QH","SKT")</f>
        <v>0</v>
      </c>
      <c r="W56" s="22">
        <f ca="1">+GETPIVOTDATA("TNG4",'ngaigiao (2016)'!$A$3,"MA_HT","MNC","MA_QH","SKN")</f>
        <v>0</v>
      </c>
      <c r="X56" s="22">
        <f ca="1">+GETPIVOTDATA("TNG4",'ngaigiao (2016)'!$A$3,"MA_HT","MNC","MA_QH","TMD")</f>
        <v>0</v>
      </c>
      <c r="Y56" s="22">
        <f ca="1">+GETPIVOTDATA("TNG4",'ngaigiao (2016)'!$A$3,"MA_HT","MNC","MA_QH","SKC")</f>
        <v>0</v>
      </c>
      <c r="Z56" s="22">
        <f ca="1">+GETPIVOTDATA("TNG4",'ngaigiao (2016)'!$A$3,"MA_HT","MNC","MA_QH","SKS")</f>
        <v>0</v>
      </c>
      <c r="AA56" s="52">
        <f ca="1" t="shared" si="21"/>
        <v>0</v>
      </c>
      <c r="AB56" s="22">
        <f ca="1">+GETPIVOTDATA("TNG4",'ngaigiao (2016)'!$A$3,"MA_HT","MNC","MA_QH","DGT")</f>
        <v>0</v>
      </c>
      <c r="AC56" s="22">
        <f ca="1">+GETPIVOTDATA("TNG4",'ngaigiao (2016)'!$A$3,"MA_HT","MNC","MA_QH","DTL")</f>
        <v>0</v>
      </c>
      <c r="AD56" s="22">
        <f ca="1">+GETPIVOTDATA("TNG4",'ngaigiao (2016)'!$A$3,"MA_HT","MNC","MA_QH","DNL")</f>
        <v>0</v>
      </c>
      <c r="AE56" s="22">
        <f ca="1">+GETPIVOTDATA("TNG4",'ngaigiao (2016)'!$A$3,"MA_HT","MNC","MA_QH","DBV")</f>
        <v>0</v>
      </c>
      <c r="AF56" s="22">
        <f ca="1">+GETPIVOTDATA("TNG4",'ngaigiao (2016)'!$A$3,"MA_HT","MNC","MA_QH","DVH")</f>
        <v>0</v>
      </c>
      <c r="AG56" s="22">
        <f ca="1">+GETPIVOTDATA("TNG4",'ngaigiao (2016)'!$A$3,"MA_HT","MNC","MA_QH","DYT")</f>
        <v>0</v>
      </c>
      <c r="AH56" s="22">
        <f ca="1">+GETPIVOTDATA("TNG4",'ngaigiao (2016)'!$A$3,"MA_HT","MNC","MA_QH","DGD")</f>
        <v>0</v>
      </c>
      <c r="AI56" s="22">
        <f ca="1">+GETPIVOTDATA("TNG4",'ngaigiao (2016)'!$A$3,"MA_HT","MNC","MA_QH","DTT")</f>
        <v>0</v>
      </c>
      <c r="AJ56" s="22">
        <f ca="1">+GETPIVOTDATA("TNG4",'ngaigiao (2016)'!$A$3,"MA_HT","MNC","MA_QH","NCK")</f>
        <v>0</v>
      </c>
      <c r="AK56" s="22">
        <f ca="1">+GETPIVOTDATA("TNG4",'ngaigiao (2016)'!$A$3,"MA_HT","MNC","MA_QH","DXH")</f>
        <v>0</v>
      </c>
      <c r="AL56" s="22">
        <f ca="1">+GETPIVOTDATA("TNG4",'ngaigiao (2016)'!$A$3,"MA_HT","MNC","MA_QH","DCH")</f>
        <v>0</v>
      </c>
      <c r="AM56" s="22">
        <f ca="1">+GETPIVOTDATA("TNG4",'ngaigiao (2016)'!$A$3,"MA_HT","MNC","MA_QH","DKG")</f>
        <v>0</v>
      </c>
      <c r="AN56" s="22">
        <f ca="1">+GETPIVOTDATA("TNG4",'ngaigiao (2016)'!$A$3,"MA_HT","MNC","MA_QH","DDT")</f>
        <v>0</v>
      </c>
      <c r="AO56" s="22">
        <f ca="1">+GETPIVOTDATA("TNG4",'ngaigiao (2016)'!$A$3,"MA_HT","MNC","MA_QH","DDL")</f>
        <v>0</v>
      </c>
      <c r="AP56" s="22">
        <f ca="1">+GETPIVOTDATA("TNG4",'ngaigiao (2016)'!$A$3,"MA_HT","MNC","MA_QH","DRA")</f>
        <v>0</v>
      </c>
      <c r="AQ56" s="22">
        <f ca="1">+GETPIVOTDATA("TNG4",'ngaigiao (2016)'!$A$3,"MA_HT","MNC","MA_QH","ONT")</f>
        <v>0</v>
      </c>
      <c r="AR56" s="22">
        <f ca="1">+GETPIVOTDATA("TNG4",'ngaigiao (2016)'!$A$3,"MA_HT","MNC","MA_QH","ODT")</f>
        <v>0</v>
      </c>
      <c r="AS56" s="22">
        <f ca="1">+GETPIVOTDATA("TNG4",'ngaigiao (2016)'!$A$3,"MA_HT","MNC","MA_QH","TSC")</f>
        <v>0</v>
      </c>
      <c r="AT56" s="22">
        <f ca="1">+GETPIVOTDATA("TNG4",'ngaigiao (2016)'!$A$3,"MA_HT","MNC","MA_QH","DTS")</f>
        <v>0</v>
      </c>
      <c r="AU56" s="22">
        <f ca="1">+GETPIVOTDATA("TNG4",'ngaigiao (2016)'!$A$3,"MA_HT","MNC","MA_QH","DNG")</f>
        <v>0</v>
      </c>
      <c r="AV56" s="22">
        <f ca="1">+GETPIVOTDATA("TNG4",'ngaigiao (2016)'!$A$3,"MA_HT","MNC","MA_QH","TON")</f>
        <v>0</v>
      </c>
      <c r="AW56" s="22">
        <f ca="1">+GETPIVOTDATA("TNG4",'ngaigiao (2016)'!$A$3,"MA_HT","MNC","MA_QH","NTD")</f>
        <v>0</v>
      </c>
      <c r="AX56" s="22">
        <f ca="1">+GETPIVOTDATA("TNG4",'ngaigiao (2016)'!$A$3,"MA_HT","MNC","MA_QH","SKX")</f>
        <v>0</v>
      </c>
      <c r="AY56" s="22">
        <f ca="1">+GETPIVOTDATA("TNG4",'ngaigiao (2016)'!$A$3,"MA_HT","MNC","MA_QH","DSH")</f>
        <v>0</v>
      </c>
      <c r="AZ56" s="22">
        <f ca="1">+GETPIVOTDATA("TNG4",'ngaigiao (2016)'!$A$3,"MA_HT","MNC","MA_QH","DKV")</f>
        <v>0</v>
      </c>
      <c r="BA56" s="89">
        <f ca="1">+GETPIVOTDATA("TNG4",'ngaigiao (2016)'!$A$3,"MA_HT","MNC","MA_QH","TIN")</f>
        <v>0</v>
      </c>
      <c r="BB56" s="50">
        <f ca="1">+GETPIVOTDATA("TNG4",'ngaigiao (2016)'!$A$3,"MA_HT","MNC","MA_QH","SON")</f>
        <v>0</v>
      </c>
      <c r="BC56" s="43" t="e">
        <f ca="1">$D56-$BF56</f>
        <v>#REF!</v>
      </c>
      <c r="BD56" s="22">
        <f ca="1">+GETPIVOTDATA("TNG4",'ngaigiao (2016)'!$A$3,"MA_HT","MNC","MA_QH","PNK")</f>
        <v>0</v>
      </c>
      <c r="BE56" s="71">
        <f ca="1">+GETPIVOTDATA("TNG4",'ngaigiao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+GETPIVOTDATA("TNG4",'ngaigiao (2016)'!$A$3,"MA_HT","PNK","MA_QH","LUC")</f>
        <v>0</v>
      </c>
      <c r="H57" s="22">
        <f ca="1">+GETPIVOTDATA("TNG4",'ngaigiao (2016)'!$A$3,"MA_HT","PNK","MA_QH","LUK")</f>
        <v>0</v>
      </c>
      <c r="I57" s="22">
        <f ca="1">+GETPIVOTDATA("TNG4",'ngaigiao (2016)'!$A$3,"MA_HT","PNK","MA_QH","LUN")</f>
        <v>0</v>
      </c>
      <c r="J57" s="22">
        <f ca="1">+GETPIVOTDATA("TNG4",'ngaigiao (2016)'!$A$3,"MA_HT","PNK","MA_QH","HNK")</f>
        <v>0</v>
      </c>
      <c r="K57" s="22">
        <f ca="1">+GETPIVOTDATA("TNG4",'ngaigiao (2016)'!$A$3,"MA_HT","PNK","MA_QH","CLN")</f>
        <v>0</v>
      </c>
      <c r="L57" s="22">
        <f ca="1">+GETPIVOTDATA("TNG4",'ngaigiao (2016)'!$A$3,"MA_HT","PNK","MA_QH","RSX")</f>
        <v>0</v>
      </c>
      <c r="M57" s="22">
        <f ca="1">+GETPIVOTDATA("TNG4",'ngaigiao (2016)'!$A$3,"MA_HT","PNK","MA_QH","RPH")</f>
        <v>0</v>
      </c>
      <c r="N57" s="22">
        <f ca="1">+GETPIVOTDATA("TNG4",'ngaigiao (2016)'!$A$3,"MA_HT","PNK","MA_QH","RDD")</f>
        <v>0</v>
      </c>
      <c r="O57" s="22">
        <f ca="1">+GETPIVOTDATA("TNG4",'ngaigiao (2016)'!$A$3,"MA_HT","PNK","MA_QH","NTS")</f>
        <v>0</v>
      </c>
      <c r="P57" s="22">
        <f ca="1">+GETPIVOTDATA("TNG4",'ngaigiao (2016)'!$A$3,"MA_HT","PNK","MA_QH","LMU")</f>
        <v>0</v>
      </c>
      <c r="Q57" s="22">
        <f ca="1">+GETPIVOTDATA("TNG4",'ngaigiao (2016)'!$A$3,"MA_HT","PNK","MA_QH","NKH")</f>
        <v>0</v>
      </c>
      <c r="R57" s="79">
        <f ca="1">SUM(S57:AA57,AN57:BC57)</f>
        <v>0</v>
      </c>
      <c r="S57" s="22">
        <f ca="1">+GETPIVOTDATA("TNG4",'ngaigiao (2016)'!$A$3,"MA_HT","PNK","MA_QH","CQP")</f>
        <v>0</v>
      </c>
      <c r="T57" s="22">
        <f ca="1">+GETPIVOTDATA("TNG4",'ngaigiao (2016)'!$A$3,"MA_HT","PNK","MA_QH","CAN")</f>
        <v>0</v>
      </c>
      <c r="U57" s="22">
        <f ca="1">+GETPIVOTDATA("TNG4",'ngaigiao (2016)'!$A$3,"MA_HT","PNK","MA_QH","SKK")</f>
        <v>0</v>
      </c>
      <c r="V57" s="22">
        <f ca="1">+GETPIVOTDATA("TNG4",'ngaigiao (2016)'!$A$3,"MA_HT","PNK","MA_QH","SKT")</f>
        <v>0</v>
      </c>
      <c r="W57" s="22">
        <f ca="1">+GETPIVOTDATA("TNG4",'ngaigiao (2016)'!$A$3,"MA_HT","PNK","MA_QH","SKN")</f>
        <v>0</v>
      </c>
      <c r="X57" s="22">
        <f ca="1">+GETPIVOTDATA("TNG4",'ngaigiao (2016)'!$A$3,"MA_HT","PNK","MA_QH","TMD")</f>
        <v>0</v>
      </c>
      <c r="Y57" s="22">
        <f ca="1">+GETPIVOTDATA("TNG4",'ngaigiao (2016)'!$A$3,"MA_HT","PNK","MA_QH","SKC")</f>
        <v>0</v>
      </c>
      <c r="Z57" s="22">
        <f ca="1">+GETPIVOTDATA("TNG4",'ngaigiao (2016)'!$A$3,"MA_HT","PNK","MA_QH","SKS")</f>
        <v>0</v>
      </c>
      <c r="AA57" s="52">
        <f ca="1" t="shared" si="21"/>
        <v>0</v>
      </c>
      <c r="AB57" s="22">
        <f ca="1">+GETPIVOTDATA("TNG4",'ngaigiao (2016)'!$A$3,"MA_HT","PNK","MA_QH","DGT")</f>
        <v>0</v>
      </c>
      <c r="AC57" s="22">
        <f ca="1">+GETPIVOTDATA("TNG4",'ngaigiao (2016)'!$A$3,"MA_HT","PNK","MA_QH","DTL")</f>
        <v>0</v>
      </c>
      <c r="AD57" s="22">
        <f ca="1">+GETPIVOTDATA("TNG4",'ngaigiao (2016)'!$A$3,"MA_HT","PNK","MA_QH","DNL")</f>
        <v>0</v>
      </c>
      <c r="AE57" s="22">
        <f ca="1">+GETPIVOTDATA("TNG4",'ngaigiao (2016)'!$A$3,"MA_HT","PNK","MA_QH","DBV")</f>
        <v>0</v>
      </c>
      <c r="AF57" s="22">
        <f ca="1">+GETPIVOTDATA("TNG4",'ngaigiao (2016)'!$A$3,"MA_HT","PNK","MA_QH","DVH")</f>
        <v>0</v>
      </c>
      <c r="AG57" s="22">
        <f ca="1">+GETPIVOTDATA("TNG4",'ngaigiao (2016)'!$A$3,"MA_HT","PNK","MA_QH","DYT")</f>
        <v>0</v>
      </c>
      <c r="AH57" s="22">
        <f ca="1">+GETPIVOTDATA("TNG4",'ngaigiao (2016)'!$A$3,"MA_HT","PNK","MA_QH","DGD")</f>
        <v>0</v>
      </c>
      <c r="AI57" s="22">
        <f ca="1">+GETPIVOTDATA("TNG4",'ngaigiao (2016)'!$A$3,"MA_HT","PNK","MA_QH","DTT")</f>
        <v>0</v>
      </c>
      <c r="AJ57" s="22">
        <f ca="1">+GETPIVOTDATA("TNG4",'ngaigiao (2016)'!$A$3,"MA_HT","PNK","MA_QH","NCK")</f>
        <v>0</v>
      </c>
      <c r="AK57" s="22">
        <f ca="1">+GETPIVOTDATA("TNG4",'ngaigiao (2016)'!$A$3,"MA_HT","PNK","MA_QH","DXH")</f>
        <v>0</v>
      </c>
      <c r="AL57" s="22">
        <f ca="1">+GETPIVOTDATA("TNG4",'ngaigiao (2016)'!$A$3,"MA_HT","PNK","MA_QH","DCH")</f>
        <v>0</v>
      </c>
      <c r="AM57" s="22">
        <f ca="1">+GETPIVOTDATA("TNG4",'ngaigiao (2016)'!$A$3,"MA_HT","PNK","MA_QH","DKG")</f>
        <v>0</v>
      </c>
      <c r="AN57" s="22">
        <f ca="1">+GETPIVOTDATA("TNG4",'ngaigiao (2016)'!$A$3,"MA_HT","PNK","MA_QH","DDT")</f>
        <v>0</v>
      </c>
      <c r="AO57" s="22">
        <f ca="1">+GETPIVOTDATA("TNG4",'ngaigiao (2016)'!$A$3,"MA_HT","PNK","MA_QH","DDL")</f>
        <v>0</v>
      </c>
      <c r="AP57" s="22">
        <f ca="1">+GETPIVOTDATA("TNG4",'ngaigiao (2016)'!$A$3,"MA_HT","PNK","MA_QH","DRA")</f>
        <v>0</v>
      </c>
      <c r="AQ57" s="22">
        <f ca="1">+GETPIVOTDATA("TNG4",'ngaigiao (2016)'!$A$3,"MA_HT","PNK","MA_QH","ONT")</f>
        <v>0</v>
      </c>
      <c r="AR57" s="22">
        <f ca="1">+GETPIVOTDATA("TNG4",'ngaigiao (2016)'!$A$3,"MA_HT","PNK","MA_QH","ODT")</f>
        <v>0</v>
      </c>
      <c r="AS57" s="22">
        <f ca="1">+GETPIVOTDATA("TNG4",'ngaigiao (2016)'!$A$3,"MA_HT","PNK","MA_QH","TSC")</f>
        <v>0</v>
      </c>
      <c r="AT57" s="22">
        <f ca="1">+GETPIVOTDATA("TNG4",'ngaigiao (2016)'!$A$3,"MA_HT","PNK","MA_QH","DTS")</f>
        <v>0</v>
      </c>
      <c r="AU57" s="22">
        <f ca="1">+GETPIVOTDATA("TNG4",'ngaigiao (2016)'!$A$3,"MA_HT","PNK","MA_QH","DNG")</f>
        <v>0</v>
      </c>
      <c r="AV57" s="22">
        <f ca="1">+GETPIVOTDATA("TNG4",'ngaigiao (2016)'!$A$3,"MA_HT","PNK","MA_QH","TON")</f>
        <v>0</v>
      </c>
      <c r="AW57" s="22">
        <f ca="1">+GETPIVOTDATA("TNG4",'ngaigiao (2016)'!$A$3,"MA_HT","PNK","MA_QH","NTD")</f>
        <v>0</v>
      </c>
      <c r="AX57" s="22">
        <f ca="1">+GETPIVOTDATA("TNG4",'ngaigiao (2016)'!$A$3,"MA_HT","PNK","MA_QH","SKX")</f>
        <v>0</v>
      </c>
      <c r="AY57" s="22">
        <f ca="1">+GETPIVOTDATA("TNG4",'ngaigiao (2016)'!$A$3,"MA_HT","PNK","MA_QH","DSH")</f>
        <v>0</v>
      </c>
      <c r="AZ57" s="22">
        <f ca="1">+GETPIVOTDATA("TNG4",'ngaigiao (2016)'!$A$3,"MA_HT","PNK","MA_QH","DKV")</f>
        <v>0</v>
      </c>
      <c r="BA57" s="89">
        <f ca="1">+GETPIVOTDATA("TNG4",'ngaigiao (2016)'!$A$3,"MA_HT","PNK","MA_QH","TIN")</f>
        <v>0</v>
      </c>
      <c r="BB57" s="50">
        <f ca="1">+GETPIVOTDATA("TNG4",'ngaigiao (2016)'!$A$3,"MA_HT","PNK","MA_QH","SON")</f>
        <v>0</v>
      </c>
      <c r="BC57" s="50">
        <f ca="1">+GETPIVOTDATA("TNG4",'ngaigiao (2016)'!$A$3,"MA_HT","PNK","MA_QH","MNC")</f>
        <v>0</v>
      </c>
      <c r="BD57" s="43" t="e">
        <f ca="1">$D57-$BF57</f>
        <v>#REF!</v>
      </c>
      <c r="BE57" s="71">
        <f ca="1">+GETPIVOTDATA("TNG4",'ngaigiao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+GETPIVOTDATA("TNG4",'ngaigiao (2016)'!$A$3,"MA_HT","CSD","MA_QH","LUC")</f>
        <v>0</v>
      </c>
      <c r="H58" s="71">
        <f ca="1">+GETPIVOTDATA("TNG4",'ngaigiao (2016)'!$A$3,"MA_HT","CSD","MA_QH","LUK")</f>
        <v>0</v>
      </c>
      <c r="I58" s="71">
        <f ca="1">+GETPIVOTDATA("TNG4",'ngaigiao (2016)'!$A$3,"MA_HT","CSD","MA_QH","LUN")</f>
        <v>0</v>
      </c>
      <c r="J58" s="71">
        <f ca="1">+GETPIVOTDATA("TNG4",'ngaigiao (2016)'!$A$3,"MA_HT","CSD","MA_QH","HNK")</f>
        <v>0</v>
      </c>
      <c r="K58" s="71">
        <f ca="1">+GETPIVOTDATA("TNG4",'ngaigiao (2016)'!$A$3,"MA_HT","CSD","MA_QH","CLN")</f>
        <v>0</v>
      </c>
      <c r="L58" s="71">
        <f ca="1">+GETPIVOTDATA("TNG4",'ngaigiao (2016)'!$A$3,"MA_HT","CSD","MA_QH","RSX")</f>
        <v>0</v>
      </c>
      <c r="M58" s="71">
        <f ca="1">+GETPIVOTDATA("TNG4",'ngaigiao (2016)'!$A$3,"MA_HT","CSD","MA_QH","RPH")</f>
        <v>0</v>
      </c>
      <c r="N58" s="71">
        <f ca="1">+GETPIVOTDATA("TNG4",'ngaigiao (2016)'!$A$3,"MA_HT","CSD","MA_QH","RDD")</f>
        <v>0</v>
      </c>
      <c r="O58" s="71">
        <f ca="1">+GETPIVOTDATA("TNG4",'ngaigiao (2016)'!$A$3,"MA_HT","CSD","MA_QH","NTS")</f>
        <v>0</v>
      </c>
      <c r="P58" s="71">
        <f ca="1">+GETPIVOTDATA("TNG4",'ngaigiao (2016)'!$A$3,"MA_HT","CSD","MA_QH","LMU")</f>
        <v>0</v>
      </c>
      <c r="Q58" s="71">
        <f ca="1">+GETPIVOTDATA("TNG4",'ngaigiao (2016)'!$A$3,"MA_HT","CSD","MA_QH","NKH")</f>
        <v>0</v>
      </c>
      <c r="R58" s="79">
        <f ca="1">SUM(S58:AA58,AN58:BD58)</f>
        <v>0</v>
      </c>
      <c r="S58" s="80">
        <f ca="1">+GETPIVOTDATA("TNG4",'ngaigiao (2016)'!$A$3,"MA_HT","CSD","MA_QH","CQP")</f>
        <v>0</v>
      </c>
      <c r="T58" s="80">
        <f ca="1">+GETPIVOTDATA("TNG4",'ngaigiao (2016)'!$A$3,"MA_HT","CSD","MA_QH","CAN")</f>
        <v>0</v>
      </c>
      <c r="U58" s="71">
        <f ca="1">+GETPIVOTDATA("TNG4",'ngaigiao (2016)'!$A$3,"MA_HT","CSD","MA_QH","SKK")</f>
        <v>0</v>
      </c>
      <c r="V58" s="71">
        <f ca="1">+GETPIVOTDATA("TNG4",'ngaigiao (2016)'!$A$3,"MA_HT","CSD","MA_QH","SKT")</f>
        <v>0</v>
      </c>
      <c r="W58" s="71">
        <f ca="1">+GETPIVOTDATA("TNG4",'ngaigiao (2016)'!$A$3,"MA_HT","CSD","MA_QH","SKN")</f>
        <v>0</v>
      </c>
      <c r="X58" s="71">
        <f ca="1">+GETPIVOTDATA("TNG4",'ngaigiao (2016)'!$A$3,"MA_HT","CSD","MA_QH","TMD")</f>
        <v>0</v>
      </c>
      <c r="Y58" s="71">
        <f ca="1">+GETPIVOTDATA("TNG4",'ngaigiao (2016)'!$A$3,"MA_HT","CSD","MA_QH","SKC")</f>
        <v>0</v>
      </c>
      <c r="Z58" s="71">
        <f ca="1">+GETPIVOTDATA("TNG4",'ngaigiao (2016)'!$A$3,"MA_HT","CSD","MA_QH","SKS")</f>
        <v>0</v>
      </c>
      <c r="AA58" s="52">
        <f ca="1" t="shared" si="21"/>
        <v>0</v>
      </c>
      <c r="AB58" s="80">
        <f ca="1">+GETPIVOTDATA("TNG4",'ngaigiao (2016)'!$A$3,"MA_HT","CSD","MA_QH","DGT")</f>
        <v>0</v>
      </c>
      <c r="AC58" s="80">
        <f ca="1">+GETPIVOTDATA("TNG4",'ngaigiao (2016)'!$A$3,"MA_HT","CSD","MA_QH","DTL")</f>
        <v>0</v>
      </c>
      <c r="AD58" s="80">
        <f ca="1">+GETPIVOTDATA("TNG4",'ngaigiao (2016)'!$A$3,"MA_HT","CSD","MA_QH","DNL")</f>
        <v>0</v>
      </c>
      <c r="AE58" s="80">
        <f ca="1">+GETPIVOTDATA("TNG4",'ngaigiao (2016)'!$A$3,"MA_HT","CSD","MA_QH","DBV")</f>
        <v>0</v>
      </c>
      <c r="AF58" s="80">
        <f ca="1">+GETPIVOTDATA("TNG4",'ngaigiao (2016)'!$A$3,"MA_HT","CSD","MA_QH","DVH")</f>
        <v>0</v>
      </c>
      <c r="AG58" s="80">
        <f ca="1">+GETPIVOTDATA("TNG4",'ngaigiao (2016)'!$A$3,"MA_HT","CSD","MA_QH","DYT")</f>
        <v>0</v>
      </c>
      <c r="AH58" s="80">
        <f ca="1">+GETPIVOTDATA("TNG4",'ngaigiao (2016)'!$A$3,"MA_HT","CSD","MA_QH","DGD")</f>
        <v>0</v>
      </c>
      <c r="AI58" s="80">
        <f ca="1">+GETPIVOTDATA("TNG4",'ngaigiao (2016)'!$A$3,"MA_HT","CSD","MA_QH","DTT")</f>
        <v>0</v>
      </c>
      <c r="AJ58" s="80">
        <f ca="1">+GETPIVOTDATA("TNG4",'ngaigiao (2016)'!$A$3,"MA_HT","CSD","MA_QH","NCK")</f>
        <v>0</v>
      </c>
      <c r="AK58" s="80">
        <f ca="1">+GETPIVOTDATA("TNG4",'ngaigiao (2016)'!$A$3,"MA_HT","CSD","MA_QH","DXH")</f>
        <v>0</v>
      </c>
      <c r="AL58" s="80">
        <f ca="1">+GETPIVOTDATA("TNG4",'ngaigiao (2016)'!$A$3,"MA_HT","CSD","MA_QH","DCH")</f>
        <v>0</v>
      </c>
      <c r="AM58" s="80">
        <f ca="1">+GETPIVOTDATA("TNG4",'ngaigiao (2016)'!$A$3,"MA_HT","CSD","MA_QH","DKG")</f>
        <v>0</v>
      </c>
      <c r="AN58" s="71">
        <f ca="1">+GETPIVOTDATA("TNG4",'ngaigiao (2016)'!$A$3,"MA_HT","CSD","MA_QH","DDT")</f>
        <v>0</v>
      </c>
      <c r="AO58" s="71">
        <f ca="1">+GETPIVOTDATA("TNG4",'ngaigiao (2016)'!$A$3,"MA_HT","CSD","MA_QH","DDL")</f>
        <v>0</v>
      </c>
      <c r="AP58" s="71">
        <f ca="1">+GETPIVOTDATA("TNG4",'ngaigiao (2016)'!$A$3,"MA_HT","CSD","MA_QH","DRA")</f>
        <v>0</v>
      </c>
      <c r="AQ58" s="71">
        <f ca="1">+GETPIVOTDATA("TNG4",'ngaigiao (2016)'!$A$3,"MA_HT","CSD","MA_QH","ONT")</f>
        <v>0</v>
      </c>
      <c r="AR58" s="71">
        <f ca="1">+GETPIVOTDATA("TNG4",'ngaigiao (2016)'!$A$3,"MA_HT","CSD","MA_QH","ODT")</f>
        <v>0</v>
      </c>
      <c r="AS58" s="71">
        <f ca="1">+GETPIVOTDATA("TNG4",'ngaigiao (2016)'!$A$3,"MA_HT","CSD","MA_QH","TSC")</f>
        <v>0</v>
      </c>
      <c r="AT58" s="71">
        <f ca="1">+GETPIVOTDATA("TNG4",'ngaigiao (2016)'!$A$3,"MA_HT","CSD","MA_QH","DTS")</f>
        <v>0</v>
      </c>
      <c r="AU58" s="71">
        <f ca="1">+GETPIVOTDATA("TNG4",'ngaigiao (2016)'!$A$3,"MA_HT","CSD","MA_QH","DNG")</f>
        <v>0</v>
      </c>
      <c r="AV58" s="71">
        <f ca="1">+GETPIVOTDATA("TNG4",'ngaigiao (2016)'!$A$3,"MA_HT","CSD","MA_QH","TON")</f>
        <v>0</v>
      </c>
      <c r="AW58" s="71">
        <f ca="1">+GETPIVOTDATA("TNG4",'ngaigiao (2016)'!$A$3,"MA_HT","CSD","MA_QH","NTD")</f>
        <v>0</v>
      </c>
      <c r="AX58" s="71">
        <f ca="1">+GETPIVOTDATA("TNG4",'ngaigiao (2016)'!$A$3,"MA_HT","CSD","MA_QH","SKX")</f>
        <v>0</v>
      </c>
      <c r="AY58" s="71">
        <f ca="1">+GETPIVOTDATA("TNG4",'ngaigiao (2016)'!$A$3,"MA_HT","CSD","MA_QH","DSH")</f>
        <v>0</v>
      </c>
      <c r="AZ58" s="71">
        <f ca="1">+GETPIVOTDATA("TNG4",'ngaigiao (2016)'!$A$3,"MA_HT","CSD","MA_QH","DKV")</f>
        <v>0</v>
      </c>
      <c r="BA58" s="89">
        <f ca="1">+GETPIVOTDATA("TNG4",'ngaigiao (2016)'!$A$3,"MA_HT","CSD","MA_QH","TIN")</f>
        <v>0</v>
      </c>
      <c r="BB58" s="80">
        <f ca="1">+GETPIVOTDATA("TNG4",'ngaigiao (2016)'!$A$3,"MA_HT","CSD","MA_QH","SON")</f>
        <v>0</v>
      </c>
      <c r="BC58" s="80">
        <f ca="1">+GETPIVOTDATA("TNG4",'ngaigiao (2016)'!$A$3,"MA_HT","CSD","MA_QH","MNC")</f>
        <v>0</v>
      </c>
      <c r="BD58" s="71">
        <f ca="1">+GETPIVOTDATA("TNG4",'ngaigiao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0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+GETPIVOTDATA("XBC4",'bauchinh (2016)'!$A$3,"MA_HT","LUC","MA_QH","LUK")</f>
        <v>0</v>
      </c>
      <c r="I8" s="50">
        <f ca="1">+GETPIVOTDATA("XBC4",'bauchinh (2016)'!$A$3,"MA_HT","LUC","MA_QH","LUN")</f>
        <v>0</v>
      </c>
      <c r="J8" s="50">
        <f ca="1">+GETPIVOTDATA("XBC4",'bauchinh (2016)'!$A$3,"MA_HT","LUC","MA_QH","HNK")</f>
        <v>0</v>
      </c>
      <c r="K8" s="50">
        <f ca="1">+GETPIVOTDATA("XBC4",'bauchinh (2016)'!$A$3,"MA_HT","LUC","MA_QH","CLN")</f>
        <v>0</v>
      </c>
      <c r="L8" s="50">
        <f ca="1">+GETPIVOTDATA("XBC4",'bauchinh (2016)'!$A$3,"MA_HT","LUC","MA_QH","RSX")</f>
        <v>0</v>
      </c>
      <c r="M8" s="50">
        <f ca="1">+GETPIVOTDATA("XBC4",'bauchinh (2016)'!$A$3,"MA_HT","LUC","MA_QH","RPH")</f>
        <v>0</v>
      </c>
      <c r="N8" s="50">
        <f ca="1">+GETPIVOTDATA("XBC4",'bauchinh (2016)'!$A$3,"MA_HT","LUC","MA_QH","RDD")</f>
        <v>0</v>
      </c>
      <c r="O8" s="50">
        <f ca="1">+GETPIVOTDATA("XBC4",'bauchinh (2016)'!$A$3,"MA_HT","LUC","MA_QH","NTS")</f>
        <v>0</v>
      </c>
      <c r="P8" s="50">
        <f ca="1">+GETPIVOTDATA("XBC4",'bauchinh (2016)'!$A$3,"MA_HT","LUC","MA_QH","LMU")</f>
        <v>0</v>
      </c>
      <c r="Q8" s="50">
        <f ca="1">+GETPIVOTDATA("XBC4",'bauchinh (2016)'!$A$3,"MA_HT","LUC","MA_QH","NKH")</f>
        <v>0</v>
      </c>
      <c r="R8" s="48">
        <f ca="1" t="shared" si="2"/>
        <v>0</v>
      </c>
      <c r="S8" s="50">
        <f ca="1">+GETPIVOTDATA("XBC4",'bauchinh (2016)'!$A$3,"MA_HT","LUC","MA_QH","CQP")</f>
        <v>0</v>
      </c>
      <c r="T8" s="50">
        <f ca="1">+GETPIVOTDATA("XBC4",'bauchinh (2016)'!$A$3,"MA_HT","LUC","MA_QH","CAN")</f>
        <v>0</v>
      </c>
      <c r="U8" s="50">
        <f ca="1">+GETPIVOTDATA("XBC4",'bauchinh (2016)'!$A$3,"MA_HT","LUC","MA_QH","SKK")</f>
        <v>0</v>
      </c>
      <c r="V8" s="50">
        <f ca="1">+GETPIVOTDATA("XBC4",'bauchinh (2016)'!$A$3,"MA_HT","LUC","MA_QH","SKT")</f>
        <v>0</v>
      </c>
      <c r="W8" s="50">
        <f ca="1">+GETPIVOTDATA("XBC4",'bauchinh (2016)'!$A$3,"MA_HT","LUC","MA_QH","SKN")</f>
        <v>0</v>
      </c>
      <c r="X8" s="50">
        <f ca="1">+GETPIVOTDATA("XBC4",'bauchinh (2016)'!$A$3,"MA_HT","LUC","MA_QH","TMD")</f>
        <v>0</v>
      </c>
      <c r="Y8" s="50">
        <f ca="1">+GETPIVOTDATA("XBC4",'bauchinh (2016)'!$A$3,"MA_HT","LUC","MA_QH","SKC")</f>
        <v>0</v>
      </c>
      <c r="Z8" s="50">
        <f ca="1">+GETPIVOTDATA("XBC4",'bauchinh (2016)'!$A$3,"MA_HT","LUC","MA_QH","SKS")</f>
        <v>0</v>
      </c>
      <c r="AA8" s="52">
        <f ca="1" t="shared" si="4"/>
        <v>0</v>
      </c>
      <c r="AB8" s="50">
        <f ca="1">+GETPIVOTDATA("XBC4",'bauchinh (2016)'!$A$3,"MA_HT","LUC","MA_QH","DGT")</f>
        <v>0</v>
      </c>
      <c r="AC8" s="50">
        <f ca="1">+GETPIVOTDATA("XBC4",'bauchinh (2016)'!$A$3,"MA_HT","LUC","MA_QH","DTL")</f>
        <v>0</v>
      </c>
      <c r="AD8" s="50">
        <f ca="1">+GETPIVOTDATA("XBC4",'bauchinh (2016)'!$A$3,"MA_HT","LUC","MA_QH","DNL")</f>
        <v>0</v>
      </c>
      <c r="AE8" s="50">
        <f ca="1">+GETPIVOTDATA("XBC4",'bauchinh (2016)'!$A$3,"MA_HT","LUC","MA_QH","DBV")</f>
        <v>0</v>
      </c>
      <c r="AF8" s="50">
        <f ca="1">+GETPIVOTDATA("XBC4",'bauchinh (2016)'!$A$3,"MA_HT","LUC","MA_QH","DVH")</f>
        <v>0</v>
      </c>
      <c r="AG8" s="50">
        <f ca="1">+GETPIVOTDATA("XBC4",'bauchinh (2016)'!$A$3,"MA_HT","LUC","MA_QH","DYT")</f>
        <v>0</v>
      </c>
      <c r="AH8" s="50">
        <f ca="1">+GETPIVOTDATA("XBC4",'bauchinh (2016)'!$A$3,"MA_HT","LUC","MA_QH","DGD")</f>
        <v>0</v>
      </c>
      <c r="AI8" s="50">
        <f ca="1">+GETPIVOTDATA("XBC4",'bauchinh (2016)'!$A$3,"MA_HT","LUC","MA_QH","DTT")</f>
        <v>0</v>
      </c>
      <c r="AJ8" s="50">
        <f ca="1">+GETPIVOTDATA("XBC4",'bauchinh (2016)'!$A$3,"MA_HT","LUC","MA_QH","NCK")</f>
        <v>0</v>
      </c>
      <c r="AK8" s="50">
        <f ca="1">+GETPIVOTDATA("XBC4",'bauchinh (2016)'!$A$3,"MA_HT","LUC","MA_QH","DXH")</f>
        <v>0</v>
      </c>
      <c r="AL8" s="50">
        <f ca="1">+GETPIVOTDATA("XBC4",'bauchinh (2016)'!$A$3,"MA_HT","LUC","MA_QH","DCH")</f>
        <v>0</v>
      </c>
      <c r="AM8" s="50">
        <f ca="1">+GETPIVOTDATA("XBC4",'bauchinh (2016)'!$A$3,"MA_HT","LUC","MA_QH","DKG")</f>
        <v>0</v>
      </c>
      <c r="AN8" s="50">
        <f ca="1">+GETPIVOTDATA("XBC4",'bauchinh (2016)'!$A$3,"MA_HT","LUC","MA_QH","DDT")</f>
        <v>0</v>
      </c>
      <c r="AO8" s="50">
        <f ca="1">+GETPIVOTDATA("XBC4",'bauchinh (2016)'!$A$3,"MA_HT","LUC","MA_QH","DDL")</f>
        <v>0</v>
      </c>
      <c r="AP8" s="50">
        <f ca="1">+GETPIVOTDATA("XBC4",'bauchinh (2016)'!$A$3,"MA_HT","LUC","MA_QH","DRA")</f>
        <v>0</v>
      </c>
      <c r="AQ8" s="50">
        <f ca="1">+GETPIVOTDATA("XBC4",'bauchinh (2016)'!$A$3,"MA_HT","LUC","MA_QH","ONT")</f>
        <v>0</v>
      </c>
      <c r="AR8" s="50">
        <f ca="1">+GETPIVOTDATA("XBC4",'bauchinh (2016)'!$A$3,"MA_HT","LUC","MA_QH","ODT")</f>
        <v>0</v>
      </c>
      <c r="AS8" s="50">
        <f ca="1">+GETPIVOTDATA("XBC4",'bauchinh (2016)'!$A$3,"MA_HT","LUC","MA_QH","TSC")</f>
        <v>0</v>
      </c>
      <c r="AT8" s="50">
        <f ca="1">+GETPIVOTDATA("XBC4",'bauchinh (2016)'!$A$3,"MA_HT","LUC","MA_QH","DTS")</f>
        <v>0</v>
      </c>
      <c r="AU8" s="50">
        <f ca="1">+GETPIVOTDATA("XBC4",'bauchinh (2016)'!$A$3,"MA_HT","LUC","MA_QH","DNG")</f>
        <v>0</v>
      </c>
      <c r="AV8" s="50">
        <f ca="1">+GETPIVOTDATA("XBC4",'bauchinh (2016)'!$A$3,"MA_HT","LUC","MA_QH","TON")</f>
        <v>0</v>
      </c>
      <c r="AW8" s="50">
        <f ca="1">+GETPIVOTDATA("XBC4",'bauchinh (2016)'!$A$3,"MA_HT","LUC","MA_QH","NTD")</f>
        <v>0</v>
      </c>
      <c r="AX8" s="50">
        <f ca="1">+GETPIVOTDATA("XBC4",'bauchinh (2016)'!$A$3,"MA_HT","LUC","MA_QH","SKX")</f>
        <v>0</v>
      </c>
      <c r="AY8" s="50">
        <f ca="1">+GETPIVOTDATA("XBC4",'bauchinh (2016)'!$A$3,"MA_HT","LUC","MA_QH","DSH")</f>
        <v>0</v>
      </c>
      <c r="AZ8" s="50">
        <f ca="1">+GETPIVOTDATA("XBC4",'bauchinh (2016)'!$A$3,"MA_HT","LUC","MA_QH","DKV")</f>
        <v>0</v>
      </c>
      <c r="BA8" s="88">
        <f ca="1">+GETPIVOTDATA("XBC4",'bauchinh (2016)'!$A$3,"MA_HT","LUC","MA_QH","TIN")</f>
        <v>0</v>
      </c>
      <c r="BB8" s="50">
        <f ca="1">+GETPIVOTDATA("XBC4",'bauchinh (2016)'!$A$3,"MA_HT","LUC","MA_QH","SON")</f>
        <v>0</v>
      </c>
      <c r="BC8" s="50">
        <f ca="1">+GETPIVOTDATA("XBC4",'bauchinh (2016)'!$A$3,"MA_HT","LUC","MA_QH","MNC")</f>
        <v>0</v>
      </c>
      <c r="BD8" s="50">
        <f ca="1">+GETPIVOTDATA("XBC4",'bauchinh (2016)'!$A$3,"MA_HT","LUC","MA_QH","PNK")</f>
        <v>0</v>
      </c>
      <c r="BE8" s="80">
        <f ca="1">+GETPIVOTDATA("XBC4",'bauchinh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+GETPIVOTDATA("XBC4",'bauchinh (2016)'!$A$3,"MA_HT","LUK","MA_QH","LUC")</f>
        <v>0</v>
      </c>
      <c r="H9" s="49" t="e">
        <f ca="1">$D9-$BF9</f>
        <v>#REF!</v>
      </c>
      <c r="I9" s="50">
        <f ca="1">+GETPIVOTDATA("XBC4",'bauchinh (2016)'!$A$3,"MA_HT","LUK","MA_QH","LUN")</f>
        <v>0</v>
      </c>
      <c r="J9" s="50">
        <f ca="1">+GETPIVOTDATA("XBC4",'bauchinh (2016)'!$A$3,"MA_HT","LUK","MA_QH","HNK")</f>
        <v>0</v>
      </c>
      <c r="K9" s="50">
        <f ca="1">+GETPIVOTDATA("XBC4",'bauchinh (2016)'!$A$3,"MA_HT","LUK","MA_QH","CLN")</f>
        <v>0</v>
      </c>
      <c r="L9" s="50">
        <f ca="1">+GETPIVOTDATA("XBC4",'bauchinh (2016)'!$A$3,"MA_HT","LUK","MA_QH","RSX")</f>
        <v>0</v>
      </c>
      <c r="M9" s="50">
        <f ca="1">+GETPIVOTDATA("XBC4",'bauchinh (2016)'!$A$3,"MA_HT","LUK","MA_QH","RPH")</f>
        <v>0</v>
      </c>
      <c r="N9" s="50">
        <f ca="1">+GETPIVOTDATA("XBC4",'bauchinh (2016)'!$A$3,"MA_HT","LUK","MA_QH","RDD")</f>
        <v>0</v>
      </c>
      <c r="O9" s="50">
        <f ca="1">+GETPIVOTDATA("XBC4",'bauchinh (2016)'!$A$3,"MA_HT","LUK","MA_QH","NTS")</f>
        <v>0</v>
      </c>
      <c r="P9" s="50">
        <f ca="1">+GETPIVOTDATA("XBC4",'bauchinh (2016)'!$A$3,"MA_HT","LUK","MA_QH","LMU")</f>
        <v>0</v>
      </c>
      <c r="Q9" s="50">
        <f ca="1">+GETPIVOTDATA("XBC4",'bauchinh (2016)'!$A$3,"MA_HT","LUK","MA_QH","NKH")</f>
        <v>0</v>
      </c>
      <c r="R9" s="48">
        <f ca="1" t="shared" si="2"/>
        <v>0</v>
      </c>
      <c r="S9" s="50">
        <f ca="1">+GETPIVOTDATA("XBC4",'bauchinh (2016)'!$A$3,"MA_HT","LUK","MA_QH","CQP")</f>
        <v>0</v>
      </c>
      <c r="T9" s="50">
        <f ca="1">+GETPIVOTDATA("XBC4",'bauchinh (2016)'!$A$3,"MA_HT","LUK","MA_QH","CAN")</f>
        <v>0</v>
      </c>
      <c r="U9" s="50">
        <f ca="1">+GETPIVOTDATA("XBC4",'bauchinh (2016)'!$A$3,"MA_HT","LUK","MA_QH","SKK")</f>
        <v>0</v>
      </c>
      <c r="V9" s="50">
        <f ca="1">+GETPIVOTDATA("XBC4",'bauchinh (2016)'!$A$3,"MA_HT","LUK","MA_QH","SKT")</f>
        <v>0</v>
      </c>
      <c r="W9" s="50">
        <f ca="1">+GETPIVOTDATA("XBC4",'bauchinh (2016)'!$A$3,"MA_HT","LUK","MA_QH","SKN")</f>
        <v>0</v>
      </c>
      <c r="X9" s="50">
        <f ca="1">+GETPIVOTDATA("XBC4",'bauchinh (2016)'!$A$3,"MA_HT","LUK","MA_QH","TMD")</f>
        <v>0</v>
      </c>
      <c r="Y9" s="50">
        <f ca="1">+GETPIVOTDATA("XBC4",'bauchinh (2016)'!$A$3,"MA_HT","LUK","MA_QH","SKC")</f>
        <v>0</v>
      </c>
      <c r="Z9" s="50">
        <f ca="1">+GETPIVOTDATA("XBC4",'bauchinh (2016)'!$A$3,"MA_HT","LUK","MA_QH","SKS")</f>
        <v>0</v>
      </c>
      <c r="AA9" s="52">
        <f ca="1" t="shared" si="4"/>
        <v>0</v>
      </c>
      <c r="AB9" s="50">
        <f ca="1">+GETPIVOTDATA("XBC4",'bauchinh (2016)'!$A$3,"MA_HT","LUK","MA_QH","DGT")</f>
        <v>0</v>
      </c>
      <c r="AC9" s="50">
        <f ca="1">+GETPIVOTDATA("XBC4",'bauchinh (2016)'!$A$3,"MA_HT","LUK","MA_QH","DTL")</f>
        <v>0</v>
      </c>
      <c r="AD9" s="50">
        <f ca="1">+GETPIVOTDATA("XBC4",'bauchinh (2016)'!$A$3,"MA_HT","LUK","MA_QH","DNL")</f>
        <v>0</v>
      </c>
      <c r="AE9" s="50">
        <f ca="1">+GETPIVOTDATA("XBC4",'bauchinh (2016)'!$A$3,"MA_HT","LUK","MA_QH","DBV")</f>
        <v>0</v>
      </c>
      <c r="AF9" s="50">
        <f ca="1">+GETPIVOTDATA("XBC4",'bauchinh (2016)'!$A$3,"MA_HT","LUK","MA_QH","DVH")</f>
        <v>0</v>
      </c>
      <c r="AG9" s="50">
        <f ca="1">+GETPIVOTDATA("XBC4",'bauchinh (2016)'!$A$3,"MA_HT","LUK","MA_QH","DYT")</f>
        <v>0</v>
      </c>
      <c r="AH9" s="50">
        <f ca="1">+GETPIVOTDATA("XBC4",'bauchinh (2016)'!$A$3,"MA_HT","LUK","MA_QH","DGD")</f>
        <v>0</v>
      </c>
      <c r="AI9" s="50">
        <f ca="1">+GETPIVOTDATA("XBC4",'bauchinh (2016)'!$A$3,"MA_HT","LUK","MA_QH","DTT")</f>
        <v>0</v>
      </c>
      <c r="AJ9" s="50">
        <f ca="1">+GETPIVOTDATA("XBC4",'bauchinh (2016)'!$A$3,"MA_HT","LUK","MA_QH","NCK")</f>
        <v>0</v>
      </c>
      <c r="AK9" s="50">
        <f ca="1">+GETPIVOTDATA("XBC4",'bauchinh (2016)'!$A$3,"MA_HT","LUK","MA_QH","DXH")</f>
        <v>0</v>
      </c>
      <c r="AL9" s="50">
        <f ca="1">+GETPIVOTDATA("XBC4",'bauchinh (2016)'!$A$3,"MA_HT","LUK","MA_QH","DCH")</f>
        <v>0</v>
      </c>
      <c r="AM9" s="50">
        <f ca="1">+GETPIVOTDATA("XBC4",'bauchinh (2016)'!$A$3,"MA_HT","LUK","MA_QH","DKG")</f>
        <v>0</v>
      </c>
      <c r="AN9" s="50">
        <f ca="1">+GETPIVOTDATA("XBC4",'bauchinh (2016)'!$A$3,"MA_HT","LUK","MA_QH","DDT")</f>
        <v>0</v>
      </c>
      <c r="AO9" s="50">
        <f ca="1">+GETPIVOTDATA("XBC4",'bauchinh (2016)'!$A$3,"MA_HT","LUK","MA_QH","DDL")</f>
        <v>0</v>
      </c>
      <c r="AP9" s="50">
        <f ca="1">+GETPIVOTDATA("XBC4",'bauchinh (2016)'!$A$3,"MA_HT","LUK","MA_QH","DRA")</f>
        <v>0</v>
      </c>
      <c r="AQ9" s="50">
        <f ca="1">+GETPIVOTDATA("XBC4",'bauchinh (2016)'!$A$3,"MA_HT","LUK","MA_QH","ONT")</f>
        <v>0</v>
      </c>
      <c r="AR9" s="50">
        <f ca="1">+GETPIVOTDATA("XBC4",'bauchinh (2016)'!$A$3,"MA_HT","LUK","MA_QH","ODT")</f>
        <v>0</v>
      </c>
      <c r="AS9" s="50">
        <f ca="1">+GETPIVOTDATA("XBC4",'bauchinh (2016)'!$A$3,"MA_HT","LUK","MA_QH","TSC")</f>
        <v>0</v>
      </c>
      <c r="AT9" s="50">
        <f ca="1">+GETPIVOTDATA("XBC4",'bauchinh (2016)'!$A$3,"MA_HT","LUK","MA_QH","DTS")</f>
        <v>0</v>
      </c>
      <c r="AU9" s="50">
        <f ca="1">+GETPIVOTDATA("XBC4",'bauchinh (2016)'!$A$3,"MA_HT","LUK","MA_QH","DNG")</f>
        <v>0</v>
      </c>
      <c r="AV9" s="50">
        <f ca="1">+GETPIVOTDATA("XBC4",'bauchinh (2016)'!$A$3,"MA_HT","LUK","MA_QH","TON")</f>
        <v>0</v>
      </c>
      <c r="AW9" s="50">
        <f ca="1">+GETPIVOTDATA("XBC4",'bauchinh (2016)'!$A$3,"MA_HT","LUK","MA_QH","NTD")</f>
        <v>0</v>
      </c>
      <c r="AX9" s="50">
        <f ca="1">+GETPIVOTDATA("XBC4",'bauchinh (2016)'!$A$3,"MA_HT","LUK","MA_QH","SKX")</f>
        <v>0</v>
      </c>
      <c r="AY9" s="50">
        <f ca="1">+GETPIVOTDATA("XBC4",'bauchinh (2016)'!$A$3,"MA_HT","LUK","MA_QH","DSH")</f>
        <v>0</v>
      </c>
      <c r="AZ9" s="50">
        <f ca="1">+GETPIVOTDATA("XBC4",'bauchinh (2016)'!$A$3,"MA_HT","LUK","MA_QH","DKV")</f>
        <v>0</v>
      </c>
      <c r="BA9" s="88">
        <f ca="1">+GETPIVOTDATA("XBC4",'bauchinh (2016)'!$A$3,"MA_HT","LUK","MA_QH","TIN")</f>
        <v>0</v>
      </c>
      <c r="BB9" s="50">
        <f ca="1">+GETPIVOTDATA("XBC4",'bauchinh (2016)'!$A$3,"MA_HT","LUK","MA_QH","SON")</f>
        <v>0</v>
      </c>
      <c r="BC9" s="50">
        <f ca="1">+GETPIVOTDATA("XBC4",'bauchinh (2016)'!$A$3,"MA_HT","LUK","MA_QH","MNC")</f>
        <v>0</v>
      </c>
      <c r="BD9" s="50">
        <f ca="1">+GETPIVOTDATA("XBC4",'bauchinh (2016)'!$A$3,"MA_HT","LUK","MA_QH","PNK")</f>
        <v>0</v>
      </c>
      <c r="BE9" s="80">
        <f ca="1">+GETPIVOTDATA("XBC4",'bauchinh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+GETPIVOTDATA("XBC4",'bauchinh (2016)'!$A$3,"MA_HT","LUN","MA_QH","LUC")</f>
        <v>0</v>
      </c>
      <c r="H10" s="50">
        <f ca="1">+GETPIVOTDATA("XBC4",'bauchinh (2016)'!$A$3,"MA_HT","LUN","MA_QH","LUK")</f>
        <v>0</v>
      </c>
      <c r="I10" s="49" t="e">
        <f ca="1">$D10-$BF10</f>
        <v>#REF!</v>
      </c>
      <c r="J10" s="50">
        <f ca="1">+GETPIVOTDATA("XBC4",'bauchinh (2016)'!$A$3,"MA_HT","LUN","MA_QH","HNK")</f>
        <v>0</v>
      </c>
      <c r="K10" s="50">
        <f ca="1">+GETPIVOTDATA("XBC4",'bauchinh (2016)'!$A$3,"MA_HT","LUN","MA_QH","CLN")</f>
        <v>0</v>
      </c>
      <c r="L10" s="50">
        <f ca="1">+GETPIVOTDATA("XBC4",'bauchinh (2016)'!$A$3,"MA_HT","LUN","MA_QH","RSX")</f>
        <v>0</v>
      </c>
      <c r="M10" s="50">
        <f ca="1">+GETPIVOTDATA("XBC4",'bauchinh (2016)'!$A$3,"MA_HT","LUN","MA_QH","RPH")</f>
        <v>0</v>
      </c>
      <c r="N10" s="50">
        <f ca="1">+GETPIVOTDATA("XBC4",'bauchinh (2016)'!$A$3,"MA_HT","LUN","MA_QH","RDD")</f>
        <v>0</v>
      </c>
      <c r="O10" s="50">
        <f ca="1">+GETPIVOTDATA("XBC4",'bauchinh (2016)'!$A$3,"MA_HT","LUN","MA_QH","NTS")</f>
        <v>0</v>
      </c>
      <c r="P10" s="50">
        <f ca="1">+GETPIVOTDATA("XBC4",'bauchinh (2016)'!$A$3,"MA_HT","LUN","MA_QH","LMU")</f>
        <v>0</v>
      </c>
      <c r="Q10" s="50">
        <f ca="1">+GETPIVOTDATA("XBC4",'bauchinh (2016)'!$A$3,"MA_HT","LUN","MA_QH","NKH")</f>
        <v>0</v>
      </c>
      <c r="R10" s="48">
        <f ca="1" t="shared" si="2"/>
        <v>0</v>
      </c>
      <c r="S10" s="50">
        <f ca="1">+GETPIVOTDATA("XBC4",'bauchinh (2016)'!$A$3,"MA_HT","LUN","MA_QH","CQP")</f>
        <v>0</v>
      </c>
      <c r="T10" s="50">
        <f ca="1">+GETPIVOTDATA("XBC4",'bauchinh (2016)'!$A$3,"MA_HT","LUN","MA_QH","CAN")</f>
        <v>0</v>
      </c>
      <c r="U10" s="50">
        <f ca="1">+GETPIVOTDATA("XBC4",'bauchinh (2016)'!$A$3,"MA_HT","LUN","MA_QH","SKK")</f>
        <v>0</v>
      </c>
      <c r="V10" s="50">
        <f ca="1">+GETPIVOTDATA("XBC4",'bauchinh (2016)'!$A$3,"MA_HT","LUN","MA_QH","SKT")</f>
        <v>0</v>
      </c>
      <c r="W10" s="50">
        <f ca="1">+GETPIVOTDATA("XBC4",'bauchinh (2016)'!$A$3,"MA_HT","LUN","MA_QH","SKN")</f>
        <v>0</v>
      </c>
      <c r="X10" s="50">
        <f ca="1">+GETPIVOTDATA("XBC4",'bauchinh (2016)'!$A$3,"MA_HT","LUN","MA_QH","TMD")</f>
        <v>0</v>
      </c>
      <c r="Y10" s="50">
        <f ca="1">+GETPIVOTDATA("XBC4",'bauchinh (2016)'!$A$3,"MA_HT","LUN","MA_QH","SKC")</f>
        <v>0</v>
      </c>
      <c r="Z10" s="50">
        <f ca="1">+GETPIVOTDATA("XBC4",'bauchinh (2016)'!$A$3,"MA_HT","LUN","MA_QH","SKS")</f>
        <v>0</v>
      </c>
      <c r="AA10" s="52">
        <f ca="1" t="shared" si="4"/>
        <v>0</v>
      </c>
      <c r="AB10" s="50">
        <f ca="1">+GETPIVOTDATA("XBC4",'bauchinh (2016)'!$A$3,"MA_HT","LUN","MA_QH","DGT")</f>
        <v>0</v>
      </c>
      <c r="AC10" s="50">
        <f ca="1">+GETPIVOTDATA("XBC4",'bauchinh (2016)'!$A$3,"MA_HT","LUN","MA_QH","DTL")</f>
        <v>0</v>
      </c>
      <c r="AD10" s="50">
        <f ca="1">+GETPIVOTDATA("XBC4",'bauchinh (2016)'!$A$3,"MA_HT","LUN","MA_QH","DNL")</f>
        <v>0</v>
      </c>
      <c r="AE10" s="50">
        <f ca="1">+GETPIVOTDATA("XBC4",'bauchinh (2016)'!$A$3,"MA_HT","LUN","MA_QH","DBV")</f>
        <v>0</v>
      </c>
      <c r="AF10" s="50">
        <f ca="1">+GETPIVOTDATA("XBC4",'bauchinh (2016)'!$A$3,"MA_HT","LUN","MA_QH","DVH")</f>
        <v>0</v>
      </c>
      <c r="AG10" s="50">
        <f ca="1">+GETPIVOTDATA("XBC4",'bauchinh (2016)'!$A$3,"MA_HT","LUN","MA_QH","DYT")</f>
        <v>0</v>
      </c>
      <c r="AH10" s="50">
        <f ca="1">+GETPIVOTDATA("XBC4",'bauchinh (2016)'!$A$3,"MA_HT","LUN","MA_QH","DGD")</f>
        <v>0</v>
      </c>
      <c r="AI10" s="50">
        <f ca="1">+GETPIVOTDATA("XBC4",'bauchinh (2016)'!$A$3,"MA_HT","LUN","MA_QH","DTT")</f>
        <v>0</v>
      </c>
      <c r="AJ10" s="50">
        <f ca="1">+GETPIVOTDATA("XBC4",'bauchinh (2016)'!$A$3,"MA_HT","LUN","MA_QH","NCK")</f>
        <v>0</v>
      </c>
      <c r="AK10" s="50">
        <f ca="1">+GETPIVOTDATA("XBC4",'bauchinh (2016)'!$A$3,"MA_HT","LUN","MA_QH","DXH")</f>
        <v>0</v>
      </c>
      <c r="AL10" s="50">
        <f ca="1">+GETPIVOTDATA("XBC4",'bauchinh (2016)'!$A$3,"MA_HT","LUN","MA_QH","DCH")</f>
        <v>0</v>
      </c>
      <c r="AM10" s="50">
        <f ca="1">+GETPIVOTDATA("XBC4",'bauchinh (2016)'!$A$3,"MA_HT","LUN","MA_QH","DKG")</f>
        <v>0</v>
      </c>
      <c r="AN10" s="50">
        <f ca="1">+GETPIVOTDATA("XBC4",'bauchinh (2016)'!$A$3,"MA_HT","LUN","MA_QH","DDT")</f>
        <v>0</v>
      </c>
      <c r="AO10" s="50">
        <f ca="1">+GETPIVOTDATA("XBC4",'bauchinh (2016)'!$A$3,"MA_HT","LUN","MA_QH","DDL")</f>
        <v>0</v>
      </c>
      <c r="AP10" s="50">
        <f ca="1">+GETPIVOTDATA("XBC4",'bauchinh (2016)'!$A$3,"MA_HT","LUN","MA_QH","DRA")</f>
        <v>0</v>
      </c>
      <c r="AQ10" s="50">
        <f ca="1">+GETPIVOTDATA("XBC4",'bauchinh (2016)'!$A$3,"MA_HT","LUN","MA_QH","ONT")</f>
        <v>0</v>
      </c>
      <c r="AR10" s="50">
        <f ca="1">+GETPIVOTDATA("XBC4",'bauchinh (2016)'!$A$3,"MA_HT","LUN","MA_QH","ODT")</f>
        <v>0</v>
      </c>
      <c r="AS10" s="50">
        <f ca="1">+GETPIVOTDATA("XBC4",'bauchinh (2016)'!$A$3,"MA_HT","LUN","MA_QH","TSC")</f>
        <v>0</v>
      </c>
      <c r="AT10" s="50">
        <f ca="1">+GETPIVOTDATA("XBC4",'bauchinh (2016)'!$A$3,"MA_HT","LUN","MA_QH","DTS")</f>
        <v>0</v>
      </c>
      <c r="AU10" s="50">
        <f ca="1">+GETPIVOTDATA("XBC4",'bauchinh (2016)'!$A$3,"MA_HT","LUN","MA_QH","DNG")</f>
        <v>0</v>
      </c>
      <c r="AV10" s="50">
        <f ca="1">+GETPIVOTDATA("XBC4",'bauchinh (2016)'!$A$3,"MA_HT","LUN","MA_QH","TON")</f>
        <v>0</v>
      </c>
      <c r="AW10" s="50">
        <f ca="1">+GETPIVOTDATA("XBC4",'bauchinh (2016)'!$A$3,"MA_HT","LUN","MA_QH","NTD")</f>
        <v>0</v>
      </c>
      <c r="AX10" s="50">
        <f ca="1">+GETPIVOTDATA("XBC4",'bauchinh (2016)'!$A$3,"MA_HT","LUN","MA_QH","SKX")</f>
        <v>0</v>
      </c>
      <c r="AY10" s="50">
        <f ca="1">+GETPIVOTDATA("XBC4",'bauchinh (2016)'!$A$3,"MA_HT","LUN","MA_QH","DSH")</f>
        <v>0</v>
      </c>
      <c r="AZ10" s="50">
        <f ca="1">+GETPIVOTDATA("XBC4",'bauchinh (2016)'!$A$3,"MA_HT","LUN","MA_QH","DKV")</f>
        <v>0</v>
      </c>
      <c r="BA10" s="88">
        <f ca="1">+GETPIVOTDATA("XBC4",'bauchinh (2016)'!$A$3,"MA_HT","LUN","MA_QH","TIN")</f>
        <v>0</v>
      </c>
      <c r="BB10" s="50">
        <f ca="1">+GETPIVOTDATA("XBC4",'bauchinh (2016)'!$A$3,"MA_HT","LUN","MA_QH","SON")</f>
        <v>0</v>
      </c>
      <c r="BC10" s="50">
        <f ca="1">+GETPIVOTDATA("XBC4",'bauchinh (2016)'!$A$3,"MA_HT","LUN","MA_QH","MNC")</f>
        <v>0</v>
      </c>
      <c r="BD10" s="50">
        <f ca="1">+GETPIVOTDATA("XBC4",'bauchinh (2016)'!$A$3,"MA_HT","LUN","MA_QH","PNK")</f>
        <v>0</v>
      </c>
      <c r="BE10" s="80">
        <f ca="1">+GETPIVOTDATA("XBC4",'bauchinh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+GETPIVOTDATA("XBC4",'bauchinh (2016)'!$A$3,"MA_HT","HNK","MA_QH","LUC")</f>
        <v>0</v>
      </c>
      <c r="H11" s="22">
        <f ca="1">+GETPIVOTDATA("XBC4",'bauchinh (2016)'!$A$3,"MA_HT","HNK","MA_QH","LUK")</f>
        <v>0</v>
      </c>
      <c r="I11" s="22">
        <f ca="1">+GETPIVOTDATA("XBC4",'bauchinh (2016)'!$A$3,"MA_HT","HNK","MA_QH","LUN")</f>
        <v>0</v>
      </c>
      <c r="J11" s="43" t="e">
        <f ca="1">$D11-$BF11</f>
        <v>#REF!</v>
      </c>
      <c r="K11" s="22">
        <f ca="1">+GETPIVOTDATA("XBC4",'bauchinh (2016)'!$A$3,"MA_HT","HNK","MA_QH","CLN")</f>
        <v>0</v>
      </c>
      <c r="L11" s="22">
        <f ca="1">+GETPIVOTDATA("XBC4",'bauchinh (2016)'!$A$3,"MA_HT","HNK","MA_QH","RSX")</f>
        <v>0</v>
      </c>
      <c r="M11" s="22">
        <f ca="1">+GETPIVOTDATA("XBC4",'bauchinh (2016)'!$A$3,"MA_HT","HNK","MA_QH","RPH")</f>
        <v>0</v>
      </c>
      <c r="N11" s="22">
        <f ca="1">+GETPIVOTDATA("XBC4",'bauchinh (2016)'!$A$3,"MA_HT","HNK","MA_QH","RDD")</f>
        <v>0</v>
      </c>
      <c r="O11" s="22">
        <f ca="1">+GETPIVOTDATA("XBC4",'bauchinh (2016)'!$A$3,"MA_HT","HNK","MA_QH","NTS")</f>
        <v>0</v>
      </c>
      <c r="P11" s="22">
        <f ca="1">+GETPIVOTDATA("XBC4",'bauchinh (2016)'!$A$3,"MA_HT","HNK","MA_QH","LMU")</f>
        <v>0</v>
      </c>
      <c r="Q11" s="22">
        <f ca="1">+GETPIVOTDATA("XBC4",'bauchinh (2016)'!$A$3,"MA_HT","HNK","MA_QH","NKH")</f>
        <v>0</v>
      </c>
      <c r="R11" s="42">
        <f ca="1" t="shared" si="2"/>
        <v>0</v>
      </c>
      <c r="S11" s="22">
        <f ca="1">+GETPIVOTDATA("XBC4",'bauchinh (2016)'!$A$3,"MA_HT","HNK","MA_QH","CQP")</f>
        <v>0</v>
      </c>
      <c r="T11" s="22">
        <f ca="1">+GETPIVOTDATA("XBC4",'bauchinh (2016)'!$A$3,"MA_HT","HNK","MA_QH","CAN")</f>
        <v>0</v>
      </c>
      <c r="U11" s="22">
        <f ca="1">+GETPIVOTDATA("XBC4",'bauchinh (2016)'!$A$3,"MA_HT","HNK","MA_QH","SKK")</f>
        <v>0</v>
      </c>
      <c r="V11" s="22">
        <f ca="1">+GETPIVOTDATA("XBC4",'bauchinh (2016)'!$A$3,"MA_HT","HNK","MA_QH","SKT")</f>
        <v>0</v>
      </c>
      <c r="W11" s="22">
        <f ca="1">+GETPIVOTDATA("XBC4",'bauchinh (2016)'!$A$3,"MA_HT","HNK","MA_QH","SKN")</f>
        <v>0</v>
      </c>
      <c r="X11" s="22">
        <f ca="1">+GETPIVOTDATA("XBC4",'bauchinh (2016)'!$A$3,"MA_HT","HNK","MA_QH","TMD")</f>
        <v>0</v>
      </c>
      <c r="Y11" s="22">
        <f ca="1">+GETPIVOTDATA("XBC4",'bauchinh (2016)'!$A$3,"MA_HT","HNK","MA_QH","SKC")</f>
        <v>0</v>
      </c>
      <c r="Z11" s="22">
        <f ca="1">+GETPIVOTDATA("XBC4",'bauchinh (2016)'!$A$3,"MA_HT","HNK","MA_QH","SKS")</f>
        <v>0</v>
      </c>
      <c r="AA11" s="52">
        <f ca="1" t="shared" si="4"/>
        <v>0</v>
      </c>
      <c r="AB11" s="22">
        <f ca="1">+GETPIVOTDATA("XBC4",'bauchinh (2016)'!$A$3,"MA_HT","HNK","MA_QH","DGT")</f>
        <v>0</v>
      </c>
      <c r="AC11" s="22">
        <f ca="1">+GETPIVOTDATA("XBC4",'bauchinh (2016)'!$A$3,"MA_HT","HNK","MA_QH","DTL")</f>
        <v>0</v>
      </c>
      <c r="AD11" s="22">
        <f ca="1">+GETPIVOTDATA("XBC4",'bauchinh (2016)'!$A$3,"MA_HT","HNK","MA_QH","DNL")</f>
        <v>0</v>
      </c>
      <c r="AE11" s="22">
        <f ca="1">+GETPIVOTDATA("XBC4",'bauchinh (2016)'!$A$3,"MA_HT","HNK","MA_QH","DBV")</f>
        <v>0</v>
      </c>
      <c r="AF11" s="22">
        <f ca="1">+GETPIVOTDATA("XBC4",'bauchinh (2016)'!$A$3,"MA_HT","HNK","MA_QH","DVH")</f>
        <v>0</v>
      </c>
      <c r="AG11" s="22">
        <f ca="1">+GETPIVOTDATA("XBC4",'bauchinh (2016)'!$A$3,"MA_HT","HNK","MA_QH","DYT")</f>
        <v>0</v>
      </c>
      <c r="AH11" s="22">
        <f ca="1">+GETPIVOTDATA("XBC4",'bauchinh (2016)'!$A$3,"MA_HT","HNK","MA_QH","DGD")</f>
        <v>0</v>
      </c>
      <c r="AI11" s="22">
        <f ca="1">+GETPIVOTDATA("XBC4",'bauchinh (2016)'!$A$3,"MA_HT","HNK","MA_QH","DTT")</f>
        <v>0</v>
      </c>
      <c r="AJ11" s="22">
        <f ca="1">+GETPIVOTDATA("XBC4",'bauchinh (2016)'!$A$3,"MA_HT","HNK","MA_QH","NCK")</f>
        <v>0</v>
      </c>
      <c r="AK11" s="22">
        <f ca="1">+GETPIVOTDATA("XBC4",'bauchinh (2016)'!$A$3,"MA_HT","HNK","MA_QH","DXH")</f>
        <v>0</v>
      </c>
      <c r="AL11" s="22">
        <f ca="1">+GETPIVOTDATA("XBC4",'bauchinh (2016)'!$A$3,"MA_HT","HNK","MA_QH","DCH")</f>
        <v>0</v>
      </c>
      <c r="AM11" s="22">
        <f ca="1">+GETPIVOTDATA("XBC4",'bauchinh (2016)'!$A$3,"MA_HT","HNK","MA_QH","DKG")</f>
        <v>0</v>
      </c>
      <c r="AN11" s="22">
        <f ca="1">+GETPIVOTDATA("XBC4",'bauchinh (2016)'!$A$3,"MA_HT","HNK","MA_QH","DDT")</f>
        <v>0</v>
      </c>
      <c r="AO11" s="22">
        <f ca="1">+GETPIVOTDATA("XBC4",'bauchinh (2016)'!$A$3,"MA_HT","HNK","MA_QH","DDL")</f>
        <v>0</v>
      </c>
      <c r="AP11" s="22">
        <f ca="1">+GETPIVOTDATA("XBC4",'bauchinh (2016)'!$A$3,"MA_HT","HNK","MA_QH","DRA")</f>
        <v>0</v>
      </c>
      <c r="AQ11" s="22">
        <f ca="1">+GETPIVOTDATA("XBC4",'bauchinh (2016)'!$A$3,"MA_HT","HNK","MA_QH","ONT")</f>
        <v>0</v>
      </c>
      <c r="AR11" s="22">
        <f ca="1">+GETPIVOTDATA("XBC4",'bauchinh (2016)'!$A$3,"MA_HT","HNK","MA_QH","ODT")</f>
        <v>0</v>
      </c>
      <c r="AS11" s="22">
        <f ca="1">+GETPIVOTDATA("XBC4",'bauchinh (2016)'!$A$3,"MA_HT","HNK","MA_QH","TSC")</f>
        <v>0</v>
      </c>
      <c r="AT11" s="22">
        <f ca="1">+GETPIVOTDATA("XBC4",'bauchinh (2016)'!$A$3,"MA_HT","HNK","MA_QH","DTS")</f>
        <v>0</v>
      </c>
      <c r="AU11" s="22">
        <f ca="1">+GETPIVOTDATA("XBC4",'bauchinh (2016)'!$A$3,"MA_HT","HNK","MA_QH","DNG")</f>
        <v>0</v>
      </c>
      <c r="AV11" s="22">
        <f ca="1">+GETPIVOTDATA("XBC4",'bauchinh (2016)'!$A$3,"MA_HT","HNK","MA_QH","TON")</f>
        <v>0</v>
      </c>
      <c r="AW11" s="22">
        <f ca="1">+GETPIVOTDATA("XBC4",'bauchinh (2016)'!$A$3,"MA_HT","HNK","MA_QH","NTD")</f>
        <v>0</v>
      </c>
      <c r="AX11" s="22">
        <f ca="1">+GETPIVOTDATA("XBC4",'bauchinh (2016)'!$A$3,"MA_HT","HNK","MA_QH","SKX")</f>
        <v>0</v>
      </c>
      <c r="AY11" s="22">
        <f ca="1">+GETPIVOTDATA("XBC4",'bauchinh (2016)'!$A$3,"MA_HT","HNK","MA_QH","DSH")</f>
        <v>0</v>
      </c>
      <c r="AZ11" s="22">
        <f ca="1">+GETPIVOTDATA("XBC4",'bauchinh (2016)'!$A$3,"MA_HT","HNK","MA_QH","DKV")</f>
        <v>0</v>
      </c>
      <c r="BA11" s="89">
        <f ca="1">+GETPIVOTDATA("XBC4",'bauchinh (2016)'!$A$3,"MA_HT","HNK","MA_QH","TIN")</f>
        <v>0</v>
      </c>
      <c r="BB11" s="50">
        <f ca="1">+GETPIVOTDATA("XBC4",'bauchinh (2016)'!$A$3,"MA_HT","HNK","MA_QH","SON")</f>
        <v>0</v>
      </c>
      <c r="BC11" s="50">
        <f ca="1">+GETPIVOTDATA("XBC4",'bauchinh (2016)'!$A$3,"MA_HT","HNK","MA_QH","MNC")</f>
        <v>0</v>
      </c>
      <c r="BD11" s="22">
        <f ca="1">+GETPIVOTDATA("XBC4",'bauchinh (2016)'!$A$3,"MA_HT","HNK","MA_QH","PNK")</f>
        <v>0</v>
      </c>
      <c r="BE11" s="71">
        <f ca="1">+GETPIVOTDATA("XBC4",'bauchinh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+GETPIVOTDATA("XBC4",'bauchinh (2016)'!$A$3,"MA_HT","CLN","MA_QH","LUC")</f>
        <v>0</v>
      </c>
      <c r="H12" s="22">
        <f ca="1">+GETPIVOTDATA("XBC4",'bauchinh (2016)'!$A$3,"MA_HT","CLN","MA_QH","LUK")</f>
        <v>0</v>
      </c>
      <c r="I12" s="22">
        <f ca="1">+GETPIVOTDATA("XBC4",'bauchinh (2016)'!$A$3,"MA_HT","CLN","MA_QH","LUN")</f>
        <v>0</v>
      </c>
      <c r="J12" s="22">
        <f ca="1">+GETPIVOTDATA("XBC4",'bauchinh (2016)'!$A$3,"MA_HT","CLN","MA_QH","HNK")</f>
        <v>0</v>
      </c>
      <c r="K12" s="43" t="e">
        <f ca="1">$D12-$BF12</f>
        <v>#REF!</v>
      </c>
      <c r="L12" s="22">
        <f ca="1">+GETPIVOTDATA("XBC4",'bauchinh (2016)'!$A$3,"MA_HT","CLN","MA_QH","RSX")</f>
        <v>0</v>
      </c>
      <c r="M12" s="22">
        <f ca="1">+GETPIVOTDATA("XBC4",'bauchinh (2016)'!$A$3,"MA_HT","CLN","MA_QH","RPH")</f>
        <v>0</v>
      </c>
      <c r="N12" s="22">
        <f ca="1">+GETPIVOTDATA("XBC4",'bauchinh (2016)'!$A$3,"MA_HT","CLN","MA_QH","RDD")</f>
        <v>0</v>
      </c>
      <c r="O12" s="22">
        <f ca="1">+GETPIVOTDATA("XBC4",'bauchinh (2016)'!$A$3,"MA_HT","CLN","MA_QH","NTS")</f>
        <v>0</v>
      </c>
      <c r="P12" s="22">
        <f ca="1">+GETPIVOTDATA("XBC4",'bauchinh (2016)'!$A$3,"MA_HT","CLN","MA_QH","LMU")</f>
        <v>0</v>
      </c>
      <c r="Q12" s="22">
        <f ca="1">+GETPIVOTDATA("XBC4",'bauchinh (2016)'!$A$3,"MA_HT","CLN","MA_QH","NKH")</f>
        <v>0</v>
      </c>
      <c r="R12" s="42">
        <f ca="1" t="shared" si="2"/>
        <v>0</v>
      </c>
      <c r="S12" s="22">
        <f ca="1">+GETPIVOTDATA("XBC4",'bauchinh (2016)'!$A$3,"MA_HT","CLN","MA_QH","CQP")</f>
        <v>0</v>
      </c>
      <c r="T12" s="22">
        <f ca="1">+GETPIVOTDATA("XBC4",'bauchinh (2016)'!$A$3,"MA_HT","CLN","MA_QH","CAN")</f>
        <v>0</v>
      </c>
      <c r="U12" s="22">
        <f ca="1">+GETPIVOTDATA("XBC4",'bauchinh (2016)'!$A$3,"MA_HT","CLN","MA_QH","SKK")</f>
        <v>0</v>
      </c>
      <c r="V12" s="22">
        <f ca="1">+GETPIVOTDATA("XBC4",'bauchinh (2016)'!$A$3,"MA_HT","CLN","MA_QH","SKT")</f>
        <v>0</v>
      </c>
      <c r="W12" s="22">
        <f ca="1">+GETPIVOTDATA("XBC4",'bauchinh (2016)'!$A$3,"MA_HT","CLN","MA_QH","SKN")</f>
        <v>0</v>
      </c>
      <c r="X12" s="22">
        <f ca="1">+GETPIVOTDATA("XBC4",'bauchinh (2016)'!$A$3,"MA_HT","CLN","MA_QH","TMD")</f>
        <v>0</v>
      </c>
      <c r="Y12" s="22">
        <f ca="1">+GETPIVOTDATA("XBC4",'bauchinh (2016)'!$A$3,"MA_HT","CLN","MA_QH","SKC")</f>
        <v>0</v>
      </c>
      <c r="Z12" s="22">
        <f ca="1">+GETPIVOTDATA("XBC4",'bauchinh (2016)'!$A$3,"MA_HT","CLN","MA_QH","SKS")</f>
        <v>0</v>
      </c>
      <c r="AA12" s="52">
        <f ca="1" t="shared" si="4"/>
        <v>0</v>
      </c>
      <c r="AB12" s="22">
        <f ca="1">+GETPIVOTDATA("XBC4",'bauchinh (2016)'!$A$3,"MA_HT","CLN","MA_QH","DGT")</f>
        <v>0</v>
      </c>
      <c r="AC12" s="22">
        <f ca="1">+GETPIVOTDATA("XBC4",'bauchinh (2016)'!$A$3,"MA_HT","CLN","MA_QH","DTL")</f>
        <v>0</v>
      </c>
      <c r="AD12" s="22">
        <f ca="1">+GETPIVOTDATA("XBC4",'bauchinh (2016)'!$A$3,"MA_HT","CLN","MA_QH","DNL")</f>
        <v>0</v>
      </c>
      <c r="AE12" s="22">
        <f ca="1">+GETPIVOTDATA("XBC4",'bauchinh (2016)'!$A$3,"MA_HT","CLN","MA_QH","DBV")</f>
        <v>0</v>
      </c>
      <c r="AF12" s="22">
        <f ca="1">+GETPIVOTDATA("XBC4",'bauchinh (2016)'!$A$3,"MA_HT","CLN","MA_QH","DVH")</f>
        <v>0</v>
      </c>
      <c r="AG12" s="22">
        <f ca="1">+GETPIVOTDATA("XBC4",'bauchinh (2016)'!$A$3,"MA_HT","CLN","MA_QH","DYT")</f>
        <v>0</v>
      </c>
      <c r="AH12" s="22">
        <f ca="1">+GETPIVOTDATA("XBC4",'bauchinh (2016)'!$A$3,"MA_HT","CLN","MA_QH","DGD")</f>
        <v>0</v>
      </c>
      <c r="AI12" s="22">
        <f ca="1">+GETPIVOTDATA("XBC4",'bauchinh (2016)'!$A$3,"MA_HT","CLN","MA_QH","DTT")</f>
        <v>0</v>
      </c>
      <c r="AJ12" s="22">
        <f ca="1">+GETPIVOTDATA("XBC4",'bauchinh (2016)'!$A$3,"MA_HT","CLN","MA_QH","NCK")</f>
        <v>0</v>
      </c>
      <c r="AK12" s="22">
        <f ca="1">+GETPIVOTDATA("XBC4",'bauchinh (2016)'!$A$3,"MA_HT","CLN","MA_QH","DXH")</f>
        <v>0</v>
      </c>
      <c r="AL12" s="22">
        <f ca="1">+GETPIVOTDATA("XBC4",'bauchinh (2016)'!$A$3,"MA_HT","CLN","MA_QH","DCH")</f>
        <v>0</v>
      </c>
      <c r="AM12" s="22">
        <f ca="1">+GETPIVOTDATA("XBC4",'bauchinh (2016)'!$A$3,"MA_HT","CLN","MA_QH","DKG")</f>
        <v>0</v>
      </c>
      <c r="AN12" s="22">
        <f ca="1">+GETPIVOTDATA("XBC4",'bauchinh (2016)'!$A$3,"MA_HT","CLN","MA_QH","DDT")</f>
        <v>0</v>
      </c>
      <c r="AO12" s="22">
        <f ca="1">+GETPIVOTDATA("XBC4",'bauchinh (2016)'!$A$3,"MA_HT","CLN","MA_QH","DDL")</f>
        <v>0</v>
      </c>
      <c r="AP12" s="22">
        <f ca="1">+GETPIVOTDATA("XBC4",'bauchinh (2016)'!$A$3,"MA_HT","CLN","MA_QH","DRA")</f>
        <v>0</v>
      </c>
      <c r="AQ12" s="22">
        <f ca="1">+GETPIVOTDATA("XBC4",'bauchinh (2016)'!$A$3,"MA_HT","CLN","MA_QH","ONT")</f>
        <v>0</v>
      </c>
      <c r="AR12" s="22">
        <f ca="1">+GETPIVOTDATA("XBC4",'bauchinh (2016)'!$A$3,"MA_HT","CLN","MA_QH","ODT")</f>
        <v>0</v>
      </c>
      <c r="AS12" s="22">
        <f ca="1">+GETPIVOTDATA("XBC4",'bauchinh (2016)'!$A$3,"MA_HT","CLN","MA_QH","TSC")</f>
        <v>0</v>
      </c>
      <c r="AT12" s="22">
        <f ca="1">+GETPIVOTDATA("XBC4",'bauchinh (2016)'!$A$3,"MA_HT","CLN","MA_QH","DTS")</f>
        <v>0</v>
      </c>
      <c r="AU12" s="22">
        <f ca="1">+GETPIVOTDATA("XBC4",'bauchinh (2016)'!$A$3,"MA_HT","CLN","MA_QH","DNG")</f>
        <v>0</v>
      </c>
      <c r="AV12" s="22">
        <f ca="1">+GETPIVOTDATA("XBC4",'bauchinh (2016)'!$A$3,"MA_HT","CLN","MA_QH","TON")</f>
        <v>0</v>
      </c>
      <c r="AW12" s="22">
        <f ca="1">+GETPIVOTDATA("XBC4",'bauchinh (2016)'!$A$3,"MA_HT","CLN","MA_QH","NTD")</f>
        <v>0</v>
      </c>
      <c r="AX12" s="22">
        <f ca="1">+GETPIVOTDATA("XBC4",'bauchinh (2016)'!$A$3,"MA_HT","CLN","MA_QH","SKX")</f>
        <v>0</v>
      </c>
      <c r="AY12" s="22">
        <f ca="1">+GETPIVOTDATA("XBC4",'bauchinh (2016)'!$A$3,"MA_HT","CLN","MA_QH","DSH")</f>
        <v>0</v>
      </c>
      <c r="AZ12" s="22">
        <f ca="1">+GETPIVOTDATA("XBC4",'bauchinh (2016)'!$A$3,"MA_HT","CLN","MA_QH","DKV")</f>
        <v>0</v>
      </c>
      <c r="BA12" s="89">
        <f ca="1">+GETPIVOTDATA("XBC4",'bauchinh (2016)'!$A$3,"MA_HT","CLN","MA_QH","TIN")</f>
        <v>0</v>
      </c>
      <c r="BB12" s="50">
        <f ca="1">+GETPIVOTDATA("XBC4",'bauchinh (2016)'!$A$3,"MA_HT","CLN","MA_QH","SON")</f>
        <v>0</v>
      </c>
      <c r="BC12" s="50">
        <f ca="1">+GETPIVOTDATA("XBC4",'bauchinh (2016)'!$A$3,"MA_HT","CLN","MA_QH","MNC")</f>
        <v>0</v>
      </c>
      <c r="BD12" s="22">
        <f ca="1">+GETPIVOTDATA("XBC4",'bauchinh (2016)'!$A$3,"MA_HT","CLN","MA_QH","PNK")</f>
        <v>0</v>
      </c>
      <c r="BE12" s="71">
        <f ca="1">+GETPIVOTDATA("XBC4",'bauchinh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+GETPIVOTDATA("XBC4",'bauchinh (2016)'!$A$3,"MA_HT","RSX","MA_QH","LUC")</f>
        <v>0</v>
      </c>
      <c r="H13" s="22">
        <f ca="1">+GETPIVOTDATA("XBC4",'bauchinh (2016)'!$A$3,"MA_HT","RSX","MA_QH","LUK")</f>
        <v>0</v>
      </c>
      <c r="I13" s="22">
        <f ca="1">+GETPIVOTDATA("XBC4",'bauchinh (2016)'!$A$3,"MA_HT","RSX","MA_QH","LUN")</f>
        <v>0</v>
      </c>
      <c r="J13" s="22">
        <f ca="1">+GETPIVOTDATA("XBC4",'bauchinh (2016)'!$A$3,"MA_HT","RSX","MA_QH","HNK")</f>
        <v>0</v>
      </c>
      <c r="K13" s="22">
        <f ca="1">+GETPIVOTDATA("XBC4",'bauchinh (2016)'!$A$3,"MA_HT","RSX","MA_QH","CLN")</f>
        <v>0</v>
      </c>
      <c r="L13" s="43" t="e">
        <f ca="1">$D13-$BF13</f>
        <v>#REF!</v>
      </c>
      <c r="M13" s="22">
        <f ca="1">+GETPIVOTDATA("XBC4",'bauchinh (2016)'!$A$3,"MA_HT","RSX","MA_QH","RPH")</f>
        <v>0</v>
      </c>
      <c r="N13" s="22">
        <f ca="1">+GETPIVOTDATA("XBC4",'bauchinh (2016)'!$A$3,"MA_HT","RSX","MA_QH","RDD")</f>
        <v>0</v>
      </c>
      <c r="O13" s="22">
        <f ca="1">+GETPIVOTDATA("XBC4",'bauchinh (2016)'!$A$3,"MA_HT","RSX","MA_QH","NTS")</f>
        <v>0</v>
      </c>
      <c r="P13" s="22">
        <f ca="1">+GETPIVOTDATA("XBC4",'bauchinh (2016)'!$A$3,"MA_HT","RSX","MA_QH","LMU")</f>
        <v>0</v>
      </c>
      <c r="Q13" s="22">
        <f ca="1">+GETPIVOTDATA("XBC4",'bauchinh (2016)'!$A$3,"MA_HT","RSX","MA_QH","NKH")</f>
        <v>0</v>
      </c>
      <c r="R13" s="42">
        <f ca="1" t="shared" si="2"/>
        <v>0</v>
      </c>
      <c r="S13" s="22">
        <f ca="1">+GETPIVOTDATA("XBC4",'bauchinh (2016)'!$A$3,"MA_HT","RSX","MA_QH","CQP")</f>
        <v>0</v>
      </c>
      <c r="T13" s="22">
        <f ca="1">+GETPIVOTDATA("XBC4",'bauchinh (2016)'!$A$3,"MA_HT","RSX","MA_QH","CAN")</f>
        <v>0</v>
      </c>
      <c r="U13" s="22">
        <f ca="1">+GETPIVOTDATA("XBC4",'bauchinh (2016)'!$A$3,"MA_HT","RSX","MA_QH","SKK")</f>
        <v>0</v>
      </c>
      <c r="V13" s="22">
        <f ca="1">+GETPIVOTDATA("XBC4",'bauchinh (2016)'!$A$3,"MA_HT","RSX","MA_QH","SKT")</f>
        <v>0</v>
      </c>
      <c r="W13" s="22">
        <f ca="1">+GETPIVOTDATA("XBC4",'bauchinh (2016)'!$A$3,"MA_HT","RSX","MA_QH","SKN")</f>
        <v>0</v>
      </c>
      <c r="X13" s="22">
        <f ca="1">+GETPIVOTDATA("XBC4",'bauchinh (2016)'!$A$3,"MA_HT","RSX","MA_QH","TMD")</f>
        <v>0</v>
      </c>
      <c r="Y13" s="22">
        <f ca="1">+GETPIVOTDATA("XBC4",'bauchinh (2016)'!$A$3,"MA_HT","RSX","MA_QH","SKC")</f>
        <v>0</v>
      </c>
      <c r="Z13" s="22">
        <f ca="1">+GETPIVOTDATA("XBC4",'bauchinh (2016)'!$A$3,"MA_HT","RSX","MA_QH","SKS")</f>
        <v>0</v>
      </c>
      <c r="AA13" s="52">
        <f ca="1" t="shared" si="4"/>
        <v>0</v>
      </c>
      <c r="AB13" s="22">
        <f ca="1">+GETPIVOTDATA("XBC4",'bauchinh (2016)'!$A$3,"MA_HT","RSX","MA_QH","DGT")</f>
        <v>0</v>
      </c>
      <c r="AC13" s="22">
        <f ca="1">+GETPIVOTDATA("XBC4",'bauchinh (2016)'!$A$3,"MA_HT","RSX","MA_QH","DTL")</f>
        <v>0</v>
      </c>
      <c r="AD13" s="22">
        <f ca="1">+GETPIVOTDATA("XBC4",'bauchinh (2016)'!$A$3,"MA_HT","RSX","MA_QH","DNL")</f>
        <v>0</v>
      </c>
      <c r="AE13" s="22">
        <f ca="1">+GETPIVOTDATA("XBC4",'bauchinh (2016)'!$A$3,"MA_HT","RSX","MA_QH","DBV")</f>
        <v>0</v>
      </c>
      <c r="AF13" s="22">
        <f ca="1">+GETPIVOTDATA("XBC4",'bauchinh (2016)'!$A$3,"MA_HT","RSX","MA_QH","DVH")</f>
        <v>0</v>
      </c>
      <c r="AG13" s="22">
        <f ca="1">+GETPIVOTDATA("XBC4",'bauchinh (2016)'!$A$3,"MA_HT","RSX","MA_QH","DYT")</f>
        <v>0</v>
      </c>
      <c r="AH13" s="22">
        <f ca="1">+GETPIVOTDATA("XBC4",'bauchinh (2016)'!$A$3,"MA_HT","RSX","MA_QH","DGD")</f>
        <v>0</v>
      </c>
      <c r="AI13" s="22">
        <f ca="1">+GETPIVOTDATA("XBC4",'bauchinh (2016)'!$A$3,"MA_HT","RSX","MA_QH","DTT")</f>
        <v>0</v>
      </c>
      <c r="AJ13" s="22">
        <f ca="1">+GETPIVOTDATA("XBC4",'bauchinh (2016)'!$A$3,"MA_HT","RSX","MA_QH","NCK")</f>
        <v>0</v>
      </c>
      <c r="AK13" s="22">
        <f ca="1">+GETPIVOTDATA("XBC4",'bauchinh (2016)'!$A$3,"MA_HT","RSX","MA_QH","DXH")</f>
        <v>0</v>
      </c>
      <c r="AL13" s="22">
        <f ca="1">+GETPIVOTDATA("XBC4",'bauchinh (2016)'!$A$3,"MA_HT","RSX","MA_QH","DCH")</f>
        <v>0</v>
      </c>
      <c r="AM13" s="22">
        <f ca="1">+GETPIVOTDATA("XBC4",'bauchinh (2016)'!$A$3,"MA_HT","RSX","MA_QH","DKG")</f>
        <v>0</v>
      </c>
      <c r="AN13" s="22">
        <f ca="1">+GETPIVOTDATA("XBC4",'bauchinh (2016)'!$A$3,"MA_HT","RSX","MA_QH","DDT")</f>
        <v>0</v>
      </c>
      <c r="AO13" s="22">
        <f ca="1">+GETPIVOTDATA("XBC4",'bauchinh (2016)'!$A$3,"MA_HT","RSX","MA_QH","DDL")</f>
        <v>0</v>
      </c>
      <c r="AP13" s="22">
        <f ca="1">+GETPIVOTDATA("XBC4",'bauchinh (2016)'!$A$3,"MA_HT","RSX","MA_QH","DRA")</f>
        <v>0</v>
      </c>
      <c r="AQ13" s="22">
        <f ca="1">+GETPIVOTDATA("XBC4",'bauchinh (2016)'!$A$3,"MA_HT","RSX","MA_QH","ONT")</f>
        <v>0</v>
      </c>
      <c r="AR13" s="22">
        <f ca="1">+GETPIVOTDATA("XBC4",'bauchinh (2016)'!$A$3,"MA_HT","RSX","MA_QH","ODT")</f>
        <v>0</v>
      </c>
      <c r="AS13" s="22">
        <f ca="1">+GETPIVOTDATA("XBC4",'bauchinh (2016)'!$A$3,"MA_HT","RSX","MA_QH","TSC")</f>
        <v>0</v>
      </c>
      <c r="AT13" s="22">
        <f ca="1">+GETPIVOTDATA("XBC4",'bauchinh (2016)'!$A$3,"MA_HT","RSX","MA_QH","DTS")</f>
        <v>0</v>
      </c>
      <c r="AU13" s="22">
        <f ca="1">+GETPIVOTDATA("XBC4",'bauchinh (2016)'!$A$3,"MA_HT","RSX","MA_QH","DNG")</f>
        <v>0</v>
      </c>
      <c r="AV13" s="22">
        <f ca="1">+GETPIVOTDATA("XBC4",'bauchinh (2016)'!$A$3,"MA_HT","RSX","MA_QH","TON")</f>
        <v>0</v>
      </c>
      <c r="AW13" s="22">
        <f ca="1">+GETPIVOTDATA("XBC4",'bauchinh (2016)'!$A$3,"MA_HT","RSX","MA_QH","NTD")</f>
        <v>0</v>
      </c>
      <c r="AX13" s="22">
        <f ca="1">+GETPIVOTDATA("XBC4",'bauchinh (2016)'!$A$3,"MA_HT","RSX","MA_QH","SKX")</f>
        <v>0</v>
      </c>
      <c r="AY13" s="22">
        <f ca="1">+GETPIVOTDATA("XBC4",'bauchinh (2016)'!$A$3,"MA_HT","RSX","MA_QH","DSH")</f>
        <v>0</v>
      </c>
      <c r="AZ13" s="22">
        <f ca="1">+GETPIVOTDATA("XBC4",'bauchinh (2016)'!$A$3,"MA_HT","RSX","MA_QH","DKV")</f>
        <v>0</v>
      </c>
      <c r="BA13" s="89">
        <f ca="1">+GETPIVOTDATA("XBC4",'bauchinh (2016)'!$A$3,"MA_HT","RSX","MA_QH","TIN")</f>
        <v>0</v>
      </c>
      <c r="BB13" s="50">
        <f ca="1">+GETPIVOTDATA("XBC4",'bauchinh (2016)'!$A$3,"MA_HT","RSX","MA_QH","SON")</f>
        <v>0</v>
      </c>
      <c r="BC13" s="50">
        <f ca="1">+GETPIVOTDATA("XBC4",'bauchinh (2016)'!$A$3,"MA_HT","RSX","MA_QH","MNC")</f>
        <v>0</v>
      </c>
      <c r="BD13" s="22">
        <f ca="1">+GETPIVOTDATA("XBC4",'bauchinh (2016)'!$A$3,"MA_HT","RSX","MA_QH","PNK")</f>
        <v>0</v>
      </c>
      <c r="BE13" s="71">
        <f ca="1">+GETPIVOTDATA("XBC4",'bauchinh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+GETPIVOTDATA("XBC4",'bauchinh (2016)'!$A$3,"MA_HT","RPH","MA_QH","LUC")</f>
        <v>0</v>
      </c>
      <c r="H14" s="22">
        <f ca="1">+GETPIVOTDATA("XBC4",'bauchinh (2016)'!$A$3,"MA_HT","RPH","MA_QH","LUK")</f>
        <v>0</v>
      </c>
      <c r="I14" s="22">
        <f ca="1">+GETPIVOTDATA("XBC4",'bauchinh (2016)'!$A$3,"MA_HT","RPH","MA_QH","LUN")</f>
        <v>0</v>
      </c>
      <c r="J14" s="22">
        <f ca="1">+GETPIVOTDATA("XBC4",'bauchinh (2016)'!$A$3,"MA_HT","RPH","MA_QH","HNK")</f>
        <v>0</v>
      </c>
      <c r="K14" s="22">
        <f ca="1">+GETPIVOTDATA("XBC4",'bauchinh (2016)'!$A$3,"MA_HT","RPH","MA_QH","CLN")</f>
        <v>0</v>
      </c>
      <c r="L14" s="22">
        <f ca="1">+GETPIVOTDATA("XBC4",'bauchinh (2016)'!$A$3,"MA_HT","RPH","MA_QH","RSX")</f>
        <v>0</v>
      </c>
      <c r="M14" s="43" t="e">
        <f ca="1">$D14-$BF14</f>
        <v>#REF!</v>
      </c>
      <c r="N14" s="22">
        <f ca="1">+GETPIVOTDATA("XBC4",'bauchinh (2016)'!$A$3,"MA_HT","RPH","MA_QH","RDD")</f>
        <v>0</v>
      </c>
      <c r="O14" s="22">
        <f ca="1">+GETPIVOTDATA("XBC4",'bauchinh (2016)'!$A$3,"MA_HT","RPH","MA_QH","NTS")</f>
        <v>0</v>
      </c>
      <c r="P14" s="22">
        <f ca="1">+GETPIVOTDATA("XBC4",'bauchinh (2016)'!$A$3,"MA_HT","RPH","MA_QH","LMU")</f>
        <v>0</v>
      </c>
      <c r="Q14" s="22">
        <f ca="1">+GETPIVOTDATA("XBC4",'bauchinh (2016)'!$A$3,"MA_HT","RPH","MA_QH","NKH")</f>
        <v>0</v>
      </c>
      <c r="R14" s="42">
        <f ca="1" t="shared" si="2"/>
        <v>0</v>
      </c>
      <c r="S14" s="22">
        <f ca="1">+GETPIVOTDATA("XBC4",'bauchinh (2016)'!$A$3,"MA_HT","RPH","MA_QH","CQP")</f>
        <v>0</v>
      </c>
      <c r="T14" s="22">
        <f ca="1">+GETPIVOTDATA("XBC4",'bauchinh (2016)'!$A$3,"MA_HT","RPH","MA_QH","CAN")</f>
        <v>0</v>
      </c>
      <c r="U14" s="22">
        <f ca="1">+GETPIVOTDATA("XBC4",'bauchinh (2016)'!$A$3,"MA_HT","RPH","MA_QH","SKK")</f>
        <v>0</v>
      </c>
      <c r="V14" s="22">
        <f ca="1">+GETPIVOTDATA("XBC4",'bauchinh (2016)'!$A$3,"MA_HT","RPH","MA_QH","SKT")</f>
        <v>0</v>
      </c>
      <c r="W14" s="22">
        <f ca="1">+GETPIVOTDATA("XBC4",'bauchinh (2016)'!$A$3,"MA_HT","RPH","MA_QH","SKN")</f>
        <v>0</v>
      </c>
      <c r="X14" s="22">
        <f ca="1">+GETPIVOTDATA("XBC4",'bauchinh (2016)'!$A$3,"MA_HT","RPH","MA_QH","TMD")</f>
        <v>0</v>
      </c>
      <c r="Y14" s="22">
        <f ca="1">+GETPIVOTDATA("XBC4",'bauchinh (2016)'!$A$3,"MA_HT","RPH","MA_QH","SKC")</f>
        <v>0</v>
      </c>
      <c r="Z14" s="22">
        <f ca="1">+GETPIVOTDATA("XBC4",'bauchinh (2016)'!$A$3,"MA_HT","RPH","MA_QH","SKS")</f>
        <v>0</v>
      </c>
      <c r="AA14" s="52">
        <f ca="1" t="shared" si="4"/>
        <v>0</v>
      </c>
      <c r="AB14" s="22">
        <f ca="1">+GETPIVOTDATA("XBC4",'bauchinh (2016)'!$A$3,"MA_HT","RPH","MA_QH","DGT")</f>
        <v>0</v>
      </c>
      <c r="AC14" s="22">
        <f ca="1">+GETPIVOTDATA("XBC4",'bauchinh (2016)'!$A$3,"MA_HT","RPH","MA_QH","DTL")</f>
        <v>0</v>
      </c>
      <c r="AD14" s="22">
        <f ca="1">+GETPIVOTDATA("XBC4",'bauchinh (2016)'!$A$3,"MA_HT","RPH","MA_QH","DNL")</f>
        <v>0</v>
      </c>
      <c r="AE14" s="22">
        <f ca="1">+GETPIVOTDATA("XBC4",'bauchinh (2016)'!$A$3,"MA_HT","RPH","MA_QH","DBV")</f>
        <v>0</v>
      </c>
      <c r="AF14" s="22">
        <f ca="1">+GETPIVOTDATA("XBC4",'bauchinh (2016)'!$A$3,"MA_HT","RPH","MA_QH","DVH")</f>
        <v>0</v>
      </c>
      <c r="AG14" s="22">
        <f ca="1">+GETPIVOTDATA("XBC4",'bauchinh (2016)'!$A$3,"MA_HT","RPH","MA_QH","DYT")</f>
        <v>0</v>
      </c>
      <c r="AH14" s="22">
        <f ca="1">+GETPIVOTDATA("XBC4",'bauchinh (2016)'!$A$3,"MA_HT","RPH","MA_QH","DGD")</f>
        <v>0</v>
      </c>
      <c r="AI14" s="22">
        <f ca="1">+GETPIVOTDATA("XBC4",'bauchinh (2016)'!$A$3,"MA_HT","RPH","MA_QH","DTT")</f>
        <v>0</v>
      </c>
      <c r="AJ14" s="22">
        <f ca="1">+GETPIVOTDATA("XBC4",'bauchinh (2016)'!$A$3,"MA_HT","RPH","MA_QH","NCK")</f>
        <v>0</v>
      </c>
      <c r="AK14" s="22">
        <f ca="1">+GETPIVOTDATA("XBC4",'bauchinh (2016)'!$A$3,"MA_HT","RPH","MA_QH","DXH")</f>
        <v>0</v>
      </c>
      <c r="AL14" s="22">
        <f ca="1">+GETPIVOTDATA("XBC4",'bauchinh (2016)'!$A$3,"MA_HT","RPH","MA_QH","DCH")</f>
        <v>0</v>
      </c>
      <c r="AM14" s="22">
        <f ca="1">+GETPIVOTDATA("XBC4",'bauchinh (2016)'!$A$3,"MA_HT","RPH","MA_QH","DKG")</f>
        <v>0</v>
      </c>
      <c r="AN14" s="22">
        <f ca="1">+GETPIVOTDATA("XBC4",'bauchinh (2016)'!$A$3,"MA_HT","RPH","MA_QH","DDT")</f>
        <v>0</v>
      </c>
      <c r="AO14" s="22">
        <f ca="1">+GETPIVOTDATA("XBC4",'bauchinh (2016)'!$A$3,"MA_HT","RPH","MA_QH","DDL")</f>
        <v>0</v>
      </c>
      <c r="AP14" s="22">
        <f ca="1">+GETPIVOTDATA("XBC4",'bauchinh (2016)'!$A$3,"MA_HT","RPH","MA_QH","DRA")</f>
        <v>0</v>
      </c>
      <c r="AQ14" s="22">
        <f ca="1">+GETPIVOTDATA("XBC4",'bauchinh (2016)'!$A$3,"MA_HT","RPH","MA_QH","ONT")</f>
        <v>0</v>
      </c>
      <c r="AR14" s="22">
        <f ca="1">+GETPIVOTDATA("XBC4",'bauchinh (2016)'!$A$3,"MA_HT","RPH","MA_QH","ODT")</f>
        <v>0</v>
      </c>
      <c r="AS14" s="22">
        <f ca="1">+GETPIVOTDATA("XBC4",'bauchinh (2016)'!$A$3,"MA_HT","RPH","MA_QH","TSC")</f>
        <v>0</v>
      </c>
      <c r="AT14" s="22">
        <f ca="1">+GETPIVOTDATA("XBC4",'bauchinh (2016)'!$A$3,"MA_HT","RPH","MA_QH","DTS")</f>
        <v>0</v>
      </c>
      <c r="AU14" s="22">
        <f ca="1">+GETPIVOTDATA("XBC4",'bauchinh (2016)'!$A$3,"MA_HT","RPH","MA_QH","DNG")</f>
        <v>0</v>
      </c>
      <c r="AV14" s="22">
        <f ca="1">+GETPIVOTDATA("XBC4",'bauchinh (2016)'!$A$3,"MA_HT","RPH","MA_QH","TON")</f>
        <v>0</v>
      </c>
      <c r="AW14" s="22">
        <f ca="1">+GETPIVOTDATA("XBC4",'bauchinh (2016)'!$A$3,"MA_HT","RPH","MA_QH","NTD")</f>
        <v>0</v>
      </c>
      <c r="AX14" s="22">
        <f ca="1">+GETPIVOTDATA("XBC4",'bauchinh (2016)'!$A$3,"MA_HT","RPH","MA_QH","SKX")</f>
        <v>0</v>
      </c>
      <c r="AY14" s="22">
        <f ca="1">+GETPIVOTDATA("XBC4",'bauchinh (2016)'!$A$3,"MA_HT","RPH","MA_QH","DSH")</f>
        <v>0</v>
      </c>
      <c r="AZ14" s="22">
        <f ca="1">+GETPIVOTDATA("XBC4",'bauchinh (2016)'!$A$3,"MA_HT","RPH","MA_QH","DKV")</f>
        <v>0</v>
      </c>
      <c r="BA14" s="89">
        <f ca="1">+GETPIVOTDATA("XBC4",'bauchinh (2016)'!$A$3,"MA_HT","RPH","MA_QH","TIN")</f>
        <v>0</v>
      </c>
      <c r="BB14" s="50">
        <f ca="1">+GETPIVOTDATA("XBC4",'bauchinh (2016)'!$A$3,"MA_HT","RPH","MA_QH","SON")</f>
        <v>0</v>
      </c>
      <c r="BC14" s="50">
        <f ca="1">+GETPIVOTDATA("XBC4",'bauchinh (2016)'!$A$3,"MA_HT","RPH","MA_QH","MNC")</f>
        <v>0</v>
      </c>
      <c r="BD14" s="22">
        <f ca="1">+GETPIVOTDATA("XBC4",'bauchinh (2016)'!$A$3,"MA_HT","RPH","MA_QH","PNK")</f>
        <v>0</v>
      </c>
      <c r="BE14" s="71">
        <f ca="1">+GETPIVOTDATA("XBC4",'bauchinh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+GETPIVOTDATA("XBC4",'bauchinh (2016)'!$A$3,"MA_HT","RDD","MA_QH","LUC")</f>
        <v>0</v>
      </c>
      <c r="H15" s="22">
        <f ca="1">+GETPIVOTDATA("XBC4",'bauchinh (2016)'!$A$3,"MA_HT","RDD","MA_QH","LUK")</f>
        <v>0</v>
      </c>
      <c r="I15" s="22">
        <f ca="1">+GETPIVOTDATA("XBC4",'bauchinh (2016)'!$A$3,"MA_HT","RDD","MA_QH","LUN")</f>
        <v>0</v>
      </c>
      <c r="J15" s="22">
        <f ca="1">+GETPIVOTDATA("XBC4",'bauchinh (2016)'!$A$3,"MA_HT","RDD","MA_QH","HNK")</f>
        <v>0</v>
      </c>
      <c r="K15" s="22">
        <f ca="1">+GETPIVOTDATA("XBC4",'bauchinh (2016)'!$A$3,"MA_HT","RDD","MA_QH","CLN")</f>
        <v>0</v>
      </c>
      <c r="L15" s="22">
        <f ca="1">+GETPIVOTDATA("XBC4",'bauchinh (2016)'!$A$3,"MA_HT","RDD","MA_QH","RSX")</f>
        <v>0</v>
      </c>
      <c r="M15" s="22">
        <f ca="1">+GETPIVOTDATA("XBC4",'bauchinh (2016)'!$A$3,"MA_HT","RDD","MA_QH","RPH")</f>
        <v>0</v>
      </c>
      <c r="N15" s="43" t="e">
        <f ca="1">$D15-$BF15</f>
        <v>#REF!</v>
      </c>
      <c r="O15" s="22">
        <f ca="1">+GETPIVOTDATA("XBC4",'bauchinh (2016)'!$A$3,"MA_HT","RDD","MA_QH","NTS")</f>
        <v>0</v>
      </c>
      <c r="P15" s="22">
        <f ca="1">+GETPIVOTDATA("XBC4",'bauchinh (2016)'!$A$3,"MA_HT","RDD","MA_QH","LMU")</f>
        <v>0</v>
      </c>
      <c r="Q15" s="22">
        <f ca="1">+GETPIVOTDATA("XBC4",'bauchinh (2016)'!$A$3,"MA_HT","RDD","MA_QH","NKH")</f>
        <v>0</v>
      </c>
      <c r="R15" s="42">
        <f ca="1" t="shared" si="2"/>
        <v>0</v>
      </c>
      <c r="S15" s="22">
        <f ca="1">+GETPIVOTDATA("XBC4",'bauchinh (2016)'!$A$3,"MA_HT","RDD","MA_QH","CQP")</f>
        <v>0</v>
      </c>
      <c r="T15" s="22">
        <f ca="1">+GETPIVOTDATA("XBC4",'bauchinh (2016)'!$A$3,"MA_HT","RDD","MA_QH","CAN")</f>
        <v>0</v>
      </c>
      <c r="U15" s="22">
        <f ca="1">+GETPIVOTDATA("XBC4",'bauchinh (2016)'!$A$3,"MA_HT","RDD","MA_QH","SKK")</f>
        <v>0</v>
      </c>
      <c r="V15" s="22">
        <f ca="1">+GETPIVOTDATA("XBC4",'bauchinh (2016)'!$A$3,"MA_HT","RDD","MA_QH","SKT")</f>
        <v>0</v>
      </c>
      <c r="W15" s="22">
        <f ca="1">+GETPIVOTDATA("XBC4",'bauchinh (2016)'!$A$3,"MA_HT","RDD","MA_QH","SKN")</f>
        <v>0</v>
      </c>
      <c r="X15" s="22">
        <f ca="1">+GETPIVOTDATA("XBC4",'bauchinh (2016)'!$A$3,"MA_HT","RDD","MA_QH","TMD")</f>
        <v>0</v>
      </c>
      <c r="Y15" s="22">
        <f ca="1">+GETPIVOTDATA("XBC4",'bauchinh (2016)'!$A$3,"MA_HT","RDD","MA_QH","SKC")</f>
        <v>0</v>
      </c>
      <c r="Z15" s="22">
        <f ca="1">+GETPIVOTDATA("XBC4",'bauchinh (2016)'!$A$3,"MA_HT","RDD","MA_QH","SKS")</f>
        <v>0</v>
      </c>
      <c r="AA15" s="52">
        <f ca="1" t="shared" si="4"/>
        <v>0</v>
      </c>
      <c r="AB15" s="22">
        <f ca="1">+GETPIVOTDATA("XBC4",'bauchinh (2016)'!$A$3,"MA_HT","RDD","MA_QH","DGT")</f>
        <v>0</v>
      </c>
      <c r="AC15" s="22">
        <f ca="1">+GETPIVOTDATA("XBC4",'bauchinh (2016)'!$A$3,"MA_HT","RDD","MA_QH","DTL")</f>
        <v>0</v>
      </c>
      <c r="AD15" s="22">
        <f ca="1">+GETPIVOTDATA("XBC4",'bauchinh (2016)'!$A$3,"MA_HT","RDD","MA_QH","DNL")</f>
        <v>0</v>
      </c>
      <c r="AE15" s="22">
        <f ca="1">+GETPIVOTDATA("XBC4",'bauchinh (2016)'!$A$3,"MA_HT","RDD","MA_QH","DBV")</f>
        <v>0</v>
      </c>
      <c r="AF15" s="22">
        <f ca="1">+GETPIVOTDATA("XBC4",'bauchinh (2016)'!$A$3,"MA_HT","RDD","MA_QH","DVH")</f>
        <v>0</v>
      </c>
      <c r="AG15" s="22">
        <f ca="1">+GETPIVOTDATA("XBC4",'bauchinh (2016)'!$A$3,"MA_HT","RDD","MA_QH","DYT")</f>
        <v>0</v>
      </c>
      <c r="AH15" s="22">
        <f ca="1">+GETPIVOTDATA("XBC4",'bauchinh (2016)'!$A$3,"MA_HT","RDD","MA_QH","DGD")</f>
        <v>0</v>
      </c>
      <c r="AI15" s="22">
        <f ca="1">+GETPIVOTDATA("XBC4",'bauchinh (2016)'!$A$3,"MA_HT","RDD","MA_QH","DTT")</f>
        <v>0</v>
      </c>
      <c r="AJ15" s="22">
        <f ca="1">+GETPIVOTDATA("XBC4",'bauchinh (2016)'!$A$3,"MA_HT","RDD","MA_QH","NCK")</f>
        <v>0</v>
      </c>
      <c r="AK15" s="22">
        <f ca="1">+GETPIVOTDATA("XBC4",'bauchinh (2016)'!$A$3,"MA_HT","RDD","MA_QH","DXH")</f>
        <v>0</v>
      </c>
      <c r="AL15" s="22">
        <f ca="1">+GETPIVOTDATA("XBC4",'bauchinh (2016)'!$A$3,"MA_HT","RDD","MA_QH","DCH")</f>
        <v>0</v>
      </c>
      <c r="AM15" s="22">
        <f ca="1">+GETPIVOTDATA("XBC4",'bauchinh (2016)'!$A$3,"MA_HT","RDD","MA_QH","DKG")</f>
        <v>0</v>
      </c>
      <c r="AN15" s="22">
        <f ca="1">+GETPIVOTDATA("XBC4",'bauchinh (2016)'!$A$3,"MA_HT","RDD","MA_QH","DDT")</f>
        <v>0</v>
      </c>
      <c r="AO15" s="22">
        <f ca="1">+GETPIVOTDATA("XBC4",'bauchinh (2016)'!$A$3,"MA_HT","RDD","MA_QH","DDL")</f>
        <v>0</v>
      </c>
      <c r="AP15" s="22">
        <f ca="1">+GETPIVOTDATA("XBC4",'bauchinh (2016)'!$A$3,"MA_HT","RDD","MA_QH","DRA")</f>
        <v>0</v>
      </c>
      <c r="AQ15" s="22">
        <f ca="1">+GETPIVOTDATA("XBC4",'bauchinh (2016)'!$A$3,"MA_HT","RDD","MA_QH","ONT")</f>
        <v>0</v>
      </c>
      <c r="AR15" s="22">
        <f ca="1">+GETPIVOTDATA("XBC4",'bauchinh (2016)'!$A$3,"MA_HT","RDD","MA_QH","ODT")</f>
        <v>0</v>
      </c>
      <c r="AS15" s="22">
        <f ca="1">+GETPIVOTDATA("XBC4",'bauchinh (2016)'!$A$3,"MA_HT","RDD","MA_QH","TSC")</f>
        <v>0</v>
      </c>
      <c r="AT15" s="22">
        <f ca="1">+GETPIVOTDATA("XBC4",'bauchinh (2016)'!$A$3,"MA_HT","RDD","MA_QH","DTS")</f>
        <v>0</v>
      </c>
      <c r="AU15" s="22">
        <f ca="1">+GETPIVOTDATA("XBC4",'bauchinh (2016)'!$A$3,"MA_HT","RDD","MA_QH","DNG")</f>
        <v>0</v>
      </c>
      <c r="AV15" s="22">
        <f ca="1">+GETPIVOTDATA("XBC4",'bauchinh (2016)'!$A$3,"MA_HT","RDD","MA_QH","TON")</f>
        <v>0</v>
      </c>
      <c r="AW15" s="22">
        <f ca="1">+GETPIVOTDATA("XBC4",'bauchinh (2016)'!$A$3,"MA_HT","RDD","MA_QH","NTD")</f>
        <v>0</v>
      </c>
      <c r="AX15" s="22">
        <f ca="1">+GETPIVOTDATA("XBC4",'bauchinh (2016)'!$A$3,"MA_HT","RDD","MA_QH","SKX")</f>
        <v>0</v>
      </c>
      <c r="AY15" s="22">
        <f ca="1">+GETPIVOTDATA("XBC4",'bauchinh (2016)'!$A$3,"MA_HT","RDD","MA_QH","DSH")</f>
        <v>0</v>
      </c>
      <c r="AZ15" s="22">
        <f ca="1">+GETPIVOTDATA("XBC4",'bauchinh (2016)'!$A$3,"MA_HT","RDD","MA_QH","DKV")</f>
        <v>0</v>
      </c>
      <c r="BA15" s="89">
        <f ca="1">+GETPIVOTDATA("XBC4",'bauchinh (2016)'!$A$3,"MA_HT","RDD","MA_QH","TIN")</f>
        <v>0</v>
      </c>
      <c r="BB15" s="50">
        <f ca="1">+GETPIVOTDATA("XBC4",'bauchinh (2016)'!$A$3,"MA_HT","RDD","MA_QH","SON")</f>
        <v>0</v>
      </c>
      <c r="BC15" s="50">
        <f ca="1">+GETPIVOTDATA("XBC4",'bauchinh (2016)'!$A$3,"MA_HT","RDD","MA_QH","MNC")</f>
        <v>0</v>
      </c>
      <c r="BD15" s="22">
        <f ca="1">+GETPIVOTDATA("XBC4",'bauchinh (2016)'!$A$3,"MA_HT","RDD","MA_QH","PNK")</f>
        <v>0</v>
      </c>
      <c r="BE15" s="71">
        <f ca="1">+GETPIVOTDATA("XBC4",'bauchinh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+GETPIVOTDATA("XBC4",'bauchinh (2016)'!$A$3,"MA_HT","NTS","MA_QH","LUC")</f>
        <v>0</v>
      </c>
      <c r="H16" s="22">
        <f ca="1">+GETPIVOTDATA("XBC4",'bauchinh (2016)'!$A$3,"MA_HT","NTS","MA_QH","LUK")</f>
        <v>0</v>
      </c>
      <c r="I16" s="22">
        <f ca="1">+GETPIVOTDATA("XBC4",'bauchinh (2016)'!$A$3,"MA_HT","NTS","MA_QH","LUN")</f>
        <v>0</v>
      </c>
      <c r="J16" s="22">
        <f ca="1">+GETPIVOTDATA("XBC4",'bauchinh (2016)'!$A$3,"MA_HT","NTS","MA_QH","HNK")</f>
        <v>0</v>
      </c>
      <c r="K16" s="22">
        <f ca="1">+GETPIVOTDATA("XBC4",'bauchinh (2016)'!$A$3,"MA_HT","NTS","MA_QH","CLN")</f>
        <v>0</v>
      </c>
      <c r="L16" s="22">
        <f ca="1">+GETPIVOTDATA("XBC4",'bauchinh (2016)'!$A$3,"MA_HT","NTS","MA_QH","RSX")</f>
        <v>0</v>
      </c>
      <c r="M16" s="22">
        <f ca="1">+GETPIVOTDATA("XBC4",'bauchinh (2016)'!$A$3,"MA_HT","NTS","MA_QH","RPH")</f>
        <v>0</v>
      </c>
      <c r="N16" s="22">
        <f ca="1">+GETPIVOTDATA("XBC4",'bauchinh (2016)'!$A$3,"MA_HT","NTS","MA_QH","RDD")</f>
        <v>0</v>
      </c>
      <c r="O16" s="43" t="e">
        <f ca="1">$D16-$BF16</f>
        <v>#REF!</v>
      </c>
      <c r="P16" s="22">
        <f ca="1">+GETPIVOTDATA("XBC4",'bauchinh (2016)'!$A$3,"MA_HT","NTS","MA_QH","LMU")</f>
        <v>0</v>
      </c>
      <c r="Q16" s="22">
        <f ca="1">+GETPIVOTDATA("XBC4",'bauchinh (2016)'!$A$3,"MA_HT","NTS","MA_QH","NKH")</f>
        <v>0</v>
      </c>
      <c r="R16" s="42">
        <f ca="1" t="shared" si="2"/>
        <v>0</v>
      </c>
      <c r="S16" s="22">
        <f ca="1">+GETPIVOTDATA("XBC4",'bauchinh (2016)'!$A$3,"MA_HT","NTS","MA_QH","CQP")</f>
        <v>0</v>
      </c>
      <c r="T16" s="22">
        <f ca="1">+GETPIVOTDATA("XBC4",'bauchinh (2016)'!$A$3,"MA_HT","NTS","MA_QH","CAN")</f>
        <v>0</v>
      </c>
      <c r="U16" s="22">
        <f ca="1">+GETPIVOTDATA("XBC4",'bauchinh (2016)'!$A$3,"MA_HT","NTS","MA_QH","SKK")</f>
        <v>0</v>
      </c>
      <c r="V16" s="22">
        <f ca="1">+GETPIVOTDATA("XBC4",'bauchinh (2016)'!$A$3,"MA_HT","NTS","MA_QH","SKT")</f>
        <v>0</v>
      </c>
      <c r="W16" s="22">
        <f ca="1">+GETPIVOTDATA("XBC4",'bauchinh (2016)'!$A$3,"MA_HT","NTS","MA_QH","SKN")</f>
        <v>0</v>
      </c>
      <c r="X16" s="22">
        <f ca="1">+GETPIVOTDATA("XBC4",'bauchinh (2016)'!$A$3,"MA_HT","NTS","MA_QH","TMD")</f>
        <v>0</v>
      </c>
      <c r="Y16" s="22">
        <f ca="1">+GETPIVOTDATA("XBC4",'bauchinh (2016)'!$A$3,"MA_HT","NTS","MA_QH","SKC")</f>
        <v>0</v>
      </c>
      <c r="Z16" s="22">
        <f ca="1">+GETPIVOTDATA("XBC4",'bauchinh (2016)'!$A$3,"MA_HT","NTS","MA_QH","SKS")</f>
        <v>0</v>
      </c>
      <c r="AA16" s="52">
        <f ca="1" t="shared" si="4"/>
        <v>0</v>
      </c>
      <c r="AB16" s="22">
        <f ca="1">+GETPIVOTDATA("XBC4",'bauchinh (2016)'!$A$3,"MA_HT","NTS","MA_QH","DGT")</f>
        <v>0</v>
      </c>
      <c r="AC16" s="22">
        <f ca="1">+GETPIVOTDATA("XBC4",'bauchinh (2016)'!$A$3,"MA_HT","NTS","MA_QH","DTL")</f>
        <v>0</v>
      </c>
      <c r="AD16" s="22">
        <f ca="1">+GETPIVOTDATA("XBC4",'bauchinh (2016)'!$A$3,"MA_HT","NTS","MA_QH","DNL")</f>
        <v>0</v>
      </c>
      <c r="AE16" s="22">
        <f ca="1">+GETPIVOTDATA("XBC4",'bauchinh (2016)'!$A$3,"MA_HT","NTS","MA_QH","DBV")</f>
        <v>0</v>
      </c>
      <c r="AF16" s="22">
        <f ca="1">+GETPIVOTDATA("XBC4",'bauchinh (2016)'!$A$3,"MA_HT","NTS","MA_QH","DVH")</f>
        <v>0</v>
      </c>
      <c r="AG16" s="22">
        <f ca="1">+GETPIVOTDATA("XBC4",'bauchinh (2016)'!$A$3,"MA_HT","NTS","MA_QH","DYT")</f>
        <v>0</v>
      </c>
      <c r="AH16" s="22">
        <f ca="1">+GETPIVOTDATA("XBC4",'bauchinh (2016)'!$A$3,"MA_HT","NTS","MA_QH","DGD")</f>
        <v>0</v>
      </c>
      <c r="AI16" s="22">
        <f ca="1">+GETPIVOTDATA("XBC4",'bauchinh (2016)'!$A$3,"MA_HT","NTS","MA_QH","DTT")</f>
        <v>0</v>
      </c>
      <c r="AJ16" s="22">
        <f ca="1">+GETPIVOTDATA("XBC4",'bauchinh (2016)'!$A$3,"MA_HT","NTS","MA_QH","NCK")</f>
        <v>0</v>
      </c>
      <c r="AK16" s="22">
        <f ca="1">+GETPIVOTDATA("XBC4",'bauchinh (2016)'!$A$3,"MA_HT","NTS","MA_QH","DXH")</f>
        <v>0</v>
      </c>
      <c r="AL16" s="22">
        <f ca="1">+GETPIVOTDATA("XBC4",'bauchinh (2016)'!$A$3,"MA_HT","NTS","MA_QH","DCH")</f>
        <v>0</v>
      </c>
      <c r="AM16" s="22">
        <f ca="1">+GETPIVOTDATA("XBC4",'bauchinh (2016)'!$A$3,"MA_HT","NTS","MA_QH","DKG")</f>
        <v>0</v>
      </c>
      <c r="AN16" s="22">
        <f ca="1">+GETPIVOTDATA("XBC4",'bauchinh (2016)'!$A$3,"MA_HT","NTS","MA_QH","DDT")</f>
        <v>0</v>
      </c>
      <c r="AO16" s="22">
        <f ca="1">+GETPIVOTDATA("XBC4",'bauchinh (2016)'!$A$3,"MA_HT","NTS","MA_QH","DDL")</f>
        <v>0</v>
      </c>
      <c r="AP16" s="22">
        <f ca="1">+GETPIVOTDATA("XBC4",'bauchinh (2016)'!$A$3,"MA_HT","NTS","MA_QH","DRA")</f>
        <v>0</v>
      </c>
      <c r="AQ16" s="22">
        <f ca="1">+GETPIVOTDATA("XBC4",'bauchinh (2016)'!$A$3,"MA_HT","NTS","MA_QH","ONT")</f>
        <v>0</v>
      </c>
      <c r="AR16" s="22">
        <f ca="1">+GETPIVOTDATA("XBC4",'bauchinh (2016)'!$A$3,"MA_HT","NTS","MA_QH","ODT")</f>
        <v>0</v>
      </c>
      <c r="AS16" s="22">
        <f ca="1">+GETPIVOTDATA("XBC4",'bauchinh (2016)'!$A$3,"MA_HT","NTS","MA_QH","TSC")</f>
        <v>0</v>
      </c>
      <c r="AT16" s="22">
        <f ca="1">+GETPIVOTDATA("XBC4",'bauchinh (2016)'!$A$3,"MA_HT","NTS","MA_QH","DTS")</f>
        <v>0</v>
      </c>
      <c r="AU16" s="22">
        <f ca="1">+GETPIVOTDATA("XBC4",'bauchinh (2016)'!$A$3,"MA_HT","NTS","MA_QH","DNG")</f>
        <v>0</v>
      </c>
      <c r="AV16" s="22">
        <f ca="1">+GETPIVOTDATA("XBC4",'bauchinh (2016)'!$A$3,"MA_HT","NTS","MA_QH","TON")</f>
        <v>0</v>
      </c>
      <c r="AW16" s="22">
        <f ca="1">+GETPIVOTDATA("XBC4",'bauchinh (2016)'!$A$3,"MA_HT","NTS","MA_QH","NTD")</f>
        <v>0</v>
      </c>
      <c r="AX16" s="22">
        <f ca="1">+GETPIVOTDATA("XBC4",'bauchinh (2016)'!$A$3,"MA_HT","NTS","MA_QH","SKX")</f>
        <v>0</v>
      </c>
      <c r="AY16" s="22">
        <f ca="1">+GETPIVOTDATA("XBC4",'bauchinh (2016)'!$A$3,"MA_HT","NTS","MA_QH","DSH")</f>
        <v>0</v>
      </c>
      <c r="AZ16" s="22">
        <f ca="1">+GETPIVOTDATA("XBC4",'bauchinh (2016)'!$A$3,"MA_HT","NTS","MA_QH","DKV")</f>
        <v>0</v>
      </c>
      <c r="BA16" s="89">
        <f ca="1">+GETPIVOTDATA("XBC4",'bauchinh (2016)'!$A$3,"MA_HT","NTS","MA_QH","TIN")</f>
        <v>0</v>
      </c>
      <c r="BB16" s="50">
        <f ca="1">+GETPIVOTDATA("XBC4",'bauchinh (2016)'!$A$3,"MA_HT","NTS","MA_QH","SON")</f>
        <v>0</v>
      </c>
      <c r="BC16" s="50">
        <f ca="1">+GETPIVOTDATA("XBC4",'bauchinh (2016)'!$A$3,"MA_HT","NTS","MA_QH","MNC")</f>
        <v>0</v>
      </c>
      <c r="BD16" s="22">
        <f ca="1">+GETPIVOTDATA("XBC4",'bauchinh (2016)'!$A$3,"MA_HT","NTS","MA_QH","PNK")</f>
        <v>0</v>
      </c>
      <c r="BE16" s="71">
        <f ca="1">+GETPIVOTDATA("XBC4",'bauchinh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+GETPIVOTDATA("XBC4",'bauchinh (2016)'!$A$3,"MA_HT","LMU","MA_QH","LUC")</f>
        <v>0</v>
      </c>
      <c r="H17" s="22">
        <f ca="1">+GETPIVOTDATA("XBC4",'bauchinh (2016)'!$A$3,"MA_HT","LMU","MA_QH","LUK")</f>
        <v>0</v>
      </c>
      <c r="I17" s="22">
        <f ca="1">+GETPIVOTDATA("XBC4",'bauchinh (2016)'!$A$3,"MA_HT","LMU","MA_QH","LUN")</f>
        <v>0</v>
      </c>
      <c r="J17" s="22">
        <f ca="1">+GETPIVOTDATA("XBC4",'bauchinh (2016)'!$A$3,"MA_HT","LMU","MA_QH","HNK")</f>
        <v>0</v>
      </c>
      <c r="K17" s="22">
        <f ca="1">+GETPIVOTDATA("XBC4",'bauchinh (2016)'!$A$3,"MA_HT","LMU","MA_QH","CLN")</f>
        <v>0</v>
      </c>
      <c r="L17" s="22">
        <f ca="1">+GETPIVOTDATA("XBC4",'bauchinh (2016)'!$A$3,"MA_HT","LMU","MA_QH","RSX")</f>
        <v>0</v>
      </c>
      <c r="M17" s="22">
        <f ca="1">+GETPIVOTDATA("XBC4",'bauchinh (2016)'!$A$3,"MA_HT","LMU","MA_QH","RPH")</f>
        <v>0</v>
      </c>
      <c r="N17" s="22">
        <f ca="1">+GETPIVOTDATA("XBC4",'bauchinh (2016)'!$A$3,"MA_HT","LMU","MA_QH","RDD")</f>
        <v>0</v>
      </c>
      <c r="O17" s="22">
        <f ca="1">+GETPIVOTDATA("XBC4",'bauchinh (2016)'!$A$3,"MA_HT","LMU","MA_QH","NTS")</f>
        <v>0</v>
      </c>
      <c r="P17" s="43" t="e">
        <f ca="1">$D17-$BF17</f>
        <v>#REF!</v>
      </c>
      <c r="Q17" s="22">
        <f ca="1">+GETPIVOTDATA("XBC4",'bauchinh (2016)'!$A$3,"MA_HT","LMU","MA_QH","NKH")</f>
        <v>0</v>
      </c>
      <c r="R17" s="42">
        <f ca="1" t="shared" si="2"/>
        <v>0</v>
      </c>
      <c r="S17" s="22">
        <f ca="1">+GETPIVOTDATA("XBC4",'bauchinh (2016)'!$A$3,"MA_HT","LMU","MA_QH","CQP")</f>
        <v>0</v>
      </c>
      <c r="T17" s="22">
        <f ca="1">+GETPIVOTDATA("XBC4",'bauchinh (2016)'!$A$3,"MA_HT","LMU","MA_QH","CAN")</f>
        <v>0</v>
      </c>
      <c r="U17" s="22">
        <f ca="1">+GETPIVOTDATA("XBC4",'bauchinh (2016)'!$A$3,"MA_HT","LMU","MA_QH","SKK")</f>
        <v>0</v>
      </c>
      <c r="V17" s="22">
        <f ca="1">+GETPIVOTDATA("XBC4",'bauchinh (2016)'!$A$3,"MA_HT","LMU","MA_QH","SKT")</f>
        <v>0</v>
      </c>
      <c r="W17" s="22">
        <f ca="1">+GETPIVOTDATA("XBC4",'bauchinh (2016)'!$A$3,"MA_HT","LMU","MA_QH","SKN")</f>
        <v>0</v>
      </c>
      <c r="X17" s="22">
        <f ca="1">+GETPIVOTDATA("XBC4",'bauchinh (2016)'!$A$3,"MA_HT","LMU","MA_QH","TMD")</f>
        <v>0</v>
      </c>
      <c r="Y17" s="22">
        <f ca="1">+GETPIVOTDATA("XBC4",'bauchinh (2016)'!$A$3,"MA_HT","LMU","MA_QH","SKC")</f>
        <v>0</v>
      </c>
      <c r="Z17" s="22">
        <f ca="1">+GETPIVOTDATA("XBC4",'bauchinh (2016)'!$A$3,"MA_HT","LMU","MA_QH","SKS")</f>
        <v>0</v>
      </c>
      <c r="AA17" s="52">
        <f ca="1" t="shared" si="4"/>
        <v>0</v>
      </c>
      <c r="AB17" s="22">
        <f ca="1">+GETPIVOTDATA("XBC4",'bauchinh (2016)'!$A$3,"MA_HT","LMU","MA_QH","DGT")</f>
        <v>0</v>
      </c>
      <c r="AC17" s="22">
        <f ca="1">+GETPIVOTDATA("XBC4",'bauchinh (2016)'!$A$3,"MA_HT","LMU","MA_QH","DTL")</f>
        <v>0</v>
      </c>
      <c r="AD17" s="22">
        <f ca="1">+GETPIVOTDATA("XBC4",'bauchinh (2016)'!$A$3,"MA_HT","LMU","MA_QH","DNL")</f>
        <v>0</v>
      </c>
      <c r="AE17" s="22">
        <f ca="1">+GETPIVOTDATA("XBC4",'bauchinh (2016)'!$A$3,"MA_HT","LMU","MA_QH","DBV")</f>
        <v>0</v>
      </c>
      <c r="AF17" s="22">
        <f ca="1">+GETPIVOTDATA("XBC4",'bauchinh (2016)'!$A$3,"MA_HT","LMU","MA_QH","DVH")</f>
        <v>0</v>
      </c>
      <c r="AG17" s="22">
        <f ca="1">+GETPIVOTDATA("XBC4",'bauchinh (2016)'!$A$3,"MA_HT","LMU","MA_QH","DYT")</f>
        <v>0</v>
      </c>
      <c r="AH17" s="22">
        <f ca="1">+GETPIVOTDATA("XBC4",'bauchinh (2016)'!$A$3,"MA_HT","LMU","MA_QH","DGD")</f>
        <v>0</v>
      </c>
      <c r="AI17" s="22">
        <f ca="1">+GETPIVOTDATA("XBC4",'bauchinh (2016)'!$A$3,"MA_HT","LMU","MA_QH","DTT")</f>
        <v>0</v>
      </c>
      <c r="AJ17" s="22">
        <f ca="1">+GETPIVOTDATA("XBC4",'bauchinh (2016)'!$A$3,"MA_HT","LMU","MA_QH","NCK")</f>
        <v>0</v>
      </c>
      <c r="AK17" s="22">
        <f ca="1">+GETPIVOTDATA("XBC4",'bauchinh (2016)'!$A$3,"MA_HT","LMU","MA_QH","DXH")</f>
        <v>0</v>
      </c>
      <c r="AL17" s="22">
        <f ca="1">+GETPIVOTDATA("XBC4",'bauchinh (2016)'!$A$3,"MA_HT","LMU","MA_QH","DCH")</f>
        <v>0</v>
      </c>
      <c r="AM17" s="22">
        <f ca="1">+GETPIVOTDATA("XBC4",'bauchinh (2016)'!$A$3,"MA_HT","LMU","MA_QH","DKG")</f>
        <v>0</v>
      </c>
      <c r="AN17" s="22">
        <f ca="1">+GETPIVOTDATA("XBC4",'bauchinh (2016)'!$A$3,"MA_HT","LMU","MA_QH","DDT")</f>
        <v>0</v>
      </c>
      <c r="AO17" s="22">
        <f ca="1">+GETPIVOTDATA("XBC4",'bauchinh (2016)'!$A$3,"MA_HT","LMU","MA_QH","DDL")</f>
        <v>0</v>
      </c>
      <c r="AP17" s="22">
        <f ca="1">+GETPIVOTDATA("XBC4",'bauchinh (2016)'!$A$3,"MA_HT","LMU","MA_QH","DRA")</f>
        <v>0</v>
      </c>
      <c r="AQ17" s="22">
        <f ca="1">+GETPIVOTDATA("XBC4",'bauchinh (2016)'!$A$3,"MA_HT","LMU","MA_QH","ONT")</f>
        <v>0</v>
      </c>
      <c r="AR17" s="22">
        <f ca="1">+GETPIVOTDATA("XBC4",'bauchinh (2016)'!$A$3,"MA_HT","LMU","MA_QH","ODT")</f>
        <v>0</v>
      </c>
      <c r="AS17" s="22">
        <f ca="1">+GETPIVOTDATA("XBC4",'bauchinh (2016)'!$A$3,"MA_HT","LMU","MA_QH","TSC")</f>
        <v>0</v>
      </c>
      <c r="AT17" s="22">
        <f ca="1">+GETPIVOTDATA("XBC4",'bauchinh (2016)'!$A$3,"MA_HT","LMU","MA_QH","DTS")</f>
        <v>0</v>
      </c>
      <c r="AU17" s="22">
        <f ca="1">+GETPIVOTDATA("XBC4",'bauchinh (2016)'!$A$3,"MA_HT","LMU","MA_QH","DNG")</f>
        <v>0</v>
      </c>
      <c r="AV17" s="22">
        <f ca="1">+GETPIVOTDATA("XBC4",'bauchinh (2016)'!$A$3,"MA_HT","LMU","MA_QH","TON")</f>
        <v>0</v>
      </c>
      <c r="AW17" s="22">
        <f ca="1">+GETPIVOTDATA("XBC4",'bauchinh (2016)'!$A$3,"MA_HT","LMU","MA_QH","NTD")</f>
        <v>0</v>
      </c>
      <c r="AX17" s="22">
        <f ca="1">+GETPIVOTDATA("XBC4",'bauchinh (2016)'!$A$3,"MA_HT","LMU","MA_QH","SKX")</f>
        <v>0</v>
      </c>
      <c r="AY17" s="22">
        <f ca="1">+GETPIVOTDATA("XBC4",'bauchinh (2016)'!$A$3,"MA_HT","LMU","MA_QH","DSH")</f>
        <v>0</v>
      </c>
      <c r="AZ17" s="22">
        <f ca="1">+GETPIVOTDATA("XBC4",'bauchinh (2016)'!$A$3,"MA_HT","LMU","MA_QH","DKV")</f>
        <v>0</v>
      </c>
      <c r="BA17" s="89">
        <f ca="1">+GETPIVOTDATA("XBC4",'bauchinh (2016)'!$A$3,"MA_HT","LMU","MA_QH","TIN")</f>
        <v>0</v>
      </c>
      <c r="BB17" s="50">
        <f ca="1">+GETPIVOTDATA("XBC4",'bauchinh (2016)'!$A$3,"MA_HT","LMU","MA_QH","SON")</f>
        <v>0</v>
      </c>
      <c r="BC17" s="50">
        <f ca="1">+GETPIVOTDATA("XBC4",'bauchinh (2016)'!$A$3,"MA_HT","LMU","MA_QH","MNC")</f>
        <v>0</v>
      </c>
      <c r="BD17" s="22">
        <f ca="1">+GETPIVOTDATA("XBC4",'bauchinh (2016)'!$A$3,"MA_HT","LMU","MA_QH","PNK")</f>
        <v>0</v>
      </c>
      <c r="BE17" s="71">
        <f ca="1">+GETPIVOTDATA("XBC4",'bauchinh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+GETPIVOTDATA("XBC4",'bauchinh (2016)'!$A$3,"MA_HT","NKH","MA_QH","LUC")</f>
        <v>0</v>
      </c>
      <c r="H18" s="22">
        <f ca="1">+GETPIVOTDATA("XBC4",'bauchinh (2016)'!$A$3,"MA_HT","NKH","MA_QH","LUK")</f>
        <v>0</v>
      </c>
      <c r="I18" s="22">
        <f ca="1">+GETPIVOTDATA("XBC4",'bauchinh (2016)'!$A$3,"MA_HT","NKH","MA_QH","LUN")</f>
        <v>0</v>
      </c>
      <c r="J18" s="22">
        <f ca="1">+GETPIVOTDATA("XBC4",'bauchinh (2016)'!$A$3,"MA_HT","NKH","MA_QH","HNK")</f>
        <v>0</v>
      </c>
      <c r="K18" s="22">
        <f ca="1">+GETPIVOTDATA("XBC4",'bauchinh (2016)'!$A$3,"MA_HT","NKH","MA_QH","CLN")</f>
        <v>0</v>
      </c>
      <c r="L18" s="22">
        <f ca="1">+GETPIVOTDATA("XBC4",'bauchinh (2016)'!$A$3,"MA_HT","NKH","MA_QH","RSX")</f>
        <v>0</v>
      </c>
      <c r="M18" s="22">
        <f ca="1">+GETPIVOTDATA("XBC4",'bauchinh (2016)'!$A$3,"MA_HT","NKH","MA_QH","RPH")</f>
        <v>0</v>
      </c>
      <c r="N18" s="22">
        <f ca="1">+GETPIVOTDATA("XBC4",'bauchinh (2016)'!$A$3,"MA_HT","NKH","MA_QH","RDD")</f>
        <v>0</v>
      </c>
      <c r="O18" s="22">
        <f ca="1">+GETPIVOTDATA("XBC4",'bauchinh (2016)'!$A$3,"MA_HT","NKH","MA_QH","NTS")</f>
        <v>0</v>
      </c>
      <c r="P18" s="22">
        <f ca="1">+GETPIVOTDATA("XBC4",'bauchinh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+GETPIVOTDATA("XBC4",'bauchinh (2016)'!$A$3,"MA_HT","NKH","MA_QH","CQP")</f>
        <v>0</v>
      </c>
      <c r="T18" s="22">
        <f ca="1">+GETPIVOTDATA("XBC4",'bauchinh (2016)'!$A$3,"MA_HT","NKH","MA_QH","CAN")</f>
        <v>0</v>
      </c>
      <c r="U18" s="22">
        <f ca="1">+GETPIVOTDATA("XBC4",'bauchinh (2016)'!$A$3,"MA_HT","NKH","MA_QH","SKK")</f>
        <v>0</v>
      </c>
      <c r="V18" s="22">
        <f ca="1">+GETPIVOTDATA("XBC4",'bauchinh (2016)'!$A$3,"MA_HT","NKH","MA_QH","SKT")</f>
        <v>0</v>
      </c>
      <c r="W18" s="22">
        <f ca="1">+GETPIVOTDATA("XBC4",'bauchinh (2016)'!$A$3,"MA_HT","NKH","MA_QH","SKN")</f>
        <v>0</v>
      </c>
      <c r="X18" s="22">
        <f ca="1">+GETPIVOTDATA("XBC4",'bauchinh (2016)'!$A$3,"MA_HT","NKH","MA_QH","TMD")</f>
        <v>0</v>
      </c>
      <c r="Y18" s="22">
        <f ca="1">+GETPIVOTDATA("XBC4",'bauchinh (2016)'!$A$3,"MA_HT","NKH","MA_QH","SKC")</f>
        <v>0</v>
      </c>
      <c r="Z18" s="22">
        <f ca="1">+GETPIVOTDATA("XBC4",'bauchinh (2016)'!$A$3,"MA_HT","NKH","MA_QH","SKS")</f>
        <v>0</v>
      </c>
      <c r="AA18" s="52">
        <f ca="1" t="shared" si="4"/>
        <v>0</v>
      </c>
      <c r="AB18" s="22">
        <f ca="1">+GETPIVOTDATA("XBC4",'bauchinh (2016)'!$A$3,"MA_HT","NKH","MA_QH","DGT")</f>
        <v>0</v>
      </c>
      <c r="AC18" s="22">
        <f ca="1">+GETPIVOTDATA("XBC4",'bauchinh (2016)'!$A$3,"MA_HT","NKH","MA_QH","DTL")</f>
        <v>0</v>
      </c>
      <c r="AD18" s="22">
        <f ca="1">+GETPIVOTDATA("XBC4",'bauchinh (2016)'!$A$3,"MA_HT","NKH","MA_QH","DNL")</f>
        <v>0</v>
      </c>
      <c r="AE18" s="22">
        <f ca="1">+GETPIVOTDATA("XBC4",'bauchinh (2016)'!$A$3,"MA_HT","NKH","MA_QH","DBV")</f>
        <v>0</v>
      </c>
      <c r="AF18" s="22">
        <f ca="1">+GETPIVOTDATA("XBC4",'bauchinh (2016)'!$A$3,"MA_HT","NKH","MA_QH","DVH")</f>
        <v>0</v>
      </c>
      <c r="AG18" s="22">
        <f ca="1">+GETPIVOTDATA("XBC4",'bauchinh (2016)'!$A$3,"MA_HT","NKH","MA_QH","DYT")</f>
        <v>0</v>
      </c>
      <c r="AH18" s="22">
        <f ca="1">+GETPIVOTDATA("XBC4",'bauchinh (2016)'!$A$3,"MA_HT","NKH","MA_QH","DGD")</f>
        <v>0</v>
      </c>
      <c r="AI18" s="22">
        <f ca="1">+GETPIVOTDATA("XBC4",'bauchinh (2016)'!$A$3,"MA_HT","NKH","MA_QH","DTT")</f>
        <v>0</v>
      </c>
      <c r="AJ18" s="22">
        <f ca="1">+GETPIVOTDATA("XBC4",'bauchinh (2016)'!$A$3,"MA_HT","NKH","MA_QH","NCK")</f>
        <v>0</v>
      </c>
      <c r="AK18" s="22">
        <f ca="1">+GETPIVOTDATA("XBC4",'bauchinh (2016)'!$A$3,"MA_HT","NKH","MA_QH","DXH")</f>
        <v>0</v>
      </c>
      <c r="AL18" s="22">
        <f ca="1">+GETPIVOTDATA("XBC4",'bauchinh (2016)'!$A$3,"MA_HT","NKH","MA_QH","DCH")</f>
        <v>0</v>
      </c>
      <c r="AM18" s="22">
        <f ca="1">+GETPIVOTDATA("XBC4",'bauchinh (2016)'!$A$3,"MA_HT","NKH","MA_QH","DKG")</f>
        <v>0</v>
      </c>
      <c r="AN18" s="22">
        <f ca="1">+GETPIVOTDATA("XBC4",'bauchinh (2016)'!$A$3,"MA_HT","NKH","MA_QH","DDT")</f>
        <v>0</v>
      </c>
      <c r="AO18" s="22">
        <f ca="1">+GETPIVOTDATA("XBC4",'bauchinh (2016)'!$A$3,"MA_HT","NKH","MA_QH","DDL")</f>
        <v>0</v>
      </c>
      <c r="AP18" s="22">
        <f ca="1">+GETPIVOTDATA("XBC4",'bauchinh (2016)'!$A$3,"MA_HT","NKH","MA_QH","DRA")</f>
        <v>0</v>
      </c>
      <c r="AQ18" s="22">
        <f ca="1">+GETPIVOTDATA("XBC4",'bauchinh (2016)'!$A$3,"MA_HT","NKH","MA_QH","ONT")</f>
        <v>0</v>
      </c>
      <c r="AR18" s="22">
        <f ca="1">+GETPIVOTDATA("XBC4",'bauchinh (2016)'!$A$3,"MA_HT","NKH","MA_QH","ODT")</f>
        <v>0</v>
      </c>
      <c r="AS18" s="22">
        <f ca="1">+GETPIVOTDATA("XBC4",'bauchinh (2016)'!$A$3,"MA_HT","NKH","MA_QH","TSC")</f>
        <v>0</v>
      </c>
      <c r="AT18" s="22">
        <f ca="1">+GETPIVOTDATA("XBC4",'bauchinh (2016)'!$A$3,"MA_HT","NKH","MA_QH","DTS")</f>
        <v>0</v>
      </c>
      <c r="AU18" s="22">
        <f ca="1">+GETPIVOTDATA("XBC4",'bauchinh (2016)'!$A$3,"MA_HT","NKH","MA_QH","DNG")</f>
        <v>0</v>
      </c>
      <c r="AV18" s="22">
        <f ca="1">+GETPIVOTDATA("XBC4",'bauchinh (2016)'!$A$3,"MA_HT","NKH","MA_QH","TON")</f>
        <v>0</v>
      </c>
      <c r="AW18" s="22">
        <f ca="1">+GETPIVOTDATA("XBC4",'bauchinh (2016)'!$A$3,"MA_HT","NKH","MA_QH","NTD")</f>
        <v>0</v>
      </c>
      <c r="AX18" s="22">
        <f ca="1">+GETPIVOTDATA("XBC4",'bauchinh (2016)'!$A$3,"MA_HT","NKH","MA_QH","SKX")</f>
        <v>0</v>
      </c>
      <c r="AY18" s="22">
        <f ca="1">+GETPIVOTDATA("XBC4",'bauchinh (2016)'!$A$3,"MA_HT","NKH","MA_QH","DSH")</f>
        <v>0</v>
      </c>
      <c r="AZ18" s="22">
        <f ca="1">+GETPIVOTDATA("XBC4",'bauchinh (2016)'!$A$3,"MA_HT","NKH","MA_QH","DKV")</f>
        <v>0</v>
      </c>
      <c r="BA18" s="89">
        <f ca="1">+GETPIVOTDATA("XBC4",'bauchinh (2016)'!$A$3,"MA_HT","NKH","MA_QH","TIN")</f>
        <v>0</v>
      </c>
      <c r="BB18" s="50">
        <f ca="1">+GETPIVOTDATA("XBC4",'bauchinh (2016)'!$A$3,"MA_HT","NKH","MA_QH","SON")</f>
        <v>0</v>
      </c>
      <c r="BC18" s="50">
        <f ca="1">+GETPIVOTDATA("XBC4",'bauchinh (2016)'!$A$3,"MA_HT","NKH","MA_QH","MNC")</f>
        <v>0</v>
      </c>
      <c r="BD18" s="22">
        <f ca="1">+GETPIVOTDATA("XBC4",'bauchinh (2016)'!$A$3,"MA_HT","NKH","MA_QH","PNK")</f>
        <v>0</v>
      </c>
      <c r="BE18" s="71">
        <f ca="1">+GETPIVOTDATA("XBC4",'bauchinh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+GETPIVOTDATA("XBC4",'bauchinh (2016)'!$A$3,"MA_HT","CQP","MA_QH","LUC")</f>
        <v>0</v>
      </c>
      <c r="H20" s="22">
        <f ca="1">+GETPIVOTDATA("XBC4",'bauchinh (2016)'!$A$3,"MA_HT","CQP","MA_QH","LUK")</f>
        <v>0</v>
      </c>
      <c r="I20" s="22">
        <f ca="1">+GETPIVOTDATA("XBC4",'bauchinh (2016)'!$A$3,"MA_HT","CQP","MA_QH","LUN")</f>
        <v>0</v>
      </c>
      <c r="J20" s="22">
        <f ca="1">+GETPIVOTDATA("XBC4",'bauchinh (2016)'!$A$3,"MA_HT","CQP","MA_QH","HNK")</f>
        <v>0</v>
      </c>
      <c r="K20" s="22">
        <f ca="1">+GETPIVOTDATA("XBC4",'bauchinh (2016)'!$A$3,"MA_HT","CQP","MA_QH","CLN")</f>
        <v>0</v>
      </c>
      <c r="L20" s="22">
        <f ca="1">+GETPIVOTDATA("XBC4",'bauchinh (2016)'!$A$3,"MA_HT","CQP","MA_QH","RSX")</f>
        <v>0</v>
      </c>
      <c r="M20" s="22">
        <f ca="1">+GETPIVOTDATA("XBC4",'bauchinh (2016)'!$A$3,"MA_HT","CQP","MA_QH","RPH")</f>
        <v>0</v>
      </c>
      <c r="N20" s="22">
        <f ca="1">+GETPIVOTDATA("XBC4",'bauchinh (2016)'!$A$3,"MA_HT","CQP","MA_QH","RDD")</f>
        <v>0</v>
      </c>
      <c r="O20" s="22">
        <f ca="1">+GETPIVOTDATA("XBC4",'bauchinh (2016)'!$A$3,"MA_HT","CQP","MA_QH","NTS")</f>
        <v>0</v>
      </c>
      <c r="P20" s="22">
        <f ca="1">+GETPIVOTDATA("XBC4",'bauchinh (2016)'!$A$3,"MA_HT","CQP","MA_QH","LMU")</f>
        <v>0</v>
      </c>
      <c r="Q20" s="22">
        <f ca="1">+GETPIVOTDATA("XBC4",'bauchinh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+GETPIVOTDATA("XBC4",'bauchinh (2016)'!$A$3,"MA_HT","CQP","MA_QH","CAN")</f>
        <v>0</v>
      </c>
      <c r="U20" s="22">
        <f ca="1">+GETPIVOTDATA("XBC4",'bauchinh (2016)'!$A$3,"MA_HT","CQP","MA_QH","SKK")</f>
        <v>0</v>
      </c>
      <c r="V20" s="22">
        <f ca="1">+GETPIVOTDATA("XBC4",'bauchinh (2016)'!$A$3,"MA_HT","CQP","MA_QH","SKT")</f>
        <v>0</v>
      </c>
      <c r="W20" s="22">
        <f ca="1">+GETPIVOTDATA("XBC4",'bauchinh (2016)'!$A$3,"MA_HT","CQP","MA_QH","SKN")</f>
        <v>0</v>
      </c>
      <c r="X20" s="22">
        <f ca="1">+GETPIVOTDATA("XBC4",'bauchinh (2016)'!$A$3,"MA_HT","CQP","MA_QH","TMD")</f>
        <v>0</v>
      </c>
      <c r="Y20" s="22">
        <f ca="1">+GETPIVOTDATA("XBC4",'bauchinh (2016)'!$A$3,"MA_HT","CQP","MA_QH","SKC")</f>
        <v>0</v>
      </c>
      <c r="Z20" s="22">
        <f ca="1">+GETPIVOTDATA("XBC4",'bauchinh (2016)'!$A$3,"MA_HT","CQP","MA_QH","SKS")</f>
        <v>0</v>
      </c>
      <c r="AA20" s="52">
        <f ca="1" t="shared" ref="AA20:AA27" si="12">+SUM(AB20:AM20)</f>
        <v>0</v>
      </c>
      <c r="AB20" s="22">
        <f ca="1">+GETPIVOTDATA("XBC4",'bauchinh (2016)'!$A$3,"MA_HT","CQP","MA_QH","DGT")</f>
        <v>0</v>
      </c>
      <c r="AC20" s="22">
        <f ca="1">+GETPIVOTDATA("XBC4",'bauchinh (2016)'!$A$3,"MA_HT","CQP","MA_QH","DTL")</f>
        <v>0</v>
      </c>
      <c r="AD20" s="22">
        <f ca="1">+GETPIVOTDATA("XBC4",'bauchinh (2016)'!$A$3,"MA_HT","CQP","MA_QH","DNL")</f>
        <v>0</v>
      </c>
      <c r="AE20" s="22">
        <f ca="1">+GETPIVOTDATA("XBC4",'bauchinh (2016)'!$A$3,"MA_HT","CQP","MA_QH","DBV")</f>
        <v>0</v>
      </c>
      <c r="AF20" s="22">
        <f ca="1">+GETPIVOTDATA("XBC4",'bauchinh (2016)'!$A$3,"MA_HT","CQP","MA_QH","DVH")</f>
        <v>0</v>
      </c>
      <c r="AG20" s="22">
        <f ca="1">+GETPIVOTDATA("XBC4",'bauchinh (2016)'!$A$3,"MA_HT","CQP","MA_QH","DYT")</f>
        <v>0</v>
      </c>
      <c r="AH20" s="22">
        <f ca="1">+GETPIVOTDATA("XBC4",'bauchinh (2016)'!$A$3,"MA_HT","CQP","MA_QH","DGD")</f>
        <v>0</v>
      </c>
      <c r="AI20" s="22">
        <f ca="1">+GETPIVOTDATA("XBC4",'bauchinh (2016)'!$A$3,"MA_HT","CQP","MA_QH","DTT")</f>
        <v>0</v>
      </c>
      <c r="AJ20" s="22">
        <f ca="1">+GETPIVOTDATA("XBC4",'bauchinh (2016)'!$A$3,"MA_HT","CQP","MA_QH","NCK")</f>
        <v>0</v>
      </c>
      <c r="AK20" s="22">
        <f ca="1">+GETPIVOTDATA("XBC4",'bauchinh (2016)'!$A$3,"MA_HT","CQP","MA_QH","DXH")</f>
        <v>0</v>
      </c>
      <c r="AL20" s="22">
        <f ca="1">+GETPIVOTDATA("XBC4",'bauchinh (2016)'!$A$3,"MA_HT","CQP","MA_QH","DCH")</f>
        <v>0</v>
      </c>
      <c r="AM20" s="22">
        <f ca="1">+GETPIVOTDATA("XBC4",'bauchinh (2016)'!$A$3,"MA_HT","CQP","MA_QH","DKG")</f>
        <v>0</v>
      </c>
      <c r="AN20" s="22">
        <f ca="1">+GETPIVOTDATA("XBC4",'bauchinh (2016)'!$A$3,"MA_HT","CQP","MA_QH","DDT")</f>
        <v>0</v>
      </c>
      <c r="AO20" s="22">
        <f ca="1">+GETPIVOTDATA("XBC4",'bauchinh (2016)'!$A$3,"MA_HT","CQP","MA_QH","DDL")</f>
        <v>0</v>
      </c>
      <c r="AP20" s="22">
        <f ca="1">+GETPIVOTDATA("XBC4",'bauchinh (2016)'!$A$3,"MA_HT","CQP","MA_QH","DRA")</f>
        <v>0</v>
      </c>
      <c r="AQ20" s="22">
        <f ca="1">+GETPIVOTDATA("XBC4",'bauchinh (2016)'!$A$3,"MA_HT","CQP","MA_QH","ONT")</f>
        <v>0</v>
      </c>
      <c r="AR20" s="22">
        <f ca="1">+GETPIVOTDATA("XBC4",'bauchinh (2016)'!$A$3,"MA_HT","CQP","MA_QH","ODT")</f>
        <v>0</v>
      </c>
      <c r="AS20" s="22">
        <f ca="1">+GETPIVOTDATA("XBC4",'bauchinh (2016)'!$A$3,"MA_HT","CQP","MA_QH","TSC")</f>
        <v>0</v>
      </c>
      <c r="AT20" s="22">
        <f ca="1">+GETPIVOTDATA("XBC4",'bauchinh (2016)'!$A$3,"MA_HT","CQP","MA_QH","DTS")</f>
        <v>0</v>
      </c>
      <c r="AU20" s="22">
        <f ca="1">+GETPIVOTDATA("XBC4",'bauchinh (2016)'!$A$3,"MA_HT","CQP","MA_QH","DNG")</f>
        <v>0</v>
      </c>
      <c r="AV20" s="22">
        <f ca="1">+GETPIVOTDATA("XBC4",'bauchinh (2016)'!$A$3,"MA_HT","CQP","MA_QH","TON")</f>
        <v>0</v>
      </c>
      <c r="AW20" s="22">
        <f ca="1">+GETPIVOTDATA("XBC4",'bauchinh (2016)'!$A$3,"MA_HT","CQP","MA_QH","NTD")</f>
        <v>0</v>
      </c>
      <c r="AX20" s="22">
        <f ca="1">+GETPIVOTDATA("XBC4",'bauchinh (2016)'!$A$3,"MA_HT","CQP","MA_QH","SKX")</f>
        <v>0</v>
      </c>
      <c r="AY20" s="22">
        <f ca="1">+GETPIVOTDATA("XBC4",'bauchinh (2016)'!$A$3,"MA_HT","CQP","MA_QH","DSH")</f>
        <v>0</v>
      </c>
      <c r="AZ20" s="22">
        <f ca="1">+GETPIVOTDATA("XBC4",'bauchinh (2016)'!$A$3,"MA_HT","CQP","MA_QH","DKV")</f>
        <v>0</v>
      </c>
      <c r="BA20" s="89">
        <f ca="1">+GETPIVOTDATA("XBC4",'bauchinh (2016)'!$A$3,"MA_HT","CQP","MA_QH","TIN")</f>
        <v>0</v>
      </c>
      <c r="BB20" s="50">
        <f ca="1">+GETPIVOTDATA("XBC4",'bauchinh (2016)'!$A$3,"MA_HT","CQP","MA_QH","SON")</f>
        <v>0</v>
      </c>
      <c r="BC20" s="50">
        <f ca="1">+GETPIVOTDATA("XBC4",'bauchinh (2016)'!$A$3,"MA_HT","CQP","MA_QH","MNC")</f>
        <v>0</v>
      </c>
      <c r="BD20" s="22">
        <f ca="1">+GETPIVOTDATA("XBC4",'bauchinh (2016)'!$A$3,"MA_HT","CQP","MA_QH","PNK")</f>
        <v>0</v>
      </c>
      <c r="BE20" s="71">
        <f ca="1">+GETPIVOTDATA("XBC4",'bauchinh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+GETPIVOTDATA("XBC4",'bauchinh (2016)'!$A$3,"MA_HT","CAN","MA_QH","LUC")</f>
        <v>0</v>
      </c>
      <c r="H21" s="22">
        <f ca="1">+GETPIVOTDATA("XBC4",'bauchinh (2016)'!$A$3,"MA_HT","CAN","MA_QH","LUK")</f>
        <v>0</v>
      </c>
      <c r="I21" s="22">
        <f ca="1">+GETPIVOTDATA("XBC4",'bauchinh (2016)'!$A$3,"MA_HT","CAN","MA_QH","LUN")</f>
        <v>0</v>
      </c>
      <c r="J21" s="22">
        <f ca="1">+GETPIVOTDATA("XBC4",'bauchinh (2016)'!$A$3,"MA_HT","CAN","MA_QH","HNK")</f>
        <v>0</v>
      </c>
      <c r="K21" s="22">
        <f ca="1">+GETPIVOTDATA("XBC4",'bauchinh (2016)'!$A$3,"MA_HT","CAN","MA_QH","CLN")</f>
        <v>0</v>
      </c>
      <c r="L21" s="22">
        <f ca="1">+GETPIVOTDATA("XBC4",'bauchinh (2016)'!$A$3,"MA_HT","CAN","MA_QH","RSX")</f>
        <v>0</v>
      </c>
      <c r="M21" s="22">
        <f ca="1">+GETPIVOTDATA("XBC4",'bauchinh (2016)'!$A$3,"MA_HT","CAN","MA_QH","RPH")</f>
        <v>0</v>
      </c>
      <c r="N21" s="22">
        <f ca="1">+GETPIVOTDATA("XBC4",'bauchinh (2016)'!$A$3,"MA_HT","CAN","MA_QH","RDD")</f>
        <v>0</v>
      </c>
      <c r="O21" s="22">
        <f ca="1">+GETPIVOTDATA("XBC4",'bauchinh (2016)'!$A$3,"MA_HT","CAN","MA_QH","NTS")</f>
        <v>0</v>
      </c>
      <c r="P21" s="22">
        <f ca="1">+GETPIVOTDATA("XBC4",'bauchinh (2016)'!$A$3,"MA_HT","CAN","MA_QH","LMU")</f>
        <v>0</v>
      </c>
      <c r="Q21" s="22">
        <f ca="1">+GETPIVOTDATA("XBC4",'bauchinh (2016)'!$A$3,"MA_HT","CAN","MA_QH","NKH")</f>
        <v>0</v>
      </c>
      <c r="R21" s="42">
        <f ca="1">SUM(S21,U21:AA21,AN21:BD21)</f>
        <v>0</v>
      </c>
      <c r="S21" s="22">
        <f ca="1">+GETPIVOTDATA("XBC4",'bauchinh (2016)'!$A$3,"MA_HT","CAN","MA_QH","CQP")</f>
        <v>0</v>
      </c>
      <c r="T21" s="43" t="e">
        <f ca="1">$D21-$BF21</f>
        <v>#REF!</v>
      </c>
      <c r="U21" s="22">
        <f ca="1">+GETPIVOTDATA("XBC4",'bauchinh (2016)'!$A$3,"MA_HT","CAN","MA_QH","SKK")</f>
        <v>0</v>
      </c>
      <c r="V21" s="22">
        <f ca="1">+GETPIVOTDATA("XBC4",'bauchinh (2016)'!$A$3,"MA_HT","CAN","MA_QH","SKT")</f>
        <v>0</v>
      </c>
      <c r="W21" s="22">
        <f ca="1">+GETPIVOTDATA("XBC4",'bauchinh (2016)'!$A$3,"MA_HT","CAN","MA_QH","SKN")</f>
        <v>0</v>
      </c>
      <c r="X21" s="22">
        <f ca="1">+GETPIVOTDATA("XBC4",'bauchinh (2016)'!$A$3,"MA_HT","CAN","MA_QH","TMD")</f>
        <v>0</v>
      </c>
      <c r="Y21" s="22">
        <f ca="1">+GETPIVOTDATA("XBC4",'bauchinh (2016)'!$A$3,"MA_HT","CAN","MA_QH","SKC")</f>
        <v>0</v>
      </c>
      <c r="Z21" s="22">
        <f ca="1">+GETPIVOTDATA("XBC4",'bauchinh (2016)'!$A$3,"MA_HT","CAN","MA_QH","SKS")</f>
        <v>0</v>
      </c>
      <c r="AA21" s="52">
        <f ca="1" t="shared" si="12"/>
        <v>0</v>
      </c>
      <c r="AB21" s="22">
        <f ca="1">+GETPIVOTDATA("XBC4",'bauchinh (2016)'!$A$3,"MA_HT","CAN","MA_QH","DGT")</f>
        <v>0</v>
      </c>
      <c r="AC21" s="22">
        <f ca="1">+GETPIVOTDATA("XBC4",'bauchinh (2016)'!$A$3,"MA_HT","CAN","MA_QH","DTL")</f>
        <v>0</v>
      </c>
      <c r="AD21" s="22">
        <f ca="1">+GETPIVOTDATA("XBC4",'bauchinh (2016)'!$A$3,"MA_HT","CAN","MA_QH","DNL")</f>
        <v>0</v>
      </c>
      <c r="AE21" s="22">
        <f ca="1">+GETPIVOTDATA("XBC4",'bauchinh (2016)'!$A$3,"MA_HT","CAN","MA_QH","DBV")</f>
        <v>0</v>
      </c>
      <c r="AF21" s="22">
        <f ca="1">+GETPIVOTDATA("XBC4",'bauchinh (2016)'!$A$3,"MA_HT","CAN","MA_QH","DVH")</f>
        <v>0</v>
      </c>
      <c r="AG21" s="22">
        <f ca="1">+GETPIVOTDATA("XBC4",'bauchinh (2016)'!$A$3,"MA_HT","CAN","MA_QH","DYT")</f>
        <v>0</v>
      </c>
      <c r="AH21" s="22">
        <f ca="1">+GETPIVOTDATA("XBC4",'bauchinh (2016)'!$A$3,"MA_HT","CAN","MA_QH","DGD")</f>
        <v>0</v>
      </c>
      <c r="AI21" s="22">
        <f ca="1">+GETPIVOTDATA("XBC4",'bauchinh (2016)'!$A$3,"MA_HT","CAN","MA_QH","DTT")</f>
        <v>0</v>
      </c>
      <c r="AJ21" s="22">
        <f ca="1">+GETPIVOTDATA("XBC4",'bauchinh (2016)'!$A$3,"MA_HT","CAN","MA_QH","NCK")</f>
        <v>0</v>
      </c>
      <c r="AK21" s="22">
        <f ca="1">+GETPIVOTDATA("XBC4",'bauchinh (2016)'!$A$3,"MA_HT","CAN","MA_QH","DXH")</f>
        <v>0</v>
      </c>
      <c r="AL21" s="22">
        <f ca="1">+GETPIVOTDATA("XBC4",'bauchinh (2016)'!$A$3,"MA_HT","CAN","MA_QH","DCH")</f>
        <v>0</v>
      </c>
      <c r="AM21" s="22">
        <f ca="1">+GETPIVOTDATA("XBC4",'bauchinh (2016)'!$A$3,"MA_HT","CAN","MA_QH","DKG")</f>
        <v>0</v>
      </c>
      <c r="AN21" s="22">
        <f ca="1">+GETPIVOTDATA("XBC4",'bauchinh (2016)'!$A$3,"MA_HT","CAN","MA_QH","DDT")</f>
        <v>0</v>
      </c>
      <c r="AO21" s="22">
        <f ca="1">+GETPIVOTDATA("XBC4",'bauchinh (2016)'!$A$3,"MA_HT","CAN","MA_QH","DDL")</f>
        <v>0</v>
      </c>
      <c r="AP21" s="22">
        <f ca="1">+GETPIVOTDATA("XBC4",'bauchinh (2016)'!$A$3,"MA_HT","CAN","MA_QH","DRA")</f>
        <v>0</v>
      </c>
      <c r="AQ21" s="22">
        <f ca="1">+GETPIVOTDATA("XBC4",'bauchinh (2016)'!$A$3,"MA_HT","CAN","MA_QH","ONT")</f>
        <v>0</v>
      </c>
      <c r="AR21" s="22">
        <f ca="1">+GETPIVOTDATA("XBC4",'bauchinh (2016)'!$A$3,"MA_HT","CAN","MA_QH","ODT")</f>
        <v>0</v>
      </c>
      <c r="AS21" s="22">
        <f ca="1">+GETPIVOTDATA("XBC4",'bauchinh (2016)'!$A$3,"MA_HT","CAN","MA_QH","TSC")</f>
        <v>0</v>
      </c>
      <c r="AT21" s="22">
        <f ca="1">+GETPIVOTDATA("XBC4",'bauchinh (2016)'!$A$3,"MA_HT","CAN","MA_QH","DTS")</f>
        <v>0</v>
      </c>
      <c r="AU21" s="22">
        <f ca="1">+GETPIVOTDATA("XBC4",'bauchinh (2016)'!$A$3,"MA_HT","CAN","MA_QH","DNG")</f>
        <v>0</v>
      </c>
      <c r="AV21" s="22">
        <f ca="1">+GETPIVOTDATA("XBC4",'bauchinh (2016)'!$A$3,"MA_HT","CAN","MA_QH","TON")</f>
        <v>0</v>
      </c>
      <c r="AW21" s="22">
        <f ca="1">+GETPIVOTDATA("XBC4",'bauchinh (2016)'!$A$3,"MA_HT","CAN","MA_QH","NTD")</f>
        <v>0</v>
      </c>
      <c r="AX21" s="22">
        <f ca="1">+GETPIVOTDATA("XBC4",'bauchinh (2016)'!$A$3,"MA_HT","CAN","MA_QH","SKX")</f>
        <v>0</v>
      </c>
      <c r="AY21" s="22">
        <f ca="1">+GETPIVOTDATA("XBC4",'bauchinh (2016)'!$A$3,"MA_HT","CAN","MA_QH","DSH")</f>
        <v>0</v>
      </c>
      <c r="AZ21" s="22">
        <f ca="1">+GETPIVOTDATA("XBC4",'bauchinh (2016)'!$A$3,"MA_HT","CAN","MA_QH","DKV")</f>
        <v>0</v>
      </c>
      <c r="BA21" s="89">
        <f ca="1">+GETPIVOTDATA("XBC4",'bauchinh (2016)'!$A$3,"MA_HT","CAN","MA_QH","TIN")</f>
        <v>0</v>
      </c>
      <c r="BB21" s="50">
        <f ca="1">+GETPIVOTDATA("XBC4",'bauchinh (2016)'!$A$3,"MA_HT","CAN","MA_QH","SON")</f>
        <v>0</v>
      </c>
      <c r="BC21" s="50">
        <f ca="1">+GETPIVOTDATA("XBC4",'bauchinh (2016)'!$A$3,"MA_HT","CAN","MA_QH","MNC")</f>
        <v>0</v>
      </c>
      <c r="BD21" s="22">
        <f ca="1">+GETPIVOTDATA("XBC4",'bauchinh (2016)'!$A$3,"MA_HT","CAN","MA_QH","PNK")</f>
        <v>0</v>
      </c>
      <c r="BE21" s="71">
        <f ca="1">+GETPIVOTDATA("XBC4",'bauchinh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+GETPIVOTDATA("XBC4",'bauchinh (2016)'!$A$3,"MA_HT","SKK","MA_QH","LUC")</f>
        <v>0</v>
      </c>
      <c r="H22" s="22">
        <f ca="1">+GETPIVOTDATA("XBC4",'bauchinh (2016)'!$A$3,"MA_HT","SKK","MA_QH","LUK")</f>
        <v>0</v>
      </c>
      <c r="I22" s="22">
        <f ca="1">+GETPIVOTDATA("XBC4",'bauchinh (2016)'!$A$3,"MA_HT","SKK","MA_QH","LUN")</f>
        <v>0</v>
      </c>
      <c r="J22" s="22">
        <f ca="1">+GETPIVOTDATA("XBC4",'bauchinh (2016)'!$A$3,"MA_HT","SKK","MA_QH","HNK")</f>
        <v>0</v>
      </c>
      <c r="K22" s="22">
        <f ca="1">+GETPIVOTDATA("XBC4",'bauchinh (2016)'!$A$3,"MA_HT","SKK","MA_QH","CLN")</f>
        <v>0</v>
      </c>
      <c r="L22" s="22">
        <f ca="1">+GETPIVOTDATA("XBC4",'bauchinh (2016)'!$A$3,"MA_HT","SKK","MA_QH","RSX")</f>
        <v>0</v>
      </c>
      <c r="M22" s="22">
        <f ca="1">+GETPIVOTDATA("XBC4",'bauchinh (2016)'!$A$3,"MA_HT","SKK","MA_QH","RPH")</f>
        <v>0</v>
      </c>
      <c r="N22" s="22">
        <f ca="1">+GETPIVOTDATA("XBC4",'bauchinh (2016)'!$A$3,"MA_HT","SKK","MA_QH","RDD")</f>
        <v>0</v>
      </c>
      <c r="O22" s="22">
        <f ca="1">+GETPIVOTDATA("XBC4",'bauchinh (2016)'!$A$3,"MA_HT","SKK","MA_QH","NTS")</f>
        <v>0</v>
      </c>
      <c r="P22" s="22">
        <f ca="1">+GETPIVOTDATA("XBC4",'bauchinh (2016)'!$A$3,"MA_HT","SKK","MA_QH","LMU")</f>
        <v>0</v>
      </c>
      <c r="Q22" s="22">
        <f ca="1">+GETPIVOTDATA("XBC4",'bauchinh (2016)'!$A$3,"MA_HT","SKK","MA_QH","NKH")</f>
        <v>0</v>
      </c>
      <c r="R22" s="42">
        <f ca="1">SUM(S22:T22,V22:AA22,AN22:BD22)</f>
        <v>0</v>
      </c>
      <c r="S22" s="22">
        <f ca="1">+GETPIVOTDATA("XBC4",'bauchinh (2016)'!$A$3,"MA_HT","SKK","MA_QH","CQP")</f>
        <v>0</v>
      </c>
      <c r="T22" s="22">
        <f ca="1">+GETPIVOTDATA("XBC4",'bauchinh (2016)'!$A$3,"MA_HT","SKK","MA_QH","CAN")</f>
        <v>0</v>
      </c>
      <c r="U22" s="43" t="e">
        <f ca="1">$D22-$BF22</f>
        <v>#REF!</v>
      </c>
      <c r="V22" s="22">
        <f ca="1">+GETPIVOTDATA("XBC4",'bauchinh (2016)'!$A$3,"MA_HT","SKK","MA_QH","SKT")</f>
        <v>0</v>
      </c>
      <c r="W22" s="22">
        <f ca="1">+GETPIVOTDATA("XBC4",'bauchinh (2016)'!$A$3,"MA_HT","SKK","MA_QH","SKN")</f>
        <v>0</v>
      </c>
      <c r="X22" s="22">
        <f ca="1">+GETPIVOTDATA("XBC4",'bauchinh (2016)'!$A$3,"MA_HT","SKK","MA_QH","TMD")</f>
        <v>0</v>
      </c>
      <c r="Y22" s="22">
        <f ca="1">+GETPIVOTDATA("XBC4",'bauchinh (2016)'!$A$3,"MA_HT","SKK","MA_QH","SKC")</f>
        <v>0</v>
      </c>
      <c r="Z22" s="22">
        <f ca="1">+GETPIVOTDATA("XBC4",'bauchinh (2016)'!$A$3,"MA_HT","SKK","MA_QH","SKS")</f>
        <v>0</v>
      </c>
      <c r="AA22" s="52">
        <f ca="1" t="shared" si="12"/>
        <v>0</v>
      </c>
      <c r="AB22" s="22">
        <f ca="1">+GETPIVOTDATA("XBC4",'bauchinh (2016)'!$A$3,"MA_HT","SKK","MA_QH","DGT")</f>
        <v>0</v>
      </c>
      <c r="AC22" s="22">
        <f ca="1">+GETPIVOTDATA("XBC4",'bauchinh (2016)'!$A$3,"MA_HT","SKK","MA_QH","DTL")</f>
        <v>0</v>
      </c>
      <c r="AD22" s="22">
        <f ca="1">+GETPIVOTDATA("XBC4",'bauchinh (2016)'!$A$3,"MA_HT","SKK","MA_QH","DNL")</f>
        <v>0</v>
      </c>
      <c r="AE22" s="22">
        <f ca="1">+GETPIVOTDATA("XBC4",'bauchinh (2016)'!$A$3,"MA_HT","SKK","MA_QH","DBV")</f>
        <v>0</v>
      </c>
      <c r="AF22" s="22">
        <f ca="1">+GETPIVOTDATA("XBC4",'bauchinh (2016)'!$A$3,"MA_HT","SKK","MA_QH","DVH")</f>
        <v>0</v>
      </c>
      <c r="AG22" s="22">
        <f ca="1">+GETPIVOTDATA("XBC4",'bauchinh (2016)'!$A$3,"MA_HT","SKK","MA_QH","DYT")</f>
        <v>0</v>
      </c>
      <c r="AH22" s="22">
        <f ca="1">+GETPIVOTDATA("XBC4",'bauchinh (2016)'!$A$3,"MA_HT","SKK","MA_QH","DGD")</f>
        <v>0</v>
      </c>
      <c r="AI22" s="22">
        <f ca="1">+GETPIVOTDATA("XBC4",'bauchinh (2016)'!$A$3,"MA_HT","SKK","MA_QH","DTT")</f>
        <v>0</v>
      </c>
      <c r="AJ22" s="22">
        <f ca="1">+GETPIVOTDATA("XBC4",'bauchinh (2016)'!$A$3,"MA_HT","SKK","MA_QH","NCK")</f>
        <v>0</v>
      </c>
      <c r="AK22" s="22">
        <f ca="1">+GETPIVOTDATA("XBC4",'bauchinh (2016)'!$A$3,"MA_HT","SKK","MA_QH","DXH")</f>
        <v>0</v>
      </c>
      <c r="AL22" s="22">
        <f ca="1">+GETPIVOTDATA("XBC4",'bauchinh (2016)'!$A$3,"MA_HT","SKK","MA_QH","DCH")</f>
        <v>0</v>
      </c>
      <c r="AM22" s="22">
        <f ca="1">+GETPIVOTDATA("XBC4",'bauchinh (2016)'!$A$3,"MA_HT","SKK","MA_QH","DKG")</f>
        <v>0</v>
      </c>
      <c r="AN22" s="22">
        <f ca="1">+GETPIVOTDATA("XBC4",'bauchinh (2016)'!$A$3,"MA_HT","SKK","MA_QH","DDT")</f>
        <v>0</v>
      </c>
      <c r="AO22" s="22">
        <f ca="1">+GETPIVOTDATA("XBC4",'bauchinh (2016)'!$A$3,"MA_HT","SKK","MA_QH","DDL")</f>
        <v>0</v>
      </c>
      <c r="AP22" s="22">
        <f ca="1">+GETPIVOTDATA("XBC4",'bauchinh (2016)'!$A$3,"MA_HT","SKK","MA_QH","DRA")</f>
        <v>0</v>
      </c>
      <c r="AQ22" s="22">
        <f ca="1">+GETPIVOTDATA("XBC4",'bauchinh (2016)'!$A$3,"MA_HT","SKK","MA_QH","ONT")</f>
        <v>0</v>
      </c>
      <c r="AR22" s="22">
        <f ca="1">+GETPIVOTDATA("XBC4",'bauchinh (2016)'!$A$3,"MA_HT","SKK","MA_QH","ODT")</f>
        <v>0</v>
      </c>
      <c r="AS22" s="22">
        <f ca="1">+GETPIVOTDATA("XBC4",'bauchinh (2016)'!$A$3,"MA_HT","SKK","MA_QH","TSC")</f>
        <v>0</v>
      </c>
      <c r="AT22" s="22">
        <f ca="1">+GETPIVOTDATA("XBC4",'bauchinh (2016)'!$A$3,"MA_HT","SKK","MA_QH","DTS")</f>
        <v>0</v>
      </c>
      <c r="AU22" s="22">
        <f ca="1">+GETPIVOTDATA("XBC4",'bauchinh (2016)'!$A$3,"MA_HT","SKK","MA_QH","DNG")</f>
        <v>0</v>
      </c>
      <c r="AV22" s="22">
        <f ca="1">+GETPIVOTDATA("XBC4",'bauchinh (2016)'!$A$3,"MA_HT","SKK","MA_QH","TON")</f>
        <v>0</v>
      </c>
      <c r="AW22" s="22">
        <f ca="1">+GETPIVOTDATA("XBC4",'bauchinh (2016)'!$A$3,"MA_HT","SKK","MA_QH","NTD")</f>
        <v>0</v>
      </c>
      <c r="AX22" s="22">
        <f ca="1">+GETPIVOTDATA("XBC4",'bauchinh (2016)'!$A$3,"MA_HT","SKK","MA_QH","SKX")</f>
        <v>0</v>
      </c>
      <c r="AY22" s="22">
        <f ca="1">+GETPIVOTDATA("XBC4",'bauchinh (2016)'!$A$3,"MA_HT","SKK","MA_QH","DSH")</f>
        <v>0</v>
      </c>
      <c r="AZ22" s="22">
        <f ca="1">+GETPIVOTDATA("XBC4",'bauchinh (2016)'!$A$3,"MA_HT","SKK","MA_QH","DKV")</f>
        <v>0</v>
      </c>
      <c r="BA22" s="89">
        <f ca="1">+GETPIVOTDATA("XBC4",'bauchinh (2016)'!$A$3,"MA_HT","SKK","MA_QH","TIN")</f>
        <v>0</v>
      </c>
      <c r="BB22" s="50">
        <f ca="1">+GETPIVOTDATA("XBC4",'bauchinh (2016)'!$A$3,"MA_HT","SKK","MA_QH","SON")</f>
        <v>0</v>
      </c>
      <c r="BC22" s="50">
        <f ca="1">+GETPIVOTDATA("XBC4",'bauchinh (2016)'!$A$3,"MA_HT","SKK","MA_QH","MNC")</f>
        <v>0</v>
      </c>
      <c r="BD22" s="22">
        <f ca="1">+GETPIVOTDATA("XBC4",'bauchinh (2016)'!$A$3,"MA_HT","SKK","MA_QH","PNK")</f>
        <v>0</v>
      </c>
      <c r="BE22" s="71">
        <f ca="1">+GETPIVOTDATA("XBC4",'bauchinh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+GETPIVOTDATA("XBC4",'bauchinh (2016)'!$A$3,"MA_HT","SKT","MA_QH","LUC")</f>
        <v>0</v>
      </c>
      <c r="H23" s="22">
        <f ca="1">+GETPIVOTDATA("XBC4",'bauchinh (2016)'!$A$3,"MA_HT","SKT","MA_QH","LUK")</f>
        <v>0</v>
      </c>
      <c r="I23" s="22">
        <f ca="1">+GETPIVOTDATA("XBC4",'bauchinh (2016)'!$A$3,"MA_HT","SKT","MA_QH","LUN")</f>
        <v>0</v>
      </c>
      <c r="J23" s="22">
        <f ca="1">+GETPIVOTDATA("XBC4",'bauchinh (2016)'!$A$3,"MA_HT","SKT","MA_QH","HNK")</f>
        <v>0</v>
      </c>
      <c r="K23" s="22">
        <f ca="1">+GETPIVOTDATA("XBC4",'bauchinh (2016)'!$A$3,"MA_HT","SKT","MA_QH","CLN")</f>
        <v>0</v>
      </c>
      <c r="L23" s="22">
        <f ca="1">+GETPIVOTDATA("XBC4",'bauchinh (2016)'!$A$3,"MA_HT","SKT","MA_QH","RSX")</f>
        <v>0</v>
      </c>
      <c r="M23" s="22">
        <f ca="1">+GETPIVOTDATA("XBC4",'bauchinh (2016)'!$A$3,"MA_HT","SKT","MA_QH","RPH")</f>
        <v>0</v>
      </c>
      <c r="N23" s="22">
        <f ca="1">+GETPIVOTDATA("XBC4",'bauchinh (2016)'!$A$3,"MA_HT","SKT","MA_QH","RDD")</f>
        <v>0</v>
      </c>
      <c r="O23" s="22">
        <f ca="1">+GETPIVOTDATA("XBC4",'bauchinh (2016)'!$A$3,"MA_HT","SKT","MA_QH","NTS")</f>
        <v>0</v>
      </c>
      <c r="P23" s="22">
        <f ca="1">+GETPIVOTDATA("XBC4",'bauchinh (2016)'!$A$3,"MA_HT","SKT","MA_QH","LMU")</f>
        <v>0</v>
      </c>
      <c r="Q23" s="22">
        <f ca="1">+GETPIVOTDATA("XBC4",'bauchinh (2016)'!$A$3,"MA_HT","SKT","MA_QH","NKH")</f>
        <v>0</v>
      </c>
      <c r="R23" s="42">
        <f ca="1">SUM(S23:U23,W23:AA23,AN23:BD23)</f>
        <v>0</v>
      </c>
      <c r="S23" s="22">
        <f ca="1">+GETPIVOTDATA("XBC4",'bauchinh (2016)'!$A$3,"MA_HT","SKT","MA_QH","CQP")</f>
        <v>0</v>
      </c>
      <c r="T23" s="22">
        <f ca="1">+GETPIVOTDATA("XBC4",'bauchinh (2016)'!$A$3,"MA_HT","SKT","MA_QH","CAN")</f>
        <v>0</v>
      </c>
      <c r="U23" s="22">
        <f ca="1">+GETPIVOTDATA("XBC4",'bauchinh (2016)'!$A$3,"MA_HT","SKT","MA_QH","SKK")</f>
        <v>0</v>
      </c>
      <c r="V23" s="43" t="e">
        <f ca="1">$D23-$BF23</f>
        <v>#REF!</v>
      </c>
      <c r="W23" s="22">
        <f ca="1">+GETPIVOTDATA("XBC4",'bauchinh (2016)'!$A$3,"MA_HT","SKT","MA_QH","SKN")</f>
        <v>0</v>
      </c>
      <c r="X23" s="22">
        <f ca="1">+GETPIVOTDATA("XBC4",'bauchinh (2016)'!$A$3,"MA_HT","SKT","MA_QH","TMD")</f>
        <v>0</v>
      </c>
      <c r="Y23" s="22">
        <f ca="1">+GETPIVOTDATA("XBC4",'bauchinh (2016)'!$A$3,"MA_HT","SKT","MA_QH","SKC")</f>
        <v>0</v>
      </c>
      <c r="Z23" s="22">
        <f ca="1">+GETPIVOTDATA("XBC4",'bauchinh (2016)'!$A$3,"MA_HT","SKT","MA_QH","SKS")</f>
        <v>0</v>
      </c>
      <c r="AA23" s="52">
        <f ca="1" t="shared" si="12"/>
        <v>0</v>
      </c>
      <c r="AB23" s="22">
        <f ca="1">+GETPIVOTDATA("XBC4",'bauchinh (2016)'!$A$3,"MA_HT","SKT","MA_QH","DGT")</f>
        <v>0</v>
      </c>
      <c r="AC23" s="22">
        <f ca="1">+GETPIVOTDATA("XBC4",'bauchinh (2016)'!$A$3,"MA_HT","SKT","MA_QH","DTL")</f>
        <v>0</v>
      </c>
      <c r="AD23" s="22">
        <f ca="1">+GETPIVOTDATA("XBC4",'bauchinh (2016)'!$A$3,"MA_HT","SKT","MA_QH","DNL")</f>
        <v>0</v>
      </c>
      <c r="AE23" s="22">
        <f ca="1">+GETPIVOTDATA("XBC4",'bauchinh (2016)'!$A$3,"MA_HT","SKT","MA_QH","DBV")</f>
        <v>0</v>
      </c>
      <c r="AF23" s="22">
        <f ca="1">+GETPIVOTDATA("XBC4",'bauchinh (2016)'!$A$3,"MA_HT","SKT","MA_QH","DVH")</f>
        <v>0</v>
      </c>
      <c r="AG23" s="22">
        <f ca="1">+GETPIVOTDATA("XBC4",'bauchinh (2016)'!$A$3,"MA_HT","SKT","MA_QH","DYT")</f>
        <v>0</v>
      </c>
      <c r="AH23" s="22">
        <f ca="1">+GETPIVOTDATA("XBC4",'bauchinh (2016)'!$A$3,"MA_HT","SKT","MA_QH","DGD")</f>
        <v>0</v>
      </c>
      <c r="AI23" s="22">
        <f ca="1">+GETPIVOTDATA("XBC4",'bauchinh (2016)'!$A$3,"MA_HT","SKT","MA_QH","DTT")</f>
        <v>0</v>
      </c>
      <c r="AJ23" s="22">
        <f ca="1">+GETPIVOTDATA("XBC4",'bauchinh (2016)'!$A$3,"MA_HT","SKT","MA_QH","NCK")</f>
        <v>0</v>
      </c>
      <c r="AK23" s="22">
        <f ca="1">+GETPIVOTDATA("XBC4",'bauchinh (2016)'!$A$3,"MA_HT","SKT","MA_QH","DXH")</f>
        <v>0</v>
      </c>
      <c r="AL23" s="22">
        <f ca="1">+GETPIVOTDATA("XBC4",'bauchinh (2016)'!$A$3,"MA_HT","SKT","MA_QH","DCH")</f>
        <v>0</v>
      </c>
      <c r="AM23" s="22">
        <f ca="1">+GETPIVOTDATA("XBC4",'bauchinh (2016)'!$A$3,"MA_HT","SKT","MA_QH","DKG")</f>
        <v>0</v>
      </c>
      <c r="AN23" s="22">
        <f ca="1">+GETPIVOTDATA("XBC4",'bauchinh (2016)'!$A$3,"MA_HT","SKT","MA_QH","DDT")</f>
        <v>0</v>
      </c>
      <c r="AO23" s="22">
        <f ca="1">+GETPIVOTDATA("XBC4",'bauchinh (2016)'!$A$3,"MA_HT","SKT","MA_QH","DDL")</f>
        <v>0</v>
      </c>
      <c r="AP23" s="22">
        <f ca="1">+GETPIVOTDATA("XBC4",'bauchinh (2016)'!$A$3,"MA_HT","SKT","MA_QH","DRA")</f>
        <v>0</v>
      </c>
      <c r="AQ23" s="22">
        <f ca="1">+GETPIVOTDATA("XBC4",'bauchinh (2016)'!$A$3,"MA_HT","SKT","MA_QH","ONT")</f>
        <v>0</v>
      </c>
      <c r="AR23" s="22">
        <f ca="1">+GETPIVOTDATA("XBC4",'bauchinh (2016)'!$A$3,"MA_HT","SKT","MA_QH","ODT")</f>
        <v>0</v>
      </c>
      <c r="AS23" s="22">
        <f ca="1">+GETPIVOTDATA("XBC4",'bauchinh (2016)'!$A$3,"MA_HT","SKT","MA_QH","TSC")</f>
        <v>0</v>
      </c>
      <c r="AT23" s="22">
        <f ca="1">+GETPIVOTDATA("XBC4",'bauchinh (2016)'!$A$3,"MA_HT","SKT","MA_QH","DTS")</f>
        <v>0</v>
      </c>
      <c r="AU23" s="22">
        <f ca="1">+GETPIVOTDATA("XBC4",'bauchinh (2016)'!$A$3,"MA_HT","SKT","MA_QH","DNG")</f>
        <v>0</v>
      </c>
      <c r="AV23" s="22">
        <f ca="1">+GETPIVOTDATA("XBC4",'bauchinh (2016)'!$A$3,"MA_HT","SKT","MA_QH","TON")</f>
        <v>0</v>
      </c>
      <c r="AW23" s="22">
        <f ca="1">+GETPIVOTDATA("XBC4",'bauchinh (2016)'!$A$3,"MA_HT","SKT","MA_QH","NTD")</f>
        <v>0</v>
      </c>
      <c r="AX23" s="22">
        <f ca="1">+GETPIVOTDATA("XBC4",'bauchinh (2016)'!$A$3,"MA_HT","SKT","MA_QH","SKX")</f>
        <v>0</v>
      </c>
      <c r="AY23" s="22">
        <f ca="1">+GETPIVOTDATA("XBC4",'bauchinh (2016)'!$A$3,"MA_HT","SKT","MA_QH","DSH")</f>
        <v>0</v>
      </c>
      <c r="AZ23" s="22">
        <f ca="1">+GETPIVOTDATA("XBC4",'bauchinh (2016)'!$A$3,"MA_HT","SKT","MA_QH","DKV")</f>
        <v>0</v>
      </c>
      <c r="BA23" s="89">
        <f ca="1">+GETPIVOTDATA("XBC4",'bauchinh (2016)'!$A$3,"MA_HT","SKT","MA_QH","TIN")</f>
        <v>0</v>
      </c>
      <c r="BB23" s="50">
        <f ca="1">+GETPIVOTDATA("XBC4",'bauchinh (2016)'!$A$3,"MA_HT","SKT","MA_QH","SON")</f>
        <v>0</v>
      </c>
      <c r="BC23" s="50">
        <f ca="1">+GETPIVOTDATA("XBC4",'bauchinh (2016)'!$A$3,"MA_HT","SKT","MA_QH","MNC")</f>
        <v>0</v>
      </c>
      <c r="BD23" s="22">
        <f ca="1">+GETPIVOTDATA("XBC4",'bauchinh (2016)'!$A$3,"MA_HT","SKT","MA_QH","PNK")</f>
        <v>0</v>
      </c>
      <c r="BE23" s="71">
        <f ca="1">+GETPIVOTDATA("XBC4",'bauchinh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+GETPIVOTDATA("XBC4",'bauchinh (2016)'!$A$3,"MA_HT","SKN","MA_QH","LUC")</f>
        <v>0</v>
      </c>
      <c r="H24" s="22">
        <f ca="1">+GETPIVOTDATA("XBC4",'bauchinh (2016)'!$A$3,"MA_HT","SKN","MA_QH","LUK")</f>
        <v>0</v>
      </c>
      <c r="I24" s="22">
        <f ca="1">+GETPIVOTDATA("XBC4",'bauchinh (2016)'!$A$3,"MA_HT","SKN","MA_QH","LUN")</f>
        <v>0</v>
      </c>
      <c r="J24" s="22">
        <f ca="1">+GETPIVOTDATA("XBC4",'bauchinh (2016)'!$A$3,"MA_HT","SKN","MA_QH","HNK")</f>
        <v>0</v>
      </c>
      <c r="K24" s="22">
        <f ca="1">+GETPIVOTDATA("XBC4",'bauchinh (2016)'!$A$3,"MA_HT","SKN","MA_QH","CLN")</f>
        <v>0</v>
      </c>
      <c r="L24" s="22">
        <f ca="1">+GETPIVOTDATA("XBC4",'bauchinh (2016)'!$A$3,"MA_HT","SKN","MA_QH","RSX")</f>
        <v>0</v>
      </c>
      <c r="M24" s="22">
        <f ca="1">+GETPIVOTDATA("XBC4",'bauchinh (2016)'!$A$3,"MA_HT","SKN","MA_QH","RPH")</f>
        <v>0</v>
      </c>
      <c r="N24" s="22">
        <f ca="1">+GETPIVOTDATA("XBC4",'bauchinh (2016)'!$A$3,"MA_HT","SKN","MA_QH","RDD")</f>
        <v>0</v>
      </c>
      <c r="O24" s="22">
        <f ca="1">+GETPIVOTDATA("XBC4",'bauchinh (2016)'!$A$3,"MA_HT","SKN","MA_QH","NTS")</f>
        <v>0</v>
      </c>
      <c r="P24" s="22">
        <f ca="1">+GETPIVOTDATA("XBC4",'bauchinh (2016)'!$A$3,"MA_HT","SKN","MA_QH","LMU")</f>
        <v>0</v>
      </c>
      <c r="Q24" s="22">
        <f ca="1">+GETPIVOTDATA("XBC4",'bauchinh (2016)'!$A$3,"MA_HT","SKN","MA_QH","NKH")</f>
        <v>0</v>
      </c>
      <c r="R24" s="42">
        <f ca="1">SUM(S24:V24,X24:AA24,AN24:BD24)</f>
        <v>0</v>
      </c>
      <c r="S24" s="22">
        <f ca="1">+GETPIVOTDATA("XBC4",'bauchinh (2016)'!$A$3,"MA_HT","SKN","MA_QH","CQP")</f>
        <v>0</v>
      </c>
      <c r="T24" s="22">
        <f ca="1">+GETPIVOTDATA("XBC4",'bauchinh (2016)'!$A$3,"MA_HT","SKN","MA_QH","CAN")</f>
        <v>0</v>
      </c>
      <c r="U24" s="22">
        <f ca="1">+GETPIVOTDATA("XBC4",'bauchinh (2016)'!$A$3,"MA_HT","SKN","MA_QH","SKK")</f>
        <v>0</v>
      </c>
      <c r="V24" s="22">
        <f ca="1">+GETPIVOTDATA("XBC4",'bauchinh (2016)'!$A$3,"MA_HT","SKN","MA_QH","SKT")</f>
        <v>0</v>
      </c>
      <c r="W24" s="43" t="e">
        <f ca="1">$D24-$BF24</f>
        <v>#REF!</v>
      </c>
      <c r="X24" s="22">
        <f ca="1">+GETPIVOTDATA("XBC4",'bauchinh (2016)'!$A$3,"MA_HT","SKN","MA_QH","TMD")</f>
        <v>0</v>
      </c>
      <c r="Y24" s="22">
        <f ca="1">+GETPIVOTDATA("XBC4",'bauchinh (2016)'!$A$3,"MA_HT","SKN","MA_QH","SKC")</f>
        <v>0</v>
      </c>
      <c r="Z24" s="22">
        <f ca="1">+GETPIVOTDATA("XBC4",'bauchinh (2016)'!$A$3,"MA_HT","SKN","MA_QH","SKS")</f>
        <v>0</v>
      </c>
      <c r="AA24" s="52">
        <f ca="1" t="shared" si="12"/>
        <v>0</v>
      </c>
      <c r="AB24" s="22">
        <f ca="1">+GETPIVOTDATA("XBC4",'bauchinh (2016)'!$A$3,"MA_HT","SKN","MA_QH","DGT")</f>
        <v>0</v>
      </c>
      <c r="AC24" s="22">
        <f ca="1">+GETPIVOTDATA("XBC4",'bauchinh (2016)'!$A$3,"MA_HT","SKN","MA_QH","DTL")</f>
        <v>0</v>
      </c>
      <c r="AD24" s="22">
        <f ca="1">+GETPIVOTDATA("XBC4",'bauchinh (2016)'!$A$3,"MA_HT","SKN","MA_QH","DNL")</f>
        <v>0</v>
      </c>
      <c r="AE24" s="22">
        <f ca="1">+GETPIVOTDATA("XBC4",'bauchinh (2016)'!$A$3,"MA_HT","SKN","MA_QH","DBV")</f>
        <v>0</v>
      </c>
      <c r="AF24" s="22">
        <f ca="1">+GETPIVOTDATA("XBC4",'bauchinh (2016)'!$A$3,"MA_HT","SKN","MA_QH","DVH")</f>
        <v>0</v>
      </c>
      <c r="AG24" s="22">
        <f ca="1">+GETPIVOTDATA("XBC4",'bauchinh (2016)'!$A$3,"MA_HT","SKN","MA_QH","DYT")</f>
        <v>0</v>
      </c>
      <c r="AH24" s="22">
        <f ca="1">+GETPIVOTDATA("XBC4",'bauchinh (2016)'!$A$3,"MA_HT","SKN","MA_QH","DGD")</f>
        <v>0</v>
      </c>
      <c r="AI24" s="22">
        <f ca="1">+GETPIVOTDATA("XBC4",'bauchinh (2016)'!$A$3,"MA_HT","SKN","MA_QH","DTT")</f>
        <v>0</v>
      </c>
      <c r="AJ24" s="22">
        <f ca="1">+GETPIVOTDATA("XBC4",'bauchinh (2016)'!$A$3,"MA_HT","SKN","MA_QH","NCK")</f>
        <v>0</v>
      </c>
      <c r="AK24" s="22">
        <f ca="1">+GETPIVOTDATA("XBC4",'bauchinh (2016)'!$A$3,"MA_HT","SKN","MA_QH","DXH")</f>
        <v>0</v>
      </c>
      <c r="AL24" s="22">
        <f ca="1">+GETPIVOTDATA("XBC4",'bauchinh (2016)'!$A$3,"MA_HT","SKN","MA_QH","DCH")</f>
        <v>0</v>
      </c>
      <c r="AM24" s="22">
        <f ca="1">+GETPIVOTDATA("XBC4",'bauchinh (2016)'!$A$3,"MA_HT","SKN","MA_QH","DKG")</f>
        <v>0</v>
      </c>
      <c r="AN24" s="22">
        <f ca="1">+GETPIVOTDATA("XBC4",'bauchinh (2016)'!$A$3,"MA_HT","SKN","MA_QH","DDT")</f>
        <v>0</v>
      </c>
      <c r="AO24" s="22">
        <f ca="1">+GETPIVOTDATA("XBC4",'bauchinh (2016)'!$A$3,"MA_HT","SKN","MA_QH","DDL")</f>
        <v>0</v>
      </c>
      <c r="AP24" s="22">
        <f ca="1">+GETPIVOTDATA("XBC4",'bauchinh (2016)'!$A$3,"MA_HT","SKN","MA_QH","DRA")</f>
        <v>0</v>
      </c>
      <c r="AQ24" s="22">
        <f ca="1">+GETPIVOTDATA("XBC4",'bauchinh (2016)'!$A$3,"MA_HT","SKN","MA_QH","ONT")</f>
        <v>0</v>
      </c>
      <c r="AR24" s="22">
        <f ca="1">+GETPIVOTDATA("XBC4",'bauchinh (2016)'!$A$3,"MA_HT","SKN","MA_QH","ODT")</f>
        <v>0</v>
      </c>
      <c r="AS24" s="22">
        <f ca="1">+GETPIVOTDATA("XBC4",'bauchinh (2016)'!$A$3,"MA_HT","SKN","MA_QH","TSC")</f>
        <v>0</v>
      </c>
      <c r="AT24" s="22">
        <f ca="1">+GETPIVOTDATA("XBC4",'bauchinh (2016)'!$A$3,"MA_HT","SKN","MA_QH","DTS")</f>
        <v>0</v>
      </c>
      <c r="AU24" s="22">
        <f ca="1">+GETPIVOTDATA("XBC4",'bauchinh (2016)'!$A$3,"MA_HT","SKN","MA_QH","DNG")</f>
        <v>0</v>
      </c>
      <c r="AV24" s="22">
        <f ca="1">+GETPIVOTDATA("XBC4",'bauchinh (2016)'!$A$3,"MA_HT","SKN","MA_QH","TON")</f>
        <v>0</v>
      </c>
      <c r="AW24" s="22">
        <f ca="1">+GETPIVOTDATA("XBC4",'bauchinh (2016)'!$A$3,"MA_HT","SKN","MA_QH","NTD")</f>
        <v>0</v>
      </c>
      <c r="AX24" s="22">
        <f ca="1">+GETPIVOTDATA("XBC4",'bauchinh (2016)'!$A$3,"MA_HT","SKN","MA_QH","SKX")</f>
        <v>0</v>
      </c>
      <c r="AY24" s="22">
        <f ca="1">+GETPIVOTDATA("XBC4",'bauchinh (2016)'!$A$3,"MA_HT","SKN","MA_QH","DSH")</f>
        <v>0</v>
      </c>
      <c r="AZ24" s="22">
        <f ca="1">+GETPIVOTDATA("XBC4",'bauchinh (2016)'!$A$3,"MA_HT","SKN","MA_QH","DKV")</f>
        <v>0</v>
      </c>
      <c r="BA24" s="89">
        <f ca="1">+GETPIVOTDATA("XBC4",'bauchinh (2016)'!$A$3,"MA_HT","SKN","MA_QH","TIN")</f>
        <v>0</v>
      </c>
      <c r="BB24" s="50">
        <f ca="1">+GETPIVOTDATA("XBC4",'bauchinh (2016)'!$A$3,"MA_HT","SKN","MA_QH","SON")</f>
        <v>0</v>
      </c>
      <c r="BC24" s="50">
        <f ca="1">+GETPIVOTDATA("XBC4",'bauchinh (2016)'!$A$3,"MA_HT","SKN","MA_QH","MNC")</f>
        <v>0</v>
      </c>
      <c r="BD24" s="22">
        <f ca="1">+GETPIVOTDATA("XBC4",'bauchinh (2016)'!$A$3,"MA_HT","SKN","MA_QH","PNK")</f>
        <v>0</v>
      </c>
      <c r="BE24" s="71">
        <f ca="1">+GETPIVOTDATA("XBC4",'bauchinh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+GETPIVOTDATA("XBC4",'bauchinh (2016)'!$A$3,"MA_HT","TMD","MA_QH","LUC")</f>
        <v>0</v>
      </c>
      <c r="H25" s="22">
        <f ca="1">+GETPIVOTDATA("XBC4",'bauchinh (2016)'!$A$3,"MA_HT","TMD","MA_QH","LUK")</f>
        <v>0</v>
      </c>
      <c r="I25" s="22">
        <f ca="1">+GETPIVOTDATA("XBC4",'bauchinh (2016)'!$A$3,"MA_HT","TMD","MA_QH","LUN")</f>
        <v>0</v>
      </c>
      <c r="J25" s="22">
        <f ca="1">+GETPIVOTDATA("XBC4",'bauchinh (2016)'!$A$3,"MA_HT","TMD","MA_QH","HNK")</f>
        <v>0</v>
      </c>
      <c r="K25" s="22">
        <f ca="1">+GETPIVOTDATA("XBC4",'bauchinh (2016)'!$A$3,"MA_HT","TMD","MA_QH","CLN")</f>
        <v>0</v>
      </c>
      <c r="L25" s="22">
        <f ca="1">+GETPIVOTDATA("XBC4",'bauchinh (2016)'!$A$3,"MA_HT","TMD","MA_QH","RSX")</f>
        <v>0</v>
      </c>
      <c r="M25" s="22">
        <f ca="1">+GETPIVOTDATA("XBC4",'bauchinh (2016)'!$A$3,"MA_HT","TMD","MA_QH","RPH")</f>
        <v>0</v>
      </c>
      <c r="N25" s="22">
        <f ca="1">+GETPIVOTDATA("XBC4",'bauchinh (2016)'!$A$3,"MA_HT","TMD","MA_QH","RDD")</f>
        <v>0</v>
      </c>
      <c r="O25" s="22">
        <f ca="1">+GETPIVOTDATA("XBC4",'bauchinh (2016)'!$A$3,"MA_HT","TMD","MA_QH","NTS")</f>
        <v>0</v>
      </c>
      <c r="P25" s="22">
        <f ca="1">+GETPIVOTDATA("XBC4",'bauchinh (2016)'!$A$3,"MA_HT","TMD","MA_QH","LMU")</f>
        <v>0</v>
      </c>
      <c r="Q25" s="22">
        <f ca="1">+GETPIVOTDATA("XBC4",'bauchinh (2016)'!$A$3,"MA_HT","TMD","MA_QH","NKH")</f>
        <v>0</v>
      </c>
      <c r="R25" s="42">
        <f ca="1">SUM(S25:W25,Y25:AA25,AN25:BD25)</f>
        <v>0</v>
      </c>
      <c r="S25" s="22">
        <f ca="1">+GETPIVOTDATA("XBC4",'bauchinh (2016)'!$A$3,"MA_HT","TMD","MA_QH","CQP")</f>
        <v>0</v>
      </c>
      <c r="T25" s="22">
        <f ca="1">+GETPIVOTDATA("XBC4",'bauchinh (2016)'!$A$3,"MA_HT","TMD","MA_QH","CAN")</f>
        <v>0</v>
      </c>
      <c r="U25" s="22">
        <f ca="1">+GETPIVOTDATA("XBC4",'bauchinh (2016)'!$A$3,"MA_HT","TMD","MA_QH","SKK")</f>
        <v>0</v>
      </c>
      <c r="V25" s="22">
        <f ca="1">+GETPIVOTDATA("XBC4",'bauchinh (2016)'!$A$3,"MA_HT","TMD","MA_QH","SKT")</f>
        <v>0</v>
      </c>
      <c r="W25" s="22">
        <f ca="1">+GETPIVOTDATA("XBC4",'bauchinh (2016)'!$A$3,"MA_HT","TMD","MA_QH","SKN")</f>
        <v>0</v>
      </c>
      <c r="X25" s="43" t="e">
        <f ca="1">$D25-$BF25</f>
        <v>#REF!</v>
      </c>
      <c r="Y25" s="22">
        <f ca="1">+GETPIVOTDATA("XBC4",'bauchinh (2016)'!$A$3,"MA_HT","TMD","MA_QH","SKC")</f>
        <v>0</v>
      </c>
      <c r="Z25" s="22">
        <f ca="1">+GETPIVOTDATA("XBC4",'bauchinh (2016)'!$A$3,"MA_HT","TMD","MA_QH","SKS")</f>
        <v>0</v>
      </c>
      <c r="AA25" s="52">
        <f ca="1" t="shared" si="12"/>
        <v>0</v>
      </c>
      <c r="AB25" s="22">
        <f ca="1">+GETPIVOTDATA("XBC4",'bauchinh (2016)'!$A$3,"MA_HT","TMD","MA_QH","DGT")</f>
        <v>0</v>
      </c>
      <c r="AC25" s="22">
        <f ca="1">+GETPIVOTDATA("XBC4",'bauchinh (2016)'!$A$3,"MA_HT","TMD","MA_QH","DTL")</f>
        <v>0</v>
      </c>
      <c r="AD25" s="22">
        <f ca="1">+GETPIVOTDATA("XBC4",'bauchinh (2016)'!$A$3,"MA_HT","TMD","MA_QH","DNL")</f>
        <v>0</v>
      </c>
      <c r="AE25" s="22">
        <f ca="1">+GETPIVOTDATA("XBC4",'bauchinh (2016)'!$A$3,"MA_HT","TMD","MA_QH","DBV")</f>
        <v>0</v>
      </c>
      <c r="AF25" s="22">
        <f ca="1">+GETPIVOTDATA("XBC4",'bauchinh (2016)'!$A$3,"MA_HT","TMD","MA_QH","DVH")</f>
        <v>0</v>
      </c>
      <c r="AG25" s="22">
        <f ca="1">+GETPIVOTDATA("XBC4",'bauchinh (2016)'!$A$3,"MA_HT","TMD","MA_QH","DYT")</f>
        <v>0</v>
      </c>
      <c r="AH25" s="22">
        <f ca="1">+GETPIVOTDATA("XBC4",'bauchinh (2016)'!$A$3,"MA_HT","TMD","MA_QH","DGD")</f>
        <v>0</v>
      </c>
      <c r="AI25" s="22">
        <f ca="1">+GETPIVOTDATA("XBC4",'bauchinh (2016)'!$A$3,"MA_HT","TMD","MA_QH","DTT")</f>
        <v>0</v>
      </c>
      <c r="AJ25" s="22">
        <f ca="1">+GETPIVOTDATA("XBC4",'bauchinh (2016)'!$A$3,"MA_HT","TMD","MA_QH","NCK")</f>
        <v>0</v>
      </c>
      <c r="AK25" s="22">
        <f ca="1">+GETPIVOTDATA("XBC4",'bauchinh (2016)'!$A$3,"MA_HT","TMD","MA_QH","DXH")</f>
        <v>0</v>
      </c>
      <c r="AL25" s="22">
        <f ca="1">+GETPIVOTDATA("XBC4",'bauchinh (2016)'!$A$3,"MA_HT","TMD","MA_QH","DCH")</f>
        <v>0</v>
      </c>
      <c r="AM25" s="22">
        <f ca="1">+GETPIVOTDATA("XBC4",'bauchinh (2016)'!$A$3,"MA_HT","TMD","MA_QH","DKG")</f>
        <v>0</v>
      </c>
      <c r="AN25" s="22">
        <f ca="1">+GETPIVOTDATA("XBC4",'bauchinh (2016)'!$A$3,"MA_HT","TMD","MA_QH","DDT")</f>
        <v>0</v>
      </c>
      <c r="AO25" s="22">
        <f ca="1">+GETPIVOTDATA("XBC4",'bauchinh (2016)'!$A$3,"MA_HT","TMD","MA_QH","DDL")</f>
        <v>0</v>
      </c>
      <c r="AP25" s="22">
        <f ca="1">+GETPIVOTDATA("XBC4",'bauchinh (2016)'!$A$3,"MA_HT","TMD","MA_QH","DRA")</f>
        <v>0</v>
      </c>
      <c r="AQ25" s="22">
        <f ca="1">+GETPIVOTDATA("XBC4",'bauchinh (2016)'!$A$3,"MA_HT","TMD","MA_QH","ONT")</f>
        <v>0</v>
      </c>
      <c r="AR25" s="22">
        <f ca="1">+GETPIVOTDATA("XBC4",'bauchinh (2016)'!$A$3,"MA_HT","TMD","MA_QH","ODT")</f>
        <v>0</v>
      </c>
      <c r="AS25" s="22">
        <f ca="1">+GETPIVOTDATA("XBC4",'bauchinh (2016)'!$A$3,"MA_HT","TMD","MA_QH","TSC")</f>
        <v>0</v>
      </c>
      <c r="AT25" s="22">
        <f ca="1">+GETPIVOTDATA("XBC4",'bauchinh (2016)'!$A$3,"MA_HT","TMD","MA_QH","DTS")</f>
        <v>0</v>
      </c>
      <c r="AU25" s="22">
        <f ca="1">+GETPIVOTDATA("XBC4",'bauchinh (2016)'!$A$3,"MA_HT","TMD","MA_QH","DNG")</f>
        <v>0</v>
      </c>
      <c r="AV25" s="22">
        <f ca="1">+GETPIVOTDATA("XBC4",'bauchinh (2016)'!$A$3,"MA_HT","TMD","MA_QH","TON")</f>
        <v>0</v>
      </c>
      <c r="AW25" s="22">
        <f ca="1">+GETPIVOTDATA("XBC4",'bauchinh (2016)'!$A$3,"MA_HT","TMD","MA_QH","NTD")</f>
        <v>0</v>
      </c>
      <c r="AX25" s="22">
        <f ca="1">+GETPIVOTDATA("XBC4",'bauchinh (2016)'!$A$3,"MA_HT","TMD","MA_QH","SKX")</f>
        <v>0</v>
      </c>
      <c r="AY25" s="22">
        <f ca="1">+GETPIVOTDATA("XBC4",'bauchinh (2016)'!$A$3,"MA_HT","TMD","MA_QH","DSH")</f>
        <v>0</v>
      </c>
      <c r="AZ25" s="22">
        <f ca="1">+GETPIVOTDATA("XBC4",'bauchinh (2016)'!$A$3,"MA_HT","TMD","MA_QH","DKV")</f>
        <v>0</v>
      </c>
      <c r="BA25" s="89">
        <f ca="1">+GETPIVOTDATA("XBC4",'bauchinh (2016)'!$A$3,"MA_HT","TMD","MA_QH","TIN")</f>
        <v>0</v>
      </c>
      <c r="BB25" s="50">
        <f ca="1">+GETPIVOTDATA("XBC4",'bauchinh (2016)'!$A$3,"MA_HT","TMD","MA_QH","SON")</f>
        <v>0</v>
      </c>
      <c r="BC25" s="50">
        <f ca="1">+GETPIVOTDATA("XBC4",'bauchinh (2016)'!$A$3,"MA_HT","TMD","MA_QH","MNC")</f>
        <v>0</v>
      </c>
      <c r="BD25" s="22">
        <f ca="1">+GETPIVOTDATA("XBC4",'bauchinh (2016)'!$A$3,"MA_HT","TMD","MA_QH","PNK")</f>
        <v>0</v>
      </c>
      <c r="BE25" s="71">
        <f ca="1">+GETPIVOTDATA("XBC4",'bauchinh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+GETPIVOTDATA("XBC4",'bauchinh (2016)'!$A$3,"MA_HT","SKC","MA_QH","LUC")</f>
        <v>0</v>
      </c>
      <c r="H26" s="22">
        <f ca="1">+GETPIVOTDATA("XBC4",'bauchinh (2016)'!$A$3,"MA_HT","SKC","MA_QH","LUK")</f>
        <v>0</v>
      </c>
      <c r="I26" s="22">
        <f ca="1">+GETPIVOTDATA("XBC4",'bauchinh (2016)'!$A$3,"MA_HT","SKC","MA_QH","LUN")</f>
        <v>0</v>
      </c>
      <c r="J26" s="22">
        <f ca="1">+GETPIVOTDATA("XBC4",'bauchinh (2016)'!$A$3,"MA_HT","SKC","MA_QH","HNK")</f>
        <v>0</v>
      </c>
      <c r="K26" s="22">
        <f ca="1">+GETPIVOTDATA("XBC4",'bauchinh (2016)'!$A$3,"MA_HT","SKC","MA_QH","CLN")</f>
        <v>0</v>
      </c>
      <c r="L26" s="22">
        <f ca="1">+GETPIVOTDATA("XBC4",'bauchinh (2016)'!$A$3,"MA_HT","SKC","MA_QH","RSX")</f>
        <v>0</v>
      </c>
      <c r="M26" s="22">
        <f ca="1">+GETPIVOTDATA("XBC4",'bauchinh (2016)'!$A$3,"MA_HT","SKC","MA_QH","RPH")</f>
        <v>0</v>
      </c>
      <c r="N26" s="22">
        <f ca="1">+GETPIVOTDATA("XBC4",'bauchinh (2016)'!$A$3,"MA_HT","SKC","MA_QH","RDD")</f>
        <v>0</v>
      </c>
      <c r="O26" s="22">
        <f ca="1">+GETPIVOTDATA("XBC4",'bauchinh (2016)'!$A$3,"MA_HT","SKC","MA_QH","NTS")</f>
        <v>0</v>
      </c>
      <c r="P26" s="22">
        <f ca="1">+GETPIVOTDATA("XBC4",'bauchinh (2016)'!$A$3,"MA_HT","SKC","MA_QH","LMU")</f>
        <v>0</v>
      </c>
      <c r="Q26" s="22">
        <f ca="1">+GETPIVOTDATA("XBC4",'bauchinh (2016)'!$A$3,"MA_HT","SKC","MA_QH","NKH")</f>
        <v>0</v>
      </c>
      <c r="R26" s="42">
        <f ca="1">SUM(S26:X26,Z26,AN26:BD26)</f>
        <v>0</v>
      </c>
      <c r="S26" s="22">
        <f ca="1">+GETPIVOTDATA("XBC4",'bauchinh (2016)'!$A$3,"MA_HT","SKC","MA_QH","CQP")</f>
        <v>0</v>
      </c>
      <c r="T26" s="22">
        <f ca="1">+GETPIVOTDATA("XBC4",'bauchinh (2016)'!$A$3,"MA_HT","SKC","MA_QH","CAN")</f>
        <v>0</v>
      </c>
      <c r="U26" s="22">
        <f ca="1">+GETPIVOTDATA("XBC4",'bauchinh (2016)'!$A$3,"MA_HT","SKC","MA_QH","SKK")</f>
        <v>0</v>
      </c>
      <c r="V26" s="22">
        <f ca="1">+GETPIVOTDATA("XBC4",'bauchinh (2016)'!$A$3,"MA_HT","SKC","MA_QH","SKT")</f>
        <v>0</v>
      </c>
      <c r="W26" s="22">
        <f ca="1">+GETPIVOTDATA("XBC4",'bauchinh (2016)'!$A$3,"MA_HT","SKC","MA_QH","SKN")</f>
        <v>0</v>
      </c>
      <c r="X26" s="22">
        <f ca="1">+GETPIVOTDATA("XBC4",'bauchinh (2016)'!$A$3,"MA_HT","SKC","MA_QH","TMD")</f>
        <v>0</v>
      </c>
      <c r="Y26" s="43" t="e">
        <f ca="1">$D26-$BF26</f>
        <v>#REF!</v>
      </c>
      <c r="Z26" s="22">
        <f ca="1">+GETPIVOTDATA("XBC4",'bauchinh (2016)'!$A$3,"MA_HT","SKC","MA_QH","SKS")</f>
        <v>0</v>
      </c>
      <c r="AA26" s="52">
        <f ca="1" t="shared" si="12"/>
        <v>0</v>
      </c>
      <c r="AB26" s="22">
        <f ca="1">+GETPIVOTDATA("XBC4",'bauchinh (2016)'!$A$3,"MA_HT","SKC","MA_QH","DGT")</f>
        <v>0</v>
      </c>
      <c r="AC26" s="22">
        <f ca="1">+GETPIVOTDATA("XBC4",'bauchinh (2016)'!$A$3,"MA_HT","SKC","MA_QH","DTL")</f>
        <v>0</v>
      </c>
      <c r="AD26" s="22">
        <f ca="1">+GETPIVOTDATA("XBC4",'bauchinh (2016)'!$A$3,"MA_HT","SKC","MA_QH","DNL")</f>
        <v>0</v>
      </c>
      <c r="AE26" s="22">
        <f ca="1">+GETPIVOTDATA("XBC4",'bauchinh (2016)'!$A$3,"MA_HT","SKC","MA_QH","DBV")</f>
        <v>0</v>
      </c>
      <c r="AF26" s="22">
        <f ca="1">+GETPIVOTDATA("XBC4",'bauchinh (2016)'!$A$3,"MA_HT","SKC","MA_QH","DVH")</f>
        <v>0</v>
      </c>
      <c r="AG26" s="22">
        <f ca="1">+GETPIVOTDATA("XBC4",'bauchinh (2016)'!$A$3,"MA_HT","SKC","MA_QH","DYT")</f>
        <v>0</v>
      </c>
      <c r="AH26" s="22">
        <f ca="1">+GETPIVOTDATA("XBC4",'bauchinh (2016)'!$A$3,"MA_HT","SKC","MA_QH","DGD")</f>
        <v>0</v>
      </c>
      <c r="AI26" s="22">
        <f ca="1">+GETPIVOTDATA("XBC4",'bauchinh (2016)'!$A$3,"MA_HT","SKC","MA_QH","DTT")</f>
        <v>0</v>
      </c>
      <c r="AJ26" s="22">
        <f ca="1">+GETPIVOTDATA("XBC4",'bauchinh (2016)'!$A$3,"MA_HT","SKC","MA_QH","NCK")</f>
        <v>0</v>
      </c>
      <c r="AK26" s="22">
        <f ca="1">+GETPIVOTDATA("XBC4",'bauchinh (2016)'!$A$3,"MA_HT","SKC","MA_QH","DXH")</f>
        <v>0</v>
      </c>
      <c r="AL26" s="22">
        <f ca="1">+GETPIVOTDATA("XBC4",'bauchinh (2016)'!$A$3,"MA_HT","SKC","MA_QH","DCH")</f>
        <v>0</v>
      </c>
      <c r="AM26" s="22">
        <f ca="1">+GETPIVOTDATA("XBC4",'bauchinh (2016)'!$A$3,"MA_HT","SKC","MA_QH","DKG")</f>
        <v>0</v>
      </c>
      <c r="AN26" s="22">
        <f ca="1">+GETPIVOTDATA("XBC4",'bauchinh (2016)'!$A$3,"MA_HT","SKC","MA_QH","DDT")</f>
        <v>0</v>
      </c>
      <c r="AO26" s="22">
        <f ca="1">+GETPIVOTDATA("XBC4",'bauchinh (2016)'!$A$3,"MA_HT","SKC","MA_QH","DDL")</f>
        <v>0</v>
      </c>
      <c r="AP26" s="22">
        <f ca="1">+GETPIVOTDATA("XBC4",'bauchinh (2016)'!$A$3,"MA_HT","SKC","MA_QH","DRA")</f>
        <v>0</v>
      </c>
      <c r="AQ26" s="22">
        <f ca="1">+GETPIVOTDATA("XBC4",'bauchinh (2016)'!$A$3,"MA_HT","SKC","MA_QH","ONT")</f>
        <v>0</v>
      </c>
      <c r="AR26" s="22">
        <f ca="1">+GETPIVOTDATA("XBC4",'bauchinh (2016)'!$A$3,"MA_HT","SKC","MA_QH","ODT")</f>
        <v>0</v>
      </c>
      <c r="AS26" s="22">
        <f ca="1">+GETPIVOTDATA("XBC4",'bauchinh (2016)'!$A$3,"MA_HT","SKC","MA_QH","TSC")</f>
        <v>0</v>
      </c>
      <c r="AT26" s="22">
        <f ca="1">+GETPIVOTDATA("XBC4",'bauchinh (2016)'!$A$3,"MA_HT","SKC","MA_QH","DTS")</f>
        <v>0</v>
      </c>
      <c r="AU26" s="22">
        <f ca="1">+GETPIVOTDATA("XBC4",'bauchinh (2016)'!$A$3,"MA_HT","SKC","MA_QH","DNG")</f>
        <v>0</v>
      </c>
      <c r="AV26" s="22">
        <f ca="1">+GETPIVOTDATA("XBC4",'bauchinh (2016)'!$A$3,"MA_HT","SKC","MA_QH","TON")</f>
        <v>0</v>
      </c>
      <c r="AW26" s="22">
        <f ca="1">+GETPIVOTDATA("XBC4",'bauchinh (2016)'!$A$3,"MA_HT","SKC","MA_QH","NTD")</f>
        <v>0</v>
      </c>
      <c r="AX26" s="22">
        <f ca="1">+GETPIVOTDATA("XBC4",'bauchinh (2016)'!$A$3,"MA_HT","SKC","MA_QH","SKX")</f>
        <v>0</v>
      </c>
      <c r="AY26" s="22">
        <f ca="1">+GETPIVOTDATA("XBC4",'bauchinh (2016)'!$A$3,"MA_HT","SKC","MA_QH","DSH")</f>
        <v>0</v>
      </c>
      <c r="AZ26" s="22">
        <f ca="1">+GETPIVOTDATA("XBC4",'bauchinh (2016)'!$A$3,"MA_HT","SKC","MA_QH","DKV")</f>
        <v>0</v>
      </c>
      <c r="BA26" s="89">
        <f ca="1">+GETPIVOTDATA("XBC4",'bauchinh (2016)'!$A$3,"MA_HT","SKC","MA_QH","TIN")</f>
        <v>0</v>
      </c>
      <c r="BB26" s="50">
        <f ca="1">+GETPIVOTDATA("XBC4",'bauchinh (2016)'!$A$3,"MA_HT","SKC","MA_QH","SON")</f>
        <v>0</v>
      </c>
      <c r="BC26" s="50">
        <f ca="1">+GETPIVOTDATA("XBC4",'bauchinh (2016)'!$A$3,"MA_HT","SKC","MA_QH","MNC")</f>
        <v>0</v>
      </c>
      <c r="BD26" s="22">
        <f ca="1">+GETPIVOTDATA("XBC4",'bauchinh (2016)'!$A$3,"MA_HT","SKC","MA_QH","PNK")</f>
        <v>0</v>
      </c>
      <c r="BE26" s="71">
        <f ca="1">+GETPIVOTDATA("XBC4",'bauchinh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+GETPIVOTDATA("XBC4",'bauchinh (2016)'!$A$3,"MA_HT","SKS","MA_QH","LUC")</f>
        <v>0</v>
      </c>
      <c r="H27" s="22">
        <f ca="1">+GETPIVOTDATA("XBC4",'bauchinh (2016)'!$A$3,"MA_HT","SKS","MA_QH","LUK")</f>
        <v>0</v>
      </c>
      <c r="I27" s="22">
        <f ca="1">+GETPIVOTDATA("XBC4",'bauchinh (2016)'!$A$3,"MA_HT","SKS","MA_QH","LUN")</f>
        <v>0</v>
      </c>
      <c r="J27" s="22">
        <f ca="1">+GETPIVOTDATA("XBC4",'bauchinh (2016)'!$A$3,"MA_HT","SKS","MA_QH","HNK")</f>
        <v>0</v>
      </c>
      <c r="K27" s="22">
        <f ca="1">+GETPIVOTDATA("XBC4",'bauchinh (2016)'!$A$3,"MA_HT","SKS","MA_QH","CLN")</f>
        <v>0</v>
      </c>
      <c r="L27" s="22">
        <f ca="1">+GETPIVOTDATA("XBC4",'bauchinh (2016)'!$A$3,"MA_HT","SKS","MA_QH","RSX")</f>
        <v>0</v>
      </c>
      <c r="M27" s="22">
        <f ca="1">+GETPIVOTDATA("XBC4",'bauchinh (2016)'!$A$3,"MA_HT","SKS","MA_QH","RPH")</f>
        <v>0</v>
      </c>
      <c r="N27" s="22">
        <f ca="1">+GETPIVOTDATA("XBC4",'bauchinh (2016)'!$A$3,"MA_HT","SKS","MA_QH","RDD")</f>
        <v>0</v>
      </c>
      <c r="O27" s="22">
        <f ca="1">+GETPIVOTDATA("XBC4",'bauchinh (2016)'!$A$3,"MA_HT","SKS","MA_QH","NTS")</f>
        <v>0</v>
      </c>
      <c r="P27" s="22">
        <f ca="1">+GETPIVOTDATA("XBC4",'bauchinh (2016)'!$A$3,"MA_HT","SKS","MA_QH","LMU")</f>
        <v>0</v>
      </c>
      <c r="Q27" s="22">
        <f ca="1">+GETPIVOTDATA("XBC4",'bauchinh (2016)'!$A$3,"MA_HT","SKS","MA_QH","NKH")</f>
        <v>0</v>
      </c>
      <c r="R27" s="42">
        <f ca="1">SUM(S27:Y27,AA27,AN27:BD27)</f>
        <v>0</v>
      </c>
      <c r="S27" s="22">
        <f ca="1">+GETPIVOTDATA("XBC4",'bauchinh (2016)'!$A$3,"MA_HT","SKS","MA_QH","CQP")</f>
        <v>0</v>
      </c>
      <c r="T27" s="22">
        <f ca="1">+GETPIVOTDATA("XBC4",'bauchinh (2016)'!$A$3,"MA_HT","SKS","MA_QH","CAN")</f>
        <v>0</v>
      </c>
      <c r="U27" s="22">
        <f ca="1">+GETPIVOTDATA("XBC4",'bauchinh (2016)'!$A$3,"MA_HT","SKS","MA_QH","SKK")</f>
        <v>0</v>
      </c>
      <c r="V27" s="22">
        <f ca="1">+GETPIVOTDATA("XBC4",'bauchinh (2016)'!$A$3,"MA_HT","SKS","MA_QH","SKT")</f>
        <v>0</v>
      </c>
      <c r="W27" s="22">
        <f ca="1">+GETPIVOTDATA("XBC4",'bauchinh (2016)'!$A$3,"MA_HT","SKS","MA_QH","SKN")</f>
        <v>0</v>
      </c>
      <c r="X27" s="22">
        <f ca="1">+GETPIVOTDATA("XBC4",'bauchinh (2016)'!$A$3,"MA_HT","SKS","MA_QH","TMD")</f>
        <v>0</v>
      </c>
      <c r="Y27" s="22">
        <f ca="1">+GETPIVOTDATA("XBC4",'bauchinh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+GETPIVOTDATA("XBC4",'bauchinh (2016)'!$A$3,"MA_HT","SKS","MA_QH","DGT")</f>
        <v>0</v>
      </c>
      <c r="AC27" s="22">
        <f ca="1">+GETPIVOTDATA("XBC4",'bauchinh (2016)'!$A$3,"MA_HT","SKS","MA_QH","DTL")</f>
        <v>0</v>
      </c>
      <c r="AD27" s="22">
        <f ca="1">+GETPIVOTDATA("XBC4",'bauchinh (2016)'!$A$3,"MA_HT","SKS","MA_QH","DNL")</f>
        <v>0</v>
      </c>
      <c r="AE27" s="22">
        <f ca="1">+GETPIVOTDATA("XBC4",'bauchinh (2016)'!$A$3,"MA_HT","SKS","MA_QH","DBV")</f>
        <v>0</v>
      </c>
      <c r="AF27" s="22">
        <f ca="1">+GETPIVOTDATA("XBC4",'bauchinh (2016)'!$A$3,"MA_HT","SKS","MA_QH","DVH")</f>
        <v>0</v>
      </c>
      <c r="AG27" s="22">
        <f ca="1">+GETPIVOTDATA("XBC4",'bauchinh (2016)'!$A$3,"MA_HT","SKS","MA_QH","DYT")</f>
        <v>0</v>
      </c>
      <c r="AH27" s="22">
        <f ca="1">+GETPIVOTDATA("XBC4",'bauchinh (2016)'!$A$3,"MA_HT","SKS","MA_QH","DGD")</f>
        <v>0</v>
      </c>
      <c r="AI27" s="22">
        <f ca="1">+GETPIVOTDATA("XBC4",'bauchinh (2016)'!$A$3,"MA_HT","SKS","MA_QH","DTT")</f>
        <v>0</v>
      </c>
      <c r="AJ27" s="22">
        <f ca="1">+GETPIVOTDATA("XBC4",'bauchinh (2016)'!$A$3,"MA_HT","SKS","MA_QH","NCK")</f>
        <v>0</v>
      </c>
      <c r="AK27" s="22">
        <f ca="1">+GETPIVOTDATA("XBC4",'bauchinh (2016)'!$A$3,"MA_HT","SKS","MA_QH","DXH")</f>
        <v>0</v>
      </c>
      <c r="AL27" s="22">
        <f ca="1">+GETPIVOTDATA("XBC4",'bauchinh (2016)'!$A$3,"MA_HT","SKS","MA_QH","DCH")</f>
        <v>0</v>
      </c>
      <c r="AM27" s="22">
        <f ca="1">+GETPIVOTDATA("XBC4",'bauchinh (2016)'!$A$3,"MA_HT","SKS","MA_QH","DKG")</f>
        <v>0</v>
      </c>
      <c r="AN27" s="22">
        <f ca="1">+GETPIVOTDATA("XBC4",'bauchinh (2016)'!$A$3,"MA_HT","SKS","MA_QH","DDT")</f>
        <v>0</v>
      </c>
      <c r="AO27" s="22">
        <f ca="1">+GETPIVOTDATA("XBC4",'bauchinh (2016)'!$A$3,"MA_HT","SKS","MA_QH","DDL")</f>
        <v>0</v>
      </c>
      <c r="AP27" s="22">
        <f ca="1">+GETPIVOTDATA("XBC4",'bauchinh (2016)'!$A$3,"MA_HT","SKS","MA_QH","DRA")</f>
        <v>0</v>
      </c>
      <c r="AQ27" s="22">
        <f ca="1">+GETPIVOTDATA("XBC4",'bauchinh (2016)'!$A$3,"MA_HT","SKS","MA_QH","ONT")</f>
        <v>0</v>
      </c>
      <c r="AR27" s="22">
        <f ca="1">+GETPIVOTDATA("XBC4",'bauchinh (2016)'!$A$3,"MA_HT","SKS","MA_QH","ODT")</f>
        <v>0</v>
      </c>
      <c r="AS27" s="22">
        <f ca="1">+GETPIVOTDATA("XBC4",'bauchinh (2016)'!$A$3,"MA_HT","SKS","MA_QH","TSC")</f>
        <v>0</v>
      </c>
      <c r="AT27" s="22">
        <f ca="1">+GETPIVOTDATA("XBC4",'bauchinh (2016)'!$A$3,"MA_HT","SKS","MA_QH","DTS")</f>
        <v>0</v>
      </c>
      <c r="AU27" s="22">
        <f ca="1">+GETPIVOTDATA("XBC4",'bauchinh (2016)'!$A$3,"MA_HT","SKS","MA_QH","DNG")</f>
        <v>0</v>
      </c>
      <c r="AV27" s="22">
        <f ca="1">+GETPIVOTDATA("XBC4",'bauchinh (2016)'!$A$3,"MA_HT","SKS","MA_QH","TON")</f>
        <v>0</v>
      </c>
      <c r="AW27" s="22">
        <f ca="1">+GETPIVOTDATA("XBC4",'bauchinh (2016)'!$A$3,"MA_HT","SKS","MA_QH","NTD")</f>
        <v>0</v>
      </c>
      <c r="AX27" s="22">
        <f ca="1">+GETPIVOTDATA("XBC4",'bauchinh (2016)'!$A$3,"MA_HT","SKS","MA_QH","SKX")</f>
        <v>0</v>
      </c>
      <c r="AY27" s="22">
        <f ca="1">+GETPIVOTDATA("XBC4",'bauchinh (2016)'!$A$3,"MA_HT","SKS","MA_QH","DSH")</f>
        <v>0</v>
      </c>
      <c r="AZ27" s="22">
        <f ca="1">+GETPIVOTDATA("XBC4",'bauchinh (2016)'!$A$3,"MA_HT","SKS","MA_QH","DKV")</f>
        <v>0</v>
      </c>
      <c r="BA27" s="89">
        <f ca="1">+GETPIVOTDATA("XBC4",'bauchinh (2016)'!$A$3,"MA_HT","SKS","MA_QH","TIN")</f>
        <v>0</v>
      </c>
      <c r="BB27" s="50">
        <f ca="1">+GETPIVOTDATA("XBC4",'bauchinh (2016)'!$A$3,"MA_HT","SKS","MA_QH","SON")</f>
        <v>0</v>
      </c>
      <c r="BC27" s="50">
        <f ca="1">+GETPIVOTDATA("XBC4",'bauchinh (2016)'!$A$3,"MA_HT","SKS","MA_QH","MNC")</f>
        <v>0</v>
      </c>
      <c r="BD27" s="22">
        <f ca="1">+GETPIVOTDATA("XBC4",'bauchinh (2016)'!$A$3,"MA_HT","SKS","MA_QH","PNK")</f>
        <v>0</v>
      </c>
      <c r="BE27" s="71">
        <f ca="1">+GETPIVOTDATA("XBC4",'bauchinh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+GETPIVOTDATA("XBC4",'bauchinh (2016)'!$A$3,"MA_HT","DGT","MA_QH","LUC")</f>
        <v>0</v>
      </c>
      <c r="H29" s="50">
        <f ca="1">+GETPIVOTDATA("XBC4",'bauchinh (2016)'!$A$3,"MA_HT","DGT","MA_QH","LUK")</f>
        <v>0</v>
      </c>
      <c r="I29" s="50">
        <f ca="1">+GETPIVOTDATA("XBC4",'bauchinh (2016)'!$A$3,"MA_HT","DGT","MA_QH","LUN")</f>
        <v>0</v>
      </c>
      <c r="J29" s="50">
        <f ca="1">+GETPIVOTDATA("XBC4",'bauchinh (2016)'!$A$3,"MA_HT","DGT","MA_QH","HNK")</f>
        <v>0</v>
      </c>
      <c r="K29" s="50">
        <f ca="1">+GETPIVOTDATA("XBC4",'bauchinh (2016)'!$A$3,"MA_HT","DGT","MA_QH","CLN")</f>
        <v>0</v>
      </c>
      <c r="L29" s="50">
        <f ca="1">+GETPIVOTDATA("XBC4",'bauchinh (2016)'!$A$3,"MA_HT","DGT","MA_QH","RSX")</f>
        <v>0</v>
      </c>
      <c r="M29" s="50">
        <f ca="1">+GETPIVOTDATA("XBC4",'bauchinh (2016)'!$A$3,"MA_HT","DGT","MA_QH","RPH")</f>
        <v>0</v>
      </c>
      <c r="N29" s="50">
        <f ca="1">+GETPIVOTDATA("XBC4",'bauchinh (2016)'!$A$3,"MA_HT","DGT","MA_QH","RDD")</f>
        <v>0</v>
      </c>
      <c r="O29" s="50">
        <f ca="1">+GETPIVOTDATA("XBC4",'bauchinh (2016)'!$A$3,"MA_HT","DGT","MA_QH","NTS")</f>
        <v>0</v>
      </c>
      <c r="P29" s="50">
        <f ca="1">+GETPIVOTDATA("XBC4",'bauchinh (2016)'!$A$3,"MA_HT","DGT","MA_QH","LMU")</f>
        <v>0</v>
      </c>
      <c r="Q29" s="50">
        <f ca="1">+GETPIVOTDATA("XBC4",'bauchinh (2016)'!$A$3,"MA_HT","DGT","MA_QH","NKH")</f>
        <v>0</v>
      </c>
      <c r="R29" s="48">
        <f ca="1">SUM(S29:AA29,AN29:BD29)</f>
        <v>0</v>
      </c>
      <c r="S29" s="50">
        <f ca="1">+GETPIVOTDATA("XBC4",'bauchinh (2016)'!$A$3,"MA_HT","DGT","MA_QH","CQP")</f>
        <v>0</v>
      </c>
      <c r="T29" s="50">
        <f ca="1">+GETPIVOTDATA("XBC4",'bauchinh (2016)'!$A$3,"MA_HT","DGT","MA_QH","CAN")</f>
        <v>0</v>
      </c>
      <c r="U29" s="50">
        <f ca="1">+GETPIVOTDATA("XBC4",'bauchinh (2016)'!$A$3,"MA_HT","DGT","MA_QH","SKK")</f>
        <v>0</v>
      </c>
      <c r="V29" s="50">
        <f ca="1">+GETPIVOTDATA("XBC4",'bauchinh (2016)'!$A$3,"MA_HT","DGT","MA_QH","SKT")</f>
        <v>0</v>
      </c>
      <c r="W29" s="50">
        <f ca="1">+GETPIVOTDATA("XBC4",'bauchinh (2016)'!$A$3,"MA_HT","DGT","MA_QH","SKN")</f>
        <v>0</v>
      </c>
      <c r="X29" s="50">
        <f ca="1">+GETPIVOTDATA("XBC4",'bauchinh (2016)'!$A$3,"MA_HT","DGT","MA_QH","TMD")</f>
        <v>0</v>
      </c>
      <c r="Y29" s="50">
        <f ca="1">+GETPIVOTDATA("XBC4",'bauchinh (2016)'!$A$3,"MA_HT","DGT","MA_QH","SKC")</f>
        <v>0</v>
      </c>
      <c r="Z29" s="50">
        <f ca="1">+GETPIVOTDATA("XBC4",'bauchinh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+GETPIVOTDATA("XBC4",'bauchinh (2016)'!$A$3,"MA_HT","DGT","MA_QH","DTL")</f>
        <v>0</v>
      </c>
      <c r="AD29" s="50">
        <f ca="1">+GETPIVOTDATA("XBC4",'bauchinh (2016)'!$A$3,"MA_HT","DGT","MA_QH","DNL")</f>
        <v>0</v>
      </c>
      <c r="AE29" s="50">
        <f ca="1">+GETPIVOTDATA("XBC4",'bauchinh (2016)'!$A$3,"MA_HT","DGT","MA_QH","DBV")</f>
        <v>0</v>
      </c>
      <c r="AF29" s="50">
        <f ca="1">+GETPIVOTDATA("XBC4",'bauchinh (2016)'!$A$3,"MA_HT","DGT","MA_QH","DVH")</f>
        <v>0</v>
      </c>
      <c r="AG29" s="50">
        <f ca="1">+GETPIVOTDATA("XBC4",'bauchinh (2016)'!$A$3,"MA_HT","DGT","MA_QH","DYT")</f>
        <v>0</v>
      </c>
      <c r="AH29" s="50">
        <f ca="1">+GETPIVOTDATA("XBC4",'bauchinh (2016)'!$A$3,"MA_HT","DGT","MA_QH","DGD")</f>
        <v>0</v>
      </c>
      <c r="AI29" s="50">
        <f ca="1">+GETPIVOTDATA("XBC4",'bauchinh (2016)'!$A$3,"MA_HT","DGT","MA_QH","DTT")</f>
        <v>0</v>
      </c>
      <c r="AJ29" s="50">
        <f ca="1">+GETPIVOTDATA("XBC4",'bauchinh (2016)'!$A$3,"MA_HT","DGT","MA_QH","NCK")</f>
        <v>0</v>
      </c>
      <c r="AK29" s="50">
        <f ca="1">+GETPIVOTDATA("XBC4",'bauchinh (2016)'!$A$3,"MA_HT","DGT","MA_QH","DXH")</f>
        <v>0</v>
      </c>
      <c r="AL29" s="50">
        <f ca="1">+GETPIVOTDATA("XBC4",'bauchinh (2016)'!$A$3,"MA_HT","DGT","MA_QH","DCH")</f>
        <v>0</v>
      </c>
      <c r="AM29" s="50">
        <f ca="1">+GETPIVOTDATA("XBC4",'bauchinh (2016)'!$A$3,"MA_HT","DGT","MA_QH","DKG")</f>
        <v>0</v>
      </c>
      <c r="AN29" s="50">
        <f ca="1">+GETPIVOTDATA("XBC4",'bauchinh (2016)'!$A$3,"MA_HT","DGT","MA_QH","DDT")</f>
        <v>0</v>
      </c>
      <c r="AO29" s="50">
        <f ca="1">+GETPIVOTDATA("XBC4",'bauchinh (2016)'!$A$3,"MA_HT","DGT","MA_QH","DDL")</f>
        <v>0</v>
      </c>
      <c r="AP29" s="50">
        <f ca="1">+GETPIVOTDATA("XBC4",'bauchinh (2016)'!$A$3,"MA_HT","DGT","MA_QH","DRA")</f>
        <v>0</v>
      </c>
      <c r="AQ29" s="50">
        <f ca="1">+GETPIVOTDATA("XBC4",'bauchinh (2016)'!$A$3,"MA_HT","DGT","MA_QH","ONT")</f>
        <v>0</v>
      </c>
      <c r="AR29" s="50">
        <f ca="1">+GETPIVOTDATA("XBC4",'bauchinh (2016)'!$A$3,"MA_HT","DGT","MA_QH","ODT")</f>
        <v>0</v>
      </c>
      <c r="AS29" s="50">
        <f ca="1">+GETPIVOTDATA("XBC4",'bauchinh (2016)'!$A$3,"MA_HT","DGT","MA_QH","TSC")</f>
        <v>0</v>
      </c>
      <c r="AT29" s="50">
        <f ca="1">+GETPIVOTDATA("XBC4",'bauchinh (2016)'!$A$3,"MA_HT","DGT","MA_QH","DTS")</f>
        <v>0</v>
      </c>
      <c r="AU29" s="50">
        <f ca="1">+GETPIVOTDATA("XBC4",'bauchinh (2016)'!$A$3,"MA_HT","DGT","MA_QH","DNG")</f>
        <v>0</v>
      </c>
      <c r="AV29" s="50">
        <f ca="1">+GETPIVOTDATA("XBC4",'bauchinh (2016)'!$A$3,"MA_HT","DGT","MA_QH","TON")</f>
        <v>0</v>
      </c>
      <c r="AW29" s="50">
        <f ca="1">+GETPIVOTDATA("XBC4",'bauchinh (2016)'!$A$3,"MA_HT","DGT","MA_QH","NTD")</f>
        <v>0</v>
      </c>
      <c r="AX29" s="50">
        <f ca="1">+GETPIVOTDATA("XBC4",'bauchinh (2016)'!$A$3,"MA_HT","DGT","MA_QH","SKX")</f>
        <v>0</v>
      </c>
      <c r="AY29" s="50">
        <f ca="1">+GETPIVOTDATA("XBC4",'bauchinh (2016)'!$A$3,"MA_HT","DGT","MA_QH","DSH")</f>
        <v>0</v>
      </c>
      <c r="AZ29" s="50">
        <f ca="1">+GETPIVOTDATA("XBC4",'bauchinh (2016)'!$A$3,"MA_HT","DGT","MA_QH","DKV")</f>
        <v>0</v>
      </c>
      <c r="BA29" s="88">
        <f ca="1">+GETPIVOTDATA("XBC4",'bauchinh (2016)'!$A$3,"MA_HT","DGT","MA_QH","TIN")</f>
        <v>0</v>
      </c>
      <c r="BB29" s="50">
        <f ca="1">+GETPIVOTDATA("XBC4",'bauchinh (2016)'!$A$3,"MA_HT","DGT","MA_QH","SON")</f>
        <v>0</v>
      </c>
      <c r="BC29" s="50">
        <f ca="1">+GETPIVOTDATA("XBC4",'bauchinh (2016)'!$A$3,"MA_HT","DGT","MA_QH","MNC")</f>
        <v>0</v>
      </c>
      <c r="BD29" s="50">
        <f ca="1">+GETPIVOTDATA("XBC4",'bauchinh (2016)'!$A$3,"MA_HT","DGT","MA_QH","PNK")</f>
        <v>0</v>
      </c>
      <c r="BE29" s="80">
        <f ca="1">+GETPIVOTDATA("XBC4",'bauchinh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+GETPIVOTDATA("XBC4",'bauchinh (2016)'!$A$3,"MA_HT","DTL","MA_QH","LUC")</f>
        <v>0</v>
      </c>
      <c r="H30" s="50">
        <f ca="1">+GETPIVOTDATA("XBC4",'bauchinh (2016)'!$A$3,"MA_HT","DTL","MA_QH","LUK")</f>
        <v>0</v>
      </c>
      <c r="I30" s="50">
        <f ca="1">+GETPIVOTDATA("XBC4",'bauchinh (2016)'!$A$3,"MA_HT","DTL","MA_QH","LUN")</f>
        <v>0</v>
      </c>
      <c r="J30" s="50">
        <f ca="1">+GETPIVOTDATA("XBC4",'bauchinh (2016)'!$A$3,"MA_HT","DTL","MA_QH","HNK")</f>
        <v>0</v>
      </c>
      <c r="K30" s="50">
        <f ca="1">+GETPIVOTDATA("XBC4",'bauchinh (2016)'!$A$3,"MA_HT","DTL","MA_QH","CLN")</f>
        <v>0</v>
      </c>
      <c r="L30" s="50">
        <f ca="1">+GETPIVOTDATA("XBC4",'bauchinh (2016)'!$A$3,"MA_HT","DTL","MA_QH","RSX")</f>
        <v>0</v>
      </c>
      <c r="M30" s="50">
        <f ca="1">+GETPIVOTDATA("XBC4",'bauchinh (2016)'!$A$3,"MA_HT","DTL","MA_QH","RPH")</f>
        <v>0</v>
      </c>
      <c r="N30" s="50">
        <f ca="1">+GETPIVOTDATA("XBC4",'bauchinh (2016)'!$A$3,"MA_HT","DTL","MA_QH","RDD")</f>
        <v>0</v>
      </c>
      <c r="O30" s="50">
        <f ca="1">+GETPIVOTDATA("XBC4",'bauchinh (2016)'!$A$3,"MA_HT","DTL","MA_QH","NTS")</f>
        <v>0</v>
      </c>
      <c r="P30" s="50">
        <f ca="1">+GETPIVOTDATA("XBC4",'bauchinh (2016)'!$A$3,"MA_HT","DTL","MA_QH","LMU")</f>
        <v>0</v>
      </c>
      <c r="Q30" s="50">
        <f ca="1">+GETPIVOTDATA("XBC4",'bauchinh (2016)'!$A$3,"MA_HT","DTL","MA_QH","NKH")</f>
        <v>0</v>
      </c>
      <c r="R30" s="48">
        <f ca="1" t="shared" ref="R30:R40" si="20">SUM(S30:AA30,AN30:BD30)</f>
        <v>0</v>
      </c>
      <c r="S30" s="50">
        <f ca="1">+GETPIVOTDATA("XBC4",'bauchinh (2016)'!$A$3,"MA_HT","DTL","MA_QH","CQP")</f>
        <v>0</v>
      </c>
      <c r="T30" s="50">
        <f ca="1">+GETPIVOTDATA("XBC4",'bauchinh (2016)'!$A$3,"MA_HT","DTL","MA_QH","CAN")</f>
        <v>0</v>
      </c>
      <c r="U30" s="50">
        <f ca="1">+GETPIVOTDATA("XBC4",'bauchinh (2016)'!$A$3,"MA_HT","DTL","MA_QH","SKK")</f>
        <v>0</v>
      </c>
      <c r="V30" s="50">
        <f ca="1">+GETPIVOTDATA("XBC4",'bauchinh (2016)'!$A$3,"MA_HT","DTL","MA_QH","SKT")</f>
        <v>0</v>
      </c>
      <c r="W30" s="50">
        <f ca="1">+GETPIVOTDATA("XBC4",'bauchinh (2016)'!$A$3,"MA_HT","DTL","MA_QH","SKN")</f>
        <v>0</v>
      </c>
      <c r="X30" s="50">
        <f ca="1">+GETPIVOTDATA("XBC4",'bauchinh (2016)'!$A$3,"MA_HT","DTL","MA_QH","TMD")</f>
        <v>0</v>
      </c>
      <c r="Y30" s="50">
        <f ca="1">+GETPIVOTDATA("XBC4",'bauchinh (2016)'!$A$3,"MA_HT","DTL","MA_QH","SKC")</f>
        <v>0</v>
      </c>
      <c r="Z30" s="50">
        <f ca="1">+GETPIVOTDATA("XBC4",'bauchinh (2016)'!$A$3,"MA_HT","DTL","MA_QH","SKS")</f>
        <v>0</v>
      </c>
      <c r="AA30" s="52">
        <f ca="1">+SUM(AB30,AD30:AM30)</f>
        <v>0</v>
      </c>
      <c r="AB30" s="50">
        <f ca="1">+GETPIVOTDATA("XBC4",'bauchinh (2016)'!$A$3,"MA_HT","DTL","MA_QH","DGT")</f>
        <v>0</v>
      </c>
      <c r="AC30" s="49" t="e">
        <f ca="1">$D30-$BF30</f>
        <v>#REF!</v>
      </c>
      <c r="AD30" s="50">
        <f ca="1">+GETPIVOTDATA("XBC4",'bauchinh (2016)'!$A$3,"MA_HT","DTL","MA_QH","DNL")</f>
        <v>0</v>
      </c>
      <c r="AE30" s="50">
        <f ca="1">+GETPIVOTDATA("XBC4",'bauchinh (2016)'!$A$3,"MA_HT","DTL","MA_QH","DBV")</f>
        <v>0</v>
      </c>
      <c r="AF30" s="50">
        <f ca="1">+GETPIVOTDATA("XBC4",'bauchinh (2016)'!$A$3,"MA_HT","DTL","MA_QH","DVH")</f>
        <v>0</v>
      </c>
      <c r="AG30" s="50">
        <f ca="1">+GETPIVOTDATA("XBC4",'bauchinh (2016)'!$A$3,"MA_HT","DTL","MA_QH","DYT")</f>
        <v>0</v>
      </c>
      <c r="AH30" s="50">
        <f ca="1">+GETPIVOTDATA("XBC4",'bauchinh (2016)'!$A$3,"MA_HT","DTL","MA_QH","DGD")</f>
        <v>0</v>
      </c>
      <c r="AI30" s="50">
        <f ca="1">+GETPIVOTDATA("XBC4",'bauchinh (2016)'!$A$3,"MA_HT","DTL","MA_QH","DTT")</f>
        <v>0</v>
      </c>
      <c r="AJ30" s="50">
        <f ca="1">+GETPIVOTDATA("XBC4",'bauchinh (2016)'!$A$3,"MA_HT","DTL","MA_QH","NCK")</f>
        <v>0</v>
      </c>
      <c r="AK30" s="50">
        <f ca="1">+GETPIVOTDATA("XBC4",'bauchinh (2016)'!$A$3,"MA_HT","DTL","MA_QH","DXH")</f>
        <v>0</v>
      </c>
      <c r="AL30" s="50">
        <f ca="1">+GETPIVOTDATA("XBC4",'bauchinh (2016)'!$A$3,"MA_HT","DTL","MA_QH","DCH")</f>
        <v>0</v>
      </c>
      <c r="AM30" s="50">
        <f ca="1">+GETPIVOTDATA("XBC4",'bauchinh (2016)'!$A$3,"MA_HT","DTL","MA_QH","DKG")</f>
        <v>0</v>
      </c>
      <c r="AN30" s="50">
        <f ca="1">+GETPIVOTDATA("XBC4",'bauchinh (2016)'!$A$3,"MA_HT","DTL","MA_QH","DDT")</f>
        <v>0</v>
      </c>
      <c r="AO30" s="50">
        <f ca="1">+GETPIVOTDATA("XBC4",'bauchinh (2016)'!$A$3,"MA_HT","DTL","MA_QH","DDL")</f>
        <v>0</v>
      </c>
      <c r="AP30" s="50">
        <f ca="1">+GETPIVOTDATA("XBC4",'bauchinh (2016)'!$A$3,"MA_HT","DTL","MA_QH","DRA")</f>
        <v>0</v>
      </c>
      <c r="AQ30" s="50">
        <f ca="1">+GETPIVOTDATA("XBC4",'bauchinh (2016)'!$A$3,"MA_HT","DTL","MA_QH","ONT")</f>
        <v>0</v>
      </c>
      <c r="AR30" s="50">
        <f ca="1">+GETPIVOTDATA("XBC4",'bauchinh (2016)'!$A$3,"MA_HT","DTL","MA_QH","ODT")</f>
        <v>0</v>
      </c>
      <c r="AS30" s="50">
        <f ca="1">+GETPIVOTDATA("XBC4",'bauchinh (2016)'!$A$3,"MA_HT","DTL","MA_QH","TSC")</f>
        <v>0</v>
      </c>
      <c r="AT30" s="50">
        <f ca="1">+GETPIVOTDATA("XBC4",'bauchinh (2016)'!$A$3,"MA_HT","DTL","MA_QH","DTS")</f>
        <v>0</v>
      </c>
      <c r="AU30" s="50">
        <f ca="1">+GETPIVOTDATA("XBC4",'bauchinh (2016)'!$A$3,"MA_HT","DTL","MA_QH","DNG")</f>
        <v>0</v>
      </c>
      <c r="AV30" s="50">
        <f ca="1">+GETPIVOTDATA("XBC4",'bauchinh (2016)'!$A$3,"MA_HT","DTL","MA_QH","TON")</f>
        <v>0</v>
      </c>
      <c r="AW30" s="50">
        <f ca="1">+GETPIVOTDATA("XBC4",'bauchinh (2016)'!$A$3,"MA_HT","DTL","MA_QH","NTD")</f>
        <v>0</v>
      </c>
      <c r="AX30" s="50">
        <f ca="1">+GETPIVOTDATA("XBC4",'bauchinh (2016)'!$A$3,"MA_HT","DTL","MA_QH","SKX")</f>
        <v>0</v>
      </c>
      <c r="AY30" s="50">
        <f ca="1">+GETPIVOTDATA("XBC4",'bauchinh (2016)'!$A$3,"MA_HT","DTL","MA_QH","DSH")</f>
        <v>0</v>
      </c>
      <c r="AZ30" s="50">
        <f ca="1">+GETPIVOTDATA("XBC4",'bauchinh (2016)'!$A$3,"MA_HT","DTL","MA_QH","DKV")</f>
        <v>0</v>
      </c>
      <c r="BA30" s="88">
        <f ca="1">+GETPIVOTDATA("XBC4",'bauchinh (2016)'!$A$3,"MA_HT","DTL","MA_QH","TIN")</f>
        <v>0</v>
      </c>
      <c r="BB30" s="50">
        <f ca="1">+GETPIVOTDATA("XBC4",'bauchinh (2016)'!$A$3,"MA_HT","DTL","MA_QH","SON")</f>
        <v>0</v>
      </c>
      <c r="BC30" s="50">
        <f ca="1">+GETPIVOTDATA("XBC4",'bauchinh (2016)'!$A$3,"MA_HT","DTL","MA_QH","MNC")</f>
        <v>0</v>
      </c>
      <c r="BD30" s="50">
        <f ca="1">+GETPIVOTDATA("XBC4",'bauchinh (2016)'!$A$3,"MA_HT","DTL","MA_QH","PNK")</f>
        <v>0</v>
      </c>
      <c r="BE30" s="80">
        <f ca="1">+GETPIVOTDATA("XBC4",'bauchinh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+GETPIVOTDATA("XBC4",'bauchinh (2016)'!$A$3,"MA_HT","DNL","MA_QH","LUC")</f>
        <v>0</v>
      </c>
      <c r="H31" s="50">
        <f ca="1">+GETPIVOTDATA("XBC4",'bauchinh (2016)'!$A$3,"MA_HT","DNL","MA_QH","LUK")</f>
        <v>0</v>
      </c>
      <c r="I31" s="50">
        <f ca="1">+GETPIVOTDATA("XBC4",'bauchinh (2016)'!$A$3,"MA_HT","DNL","MA_QH","LUN")</f>
        <v>0</v>
      </c>
      <c r="J31" s="50">
        <f ca="1">+GETPIVOTDATA("XBC4",'bauchinh (2016)'!$A$3,"MA_HT","DNL","MA_QH","HNK")</f>
        <v>0</v>
      </c>
      <c r="K31" s="50">
        <f ca="1">+GETPIVOTDATA("XBC4",'bauchinh (2016)'!$A$3,"MA_HT","DNL","MA_QH","CLN")</f>
        <v>0</v>
      </c>
      <c r="L31" s="50">
        <f ca="1">+GETPIVOTDATA("XBC4",'bauchinh (2016)'!$A$3,"MA_HT","DNL","MA_QH","RSX")</f>
        <v>0</v>
      </c>
      <c r="M31" s="50">
        <f ca="1">+GETPIVOTDATA("XBC4",'bauchinh (2016)'!$A$3,"MA_HT","DNL","MA_QH","RPH")</f>
        <v>0</v>
      </c>
      <c r="N31" s="50">
        <f ca="1">+GETPIVOTDATA("XBC4",'bauchinh (2016)'!$A$3,"MA_HT","DNL","MA_QH","RDD")</f>
        <v>0</v>
      </c>
      <c r="O31" s="50">
        <f ca="1">+GETPIVOTDATA("XBC4",'bauchinh (2016)'!$A$3,"MA_HT","DNL","MA_QH","NTS")</f>
        <v>0</v>
      </c>
      <c r="P31" s="50">
        <f ca="1">+GETPIVOTDATA("XBC4",'bauchinh (2016)'!$A$3,"MA_HT","DNL","MA_QH","LMU")</f>
        <v>0</v>
      </c>
      <c r="Q31" s="50">
        <f ca="1">+GETPIVOTDATA("XBC4",'bauchinh (2016)'!$A$3,"MA_HT","DNL","MA_QH","NKH")</f>
        <v>0</v>
      </c>
      <c r="R31" s="48">
        <f ca="1" t="shared" si="20"/>
        <v>0</v>
      </c>
      <c r="S31" s="50">
        <f ca="1">+GETPIVOTDATA("XBC4",'bauchinh (2016)'!$A$3,"MA_HT","DNL","MA_QH","CQP")</f>
        <v>0</v>
      </c>
      <c r="T31" s="50">
        <f ca="1">+GETPIVOTDATA("XBC4",'bauchinh (2016)'!$A$3,"MA_HT","DNL","MA_QH","CAN")</f>
        <v>0</v>
      </c>
      <c r="U31" s="50">
        <f ca="1">+GETPIVOTDATA("XBC4",'bauchinh (2016)'!$A$3,"MA_HT","DNL","MA_QH","SKK")</f>
        <v>0</v>
      </c>
      <c r="V31" s="50">
        <f ca="1">+GETPIVOTDATA("XBC4",'bauchinh (2016)'!$A$3,"MA_HT","DNL","MA_QH","SKT")</f>
        <v>0</v>
      </c>
      <c r="W31" s="50">
        <f ca="1">+GETPIVOTDATA("XBC4",'bauchinh (2016)'!$A$3,"MA_HT","DNL","MA_QH","SKN")</f>
        <v>0</v>
      </c>
      <c r="X31" s="50">
        <f ca="1">+GETPIVOTDATA("XBC4",'bauchinh (2016)'!$A$3,"MA_HT","DNL","MA_QH","TMD")</f>
        <v>0</v>
      </c>
      <c r="Y31" s="50">
        <f ca="1">+GETPIVOTDATA("XBC4",'bauchinh (2016)'!$A$3,"MA_HT","DNL","MA_QH","SKC")</f>
        <v>0</v>
      </c>
      <c r="Z31" s="50">
        <f ca="1">+GETPIVOTDATA("XBC4",'bauchinh (2016)'!$A$3,"MA_HT","DNL","MA_QH","SKS")</f>
        <v>0</v>
      </c>
      <c r="AA31" s="52">
        <f ca="1">+SUM(AB31:AC31,AE31:AM31)</f>
        <v>0</v>
      </c>
      <c r="AB31" s="50">
        <f ca="1">+GETPIVOTDATA("XBC4",'bauchinh (2016)'!$A$3,"MA_HT","DNL","MA_QH","DGT")</f>
        <v>0</v>
      </c>
      <c r="AC31" s="50">
        <f ca="1">+GETPIVOTDATA("XBC4",'bauchinh (2016)'!$A$3,"MA_HT","DNL","MA_QH","DTL")</f>
        <v>0</v>
      </c>
      <c r="AD31" s="49" t="e">
        <f ca="1">$D31-$BF31</f>
        <v>#REF!</v>
      </c>
      <c r="AE31" s="50">
        <f ca="1">+GETPIVOTDATA("XBC4",'bauchinh (2016)'!$A$3,"MA_HT","DNL","MA_QH","DBV")</f>
        <v>0</v>
      </c>
      <c r="AF31" s="50">
        <f ca="1">+GETPIVOTDATA("XBC4",'bauchinh (2016)'!$A$3,"MA_HT","DNL","MA_QH","DVH")</f>
        <v>0</v>
      </c>
      <c r="AG31" s="50">
        <f ca="1">+GETPIVOTDATA("XBC4",'bauchinh (2016)'!$A$3,"MA_HT","DNL","MA_QH","DYT")</f>
        <v>0</v>
      </c>
      <c r="AH31" s="50">
        <f ca="1">+GETPIVOTDATA("XBC4",'bauchinh (2016)'!$A$3,"MA_HT","DNL","MA_QH","DGD")</f>
        <v>0</v>
      </c>
      <c r="AI31" s="50">
        <f ca="1">+GETPIVOTDATA("XBC4",'bauchinh (2016)'!$A$3,"MA_HT","DNL","MA_QH","DTT")</f>
        <v>0</v>
      </c>
      <c r="AJ31" s="50">
        <f ca="1">+GETPIVOTDATA("XBC4",'bauchinh (2016)'!$A$3,"MA_HT","DNL","MA_QH","NCK")</f>
        <v>0</v>
      </c>
      <c r="AK31" s="50">
        <f ca="1">+GETPIVOTDATA("XBC4",'bauchinh (2016)'!$A$3,"MA_HT","DNL","MA_QH","DXH")</f>
        <v>0</v>
      </c>
      <c r="AL31" s="50">
        <f ca="1">+GETPIVOTDATA("XBC4",'bauchinh (2016)'!$A$3,"MA_HT","DNL","MA_QH","DCH")</f>
        <v>0</v>
      </c>
      <c r="AM31" s="50">
        <f ca="1">+GETPIVOTDATA("XBC4",'bauchinh (2016)'!$A$3,"MA_HT","DNL","MA_QH","DKG")</f>
        <v>0</v>
      </c>
      <c r="AN31" s="50">
        <f ca="1">+GETPIVOTDATA("XBC4",'bauchinh (2016)'!$A$3,"MA_HT","DNL","MA_QH","DDT")</f>
        <v>0</v>
      </c>
      <c r="AO31" s="50">
        <f ca="1">+GETPIVOTDATA("XBC4",'bauchinh (2016)'!$A$3,"MA_HT","DNL","MA_QH","DDL")</f>
        <v>0</v>
      </c>
      <c r="AP31" s="50">
        <f ca="1">+GETPIVOTDATA("XBC4",'bauchinh (2016)'!$A$3,"MA_HT","DNL","MA_QH","DRA")</f>
        <v>0</v>
      </c>
      <c r="AQ31" s="50">
        <f ca="1">+GETPIVOTDATA("XBC4",'bauchinh (2016)'!$A$3,"MA_HT","DNL","MA_QH","ONT")</f>
        <v>0</v>
      </c>
      <c r="AR31" s="50">
        <f ca="1">+GETPIVOTDATA("XBC4",'bauchinh (2016)'!$A$3,"MA_HT","DNL","MA_QH","ODT")</f>
        <v>0</v>
      </c>
      <c r="AS31" s="50">
        <f ca="1">+GETPIVOTDATA("XBC4",'bauchinh (2016)'!$A$3,"MA_HT","DNL","MA_QH","TSC")</f>
        <v>0</v>
      </c>
      <c r="AT31" s="50">
        <f ca="1">+GETPIVOTDATA("XBC4",'bauchinh (2016)'!$A$3,"MA_HT","DNL","MA_QH","DTS")</f>
        <v>0</v>
      </c>
      <c r="AU31" s="50">
        <f ca="1">+GETPIVOTDATA("XBC4",'bauchinh (2016)'!$A$3,"MA_HT","DNL","MA_QH","DNG")</f>
        <v>0</v>
      </c>
      <c r="AV31" s="50">
        <f ca="1">+GETPIVOTDATA("XBC4",'bauchinh (2016)'!$A$3,"MA_HT","DNL","MA_QH","TON")</f>
        <v>0</v>
      </c>
      <c r="AW31" s="50">
        <f ca="1">+GETPIVOTDATA("XBC4",'bauchinh (2016)'!$A$3,"MA_HT","DNL","MA_QH","NTD")</f>
        <v>0</v>
      </c>
      <c r="AX31" s="50">
        <f ca="1">+GETPIVOTDATA("XBC4",'bauchinh (2016)'!$A$3,"MA_HT","DNL","MA_QH","SKX")</f>
        <v>0</v>
      </c>
      <c r="AY31" s="50">
        <f ca="1">+GETPIVOTDATA("XBC4",'bauchinh (2016)'!$A$3,"MA_HT","DNL","MA_QH","DSH")</f>
        <v>0</v>
      </c>
      <c r="AZ31" s="50">
        <f ca="1">+GETPIVOTDATA("XBC4",'bauchinh (2016)'!$A$3,"MA_HT","DNL","MA_QH","DKV")</f>
        <v>0</v>
      </c>
      <c r="BA31" s="88">
        <f ca="1">+GETPIVOTDATA("XBC4",'bauchinh (2016)'!$A$3,"MA_HT","DNL","MA_QH","TIN")</f>
        <v>0</v>
      </c>
      <c r="BB31" s="50">
        <f ca="1">+GETPIVOTDATA("XBC4",'bauchinh (2016)'!$A$3,"MA_HT","DNL","MA_QH","SON")</f>
        <v>0</v>
      </c>
      <c r="BC31" s="50">
        <f ca="1">+GETPIVOTDATA("XBC4",'bauchinh (2016)'!$A$3,"MA_HT","DNL","MA_QH","MNC")</f>
        <v>0</v>
      </c>
      <c r="BD31" s="50">
        <f ca="1">+GETPIVOTDATA("XBC4",'bauchinh (2016)'!$A$3,"MA_HT","DNL","MA_QH","PNK")</f>
        <v>0</v>
      </c>
      <c r="BE31" s="80">
        <f ca="1">+GETPIVOTDATA("XBC4",'bauchinh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+GETPIVOTDATA("XBC4",'bauchinh (2016)'!$A$3,"MA_HT","DBV","MA_QH","LUC")</f>
        <v>0</v>
      </c>
      <c r="H32" s="50">
        <f ca="1">+GETPIVOTDATA("XBC4",'bauchinh (2016)'!$A$3,"MA_HT","DBV","MA_QH","LUK")</f>
        <v>0</v>
      </c>
      <c r="I32" s="50">
        <f ca="1">+GETPIVOTDATA("XBC4",'bauchinh (2016)'!$A$3,"MA_HT","DBV","MA_QH","LUN")</f>
        <v>0</v>
      </c>
      <c r="J32" s="50">
        <f ca="1">+GETPIVOTDATA("XBC4",'bauchinh (2016)'!$A$3,"MA_HT","DBV","MA_QH","HNK")</f>
        <v>0</v>
      </c>
      <c r="K32" s="50">
        <f ca="1">+GETPIVOTDATA("XBC4",'bauchinh (2016)'!$A$3,"MA_HT","DBV","MA_QH","CLN")</f>
        <v>0</v>
      </c>
      <c r="L32" s="50">
        <f ca="1">+GETPIVOTDATA("XBC4",'bauchinh (2016)'!$A$3,"MA_HT","DBV","MA_QH","RSX")</f>
        <v>0</v>
      </c>
      <c r="M32" s="50">
        <f ca="1">+GETPIVOTDATA("XBC4",'bauchinh (2016)'!$A$3,"MA_HT","DBV","MA_QH","RPH")</f>
        <v>0</v>
      </c>
      <c r="N32" s="50">
        <f ca="1">+GETPIVOTDATA("XBC4",'bauchinh (2016)'!$A$3,"MA_HT","DBV","MA_QH","RDD")</f>
        <v>0</v>
      </c>
      <c r="O32" s="50">
        <f ca="1">+GETPIVOTDATA("XBC4",'bauchinh (2016)'!$A$3,"MA_HT","DBV","MA_QH","NTS")</f>
        <v>0</v>
      </c>
      <c r="P32" s="50">
        <f ca="1">+GETPIVOTDATA("XBC4",'bauchinh (2016)'!$A$3,"MA_HT","DBV","MA_QH","LMU")</f>
        <v>0</v>
      </c>
      <c r="Q32" s="50">
        <f ca="1">+GETPIVOTDATA("XBC4",'bauchinh (2016)'!$A$3,"MA_HT","DBV","MA_QH","NKH")</f>
        <v>0</v>
      </c>
      <c r="R32" s="48">
        <f ca="1" t="shared" si="20"/>
        <v>0</v>
      </c>
      <c r="S32" s="50">
        <f ca="1">+GETPIVOTDATA("XBC4",'bauchinh (2016)'!$A$3,"MA_HT","DBV","MA_QH","CQP")</f>
        <v>0</v>
      </c>
      <c r="T32" s="50">
        <f ca="1">+GETPIVOTDATA("XBC4",'bauchinh (2016)'!$A$3,"MA_HT","DBV","MA_QH","CAN")</f>
        <v>0</v>
      </c>
      <c r="U32" s="50">
        <f ca="1">+GETPIVOTDATA("XBC4",'bauchinh (2016)'!$A$3,"MA_HT","DBV","MA_QH","SKK")</f>
        <v>0</v>
      </c>
      <c r="V32" s="50">
        <f ca="1">+GETPIVOTDATA("XBC4",'bauchinh (2016)'!$A$3,"MA_HT","DBV","MA_QH","SKT")</f>
        <v>0</v>
      </c>
      <c r="W32" s="50">
        <f ca="1">+GETPIVOTDATA("XBC4",'bauchinh (2016)'!$A$3,"MA_HT","DBV","MA_QH","SKN")</f>
        <v>0</v>
      </c>
      <c r="X32" s="50">
        <f ca="1">+GETPIVOTDATA("XBC4",'bauchinh (2016)'!$A$3,"MA_HT","DBV","MA_QH","TMD")</f>
        <v>0</v>
      </c>
      <c r="Y32" s="50">
        <f ca="1">+GETPIVOTDATA("XBC4",'bauchinh (2016)'!$A$3,"MA_HT","DBV","MA_QH","SKC")</f>
        <v>0</v>
      </c>
      <c r="Z32" s="50">
        <f ca="1">+GETPIVOTDATA("XBC4",'bauchinh (2016)'!$A$3,"MA_HT","DBV","MA_QH","SKS")</f>
        <v>0</v>
      </c>
      <c r="AA32" s="52">
        <f ca="1">+SUM(AB32:AD32,AF32:AM32)</f>
        <v>0</v>
      </c>
      <c r="AB32" s="50">
        <f ca="1">+GETPIVOTDATA("XBC4",'bauchinh (2016)'!$A$3,"MA_HT","DBV","MA_QH","DGT")</f>
        <v>0</v>
      </c>
      <c r="AC32" s="50">
        <f ca="1">+GETPIVOTDATA("XBC4",'bauchinh (2016)'!$A$3,"MA_HT","DBV","MA_QH","DTL")</f>
        <v>0</v>
      </c>
      <c r="AD32" s="50">
        <f ca="1">+GETPIVOTDATA("XBC4",'bauchinh (2016)'!$A$3,"MA_HT","DBV","MA_QH","DNL")</f>
        <v>0</v>
      </c>
      <c r="AE32" s="49" t="e">
        <f ca="1">$D32-$BF32</f>
        <v>#REF!</v>
      </c>
      <c r="AF32" s="50">
        <f ca="1">+GETPIVOTDATA("XBC4",'bauchinh (2016)'!$A$3,"MA_HT","DBV","MA_QH","DVH")</f>
        <v>0</v>
      </c>
      <c r="AG32" s="50">
        <f ca="1">+GETPIVOTDATA("XBC4",'bauchinh (2016)'!$A$3,"MA_HT","DBV","MA_QH","DYT")</f>
        <v>0</v>
      </c>
      <c r="AH32" s="50">
        <f ca="1">+GETPIVOTDATA("XBC4",'bauchinh (2016)'!$A$3,"MA_HT","DBV","MA_QH","DGD")</f>
        <v>0</v>
      </c>
      <c r="AI32" s="50">
        <f ca="1">+GETPIVOTDATA("XBC4",'bauchinh (2016)'!$A$3,"MA_HT","DBV","MA_QH","DTT")</f>
        <v>0</v>
      </c>
      <c r="AJ32" s="50">
        <f ca="1">+GETPIVOTDATA("XBC4",'bauchinh (2016)'!$A$3,"MA_HT","DBV","MA_QH","NCK")</f>
        <v>0</v>
      </c>
      <c r="AK32" s="50">
        <f ca="1">+GETPIVOTDATA("XBC4",'bauchinh (2016)'!$A$3,"MA_HT","DBV","MA_QH","DXH")</f>
        <v>0</v>
      </c>
      <c r="AL32" s="50">
        <f ca="1">+GETPIVOTDATA("XBC4",'bauchinh (2016)'!$A$3,"MA_HT","DBV","MA_QH","DCH")</f>
        <v>0</v>
      </c>
      <c r="AM32" s="50">
        <f ca="1">+GETPIVOTDATA("XBC4",'bauchinh (2016)'!$A$3,"MA_HT","DBV","MA_QH","DKG")</f>
        <v>0</v>
      </c>
      <c r="AN32" s="50">
        <f ca="1">+GETPIVOTDATA("XBC4",'bauchinh (2016)'!$A$3,"MA_HT","DBV","MA_QH","DDT")</f>
        <v>0</v>
      </c>
      <c r="AO32" s="50">
        <f ca="1">+GETPIVOTDATA("XBC4",'bauchinh (2016)'!$A$3,"MA_HT","DBV","MA_QH","DDL")</f>
        <v>0</v>
      </c>
      <c r="AP32" s="50">
        <f ca="1">+GETPIVOTDATA("XBC4",'bauchinh (2016)'!$A$3,"MA_HT","DBV","MA_QH","DRA")</f>
        <v>0</v>
      </c>
      <c r="AQ32" s="50">
        <f ca="1">+GETPIVOTDATA("XBC4",'bauchinh (2016)'!$A$3,"MA_HT","DBV","MA_QH","ONT")</f>
        <v>0</v>
      </c>
      <c r="AR32" s="50">
        <f ca="1">+GETPIVOTDATA("XBC4",'bauchinh (2016)'!$A$3,"MA_HT","DBV","MA_QH","ODT")</f>
        <v>0</v>
      </c>
      <c r="AS32" s="50">
        <f ca="1">+GETPIVOTDATA("XBC4",'bauchinh (2016)'!$A$3,"MA_HT","DBV","MA_QH","TSC")</f>
        <v>0</v>
      </c>
      <c r="AT32" s="50">
        <f ca="1">+GETPIVOTDATA("XBC4",'bauchinh (2016)'!$A$3,"MA_HT","DBV","MA_QH","DTS")</f>
        <v>0</v>
      </c>
      <c r="AU32" s="50">
        <f ca="1">+GETPIVOTDATA("XBC4",'bauchinh (2016)'!$A$3,"MA_HT","DBV","MA_QH","DNG")</f>
        <v>0</v>
      </c>
      <c r="AV32" s="50">
        <f ca="1">+GETPIVOTDATA("XBC4",'bauchinh (2016)'!$A$3,"MA_HT","DBV","MA_QH","TON")</f>
        <v>0</v>
      </c>
      <c r="AW32" s="50">
        <f ca="1">+GETPIVOTDATA("XBC4",'bauchinh (2016)'!$A$3,"MA_HT","DBV","MA_QH","NTD")</f>
        <v>0</v>
      </c>
      <c r="AX32" s="50">
        <f ca="1">+GETPIVOTDATA("XBC4",'bauchinh (2016)'!$A$3,"MA_HT","DBV","MA_QH","SKX")</f>
        <v>0</v>
      </c>
      <c r="AY32" s="50">
        <f ca="1">+GETPIVOTDATA("XBC4",'bauchinh (2016)'!$A$3,"MA_HT","DBV","MA_QH","DSH")</f>
        <v>0</v>
      </c>
      <c r="AZ32" s="50">
        <f ca="1">+GETPIVOTDATA("XBC4",'bauchinh (2016)'!$A$3,"MA_HT","DBV","MA_QH","DKV")</f>
        <v>0</v>
      </c>
      <c r="BA32" s="88">
        <f ca="1">+GETPIVOTDATA("XBC4",'bauchinh (2016)'!$A$3,"MA_HT","DBV","MA_QH","TIN")</f>
        <v>0</v>
      </c>
      <c r="BB32" s="50">
        <f ca="1">+GETPIVOTDATA("XBC4",'bauchinh (2016)'!$A$3,"MA_HT","DBV","MA_QH","SON")</f>
        <v>0</v>
      </c>
      <c r="BC32" s="50">
        <f ca="1">+GETPIVOTDATA("XBC4",'bauchinh (2016)'!$A$3,"MA_HT","DBV","MA_QH","MNC")</f>
        <v>0</v>
      </c>
      <c r="BD32" s="50">
        <f ca="1">+GETPIVOTDATA("XBC4",'bauchinh (2016)'!$A$3,"MA_HT","DBV","MA_QH","PNK")</f>
        <v>0</v>
      </c>
      <c r="BE32" s="80">
        <f ca="1">+GETPIVOTDATA("XBC4",'bauchinh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+GETPIVOTDATA("XBC4",'bauchinh (2016)'!$A$3,"MA_HT","DVH","MA_QH","LUC")</f>
        <v>0</v>
      </c>
      <c r="H33" s="50">
        <f ca="1">+GETPIVOTDATA("XBC4",'bauchinh (2016)'!$A$3,"MA_HT","DVH","MA_QH","LUK")</f>
        <v>0</v>
      </c>
      <c r="I33" s="50">
        <f ca="1">+GETPIVOTDATA("XBC4",'bauchinh (2016)'!$A$3,"MA_HT","DVH","MA_QH","LUN")</f>
        <v>0</v>
      </c>
      <c r="J33" s="50">
        <f ca="1">+GETPIVOTDATA("XBC4",'bauchinh (2016)'!$A$3,"MA_HT","DVH","MA_QH","HNK")</f>
        <v>0</v>
      </c>
      <c r="K33" s="50">
        <f ca="1">+GETPIVOTDATA("XBC4",'bauchinh (2016)'!$A$3,"MA_HT","DVH","MA_QH","CLN")</f>
        <v>0</v>
      </c>
      <c r="L33" s="50">
        <f ca="1">+GETPIVOTDATA("XBC4",'bauchinh (2016)'!$A$3,"MA_HT","DVH","MA_QH","RSX")</f>
        <v>0</v>
      </c>
      <c r="M33" s="50">
        <f ca="1">+GETPIVOTDATA("XBC4",'bauchinh (2016)'!$A$3,"MA_HT","DVH","MA_QH","RPH")</f>
        <v>0</v>
      </c>
      <c r="N33" s="50">
        <f ca="1">+GETPIVOTDATA("XBC4",'bauchinh (2016)'!$A$3,"MA_HT","DVH","MA_QH","RDD")</f>
        <v>0</v>
      </c>
      <c r="O33" s="50">
        <f ca="1">+GETPIVOTDATA("XBC4",'bauchinh (2016)'!$A$3,"MA_HT","DVH","MA_QH","NTS")</f>
        <v>0</v>
      </c>
      <c r="P33" s="50">
        <f ca="1">+GETPIVOTDATA("XBC4",'bauchinh (2016)'!$A$3,"MA_HT","DVH","MA_QH","LMU")</f>
        <v>0</v>
      </c>
      <c r="Q33" s="50">
        <f ca="1">+GETPIVOTDATA("XBC4",'bauchinh (2016)'!$A$3,"MA_HT","DVH","MA_QH","NKH")</f>
        <v>0</v>
      </c>
      <c r="R33" s="48">
        <f ca="1" t="shared" si="20"/>
        <v>0</v>
      </c>
      <c r="S33" s="50">
        <f ca="1">+GETPIVOTDATA("XBC4",'bauchinh (2016)'!$A$3,"MA_HT","DVH","MA_QH","CQP")</f>
        <v>0</v>
      </c>
      <c r="T33" s="50">
        <f ca="1">+GETPIVOTDATA("XBC4",'bauchinh (2016)'!$A$3,"MA_HT","DVH","MA_QH","CAN")</f>
        <v>0</v>
      </c>
      <c r="U33" s="50">
        <f ca="1">+GETPIVOTDATA("XBC4",'bauchinh (2016)'!$A$3,"MA_HT","DVH","MA_QH","SKK")</f>
        <v>0</v>
      </c>
      <c r="V33" s="50">
        <f ca="1">+GETPIVOTDATA("XBC4",'bauchinh (2016)'!$A$3,"MA_HT","DVH","MA_QH","SKT")</f>
        <v>0</v>
      </c>
      <c r="W33" s="50">
        <f ca="1">+GETPIVOTDATA("XBC4",'bauchinh (2016)'!$A$3,"MA_HT","DVH","MA_QH","SKN")</f>
        <v>0</v>
      </c>
      <c r="X33" s="50">
        <f ca="1">+GETPIVOTDATA("XBC4",'bauchinh (2016)'!$A$3,"MA_HT","DVH","MA_QH","TMD")</f>
        <v>0</v>
      </c>
      <c r="Y33" s="50">
        <f ca="1">+GETPIVOTDATA("XBC4",'bauchinh (2016)'!$A$3,"MA_HT","DVH","MA_QH","SKC")</f>
        <v>0</v>
      </c>
      <c r="Z33" s="50">
        <f ca="1">+GETPIVOTDATA("XBC4",'bauchinh (2016)'!$A$3,"MA_HT","DVH","MA_QH","SKS")</f>
        <v>0</v>
      </c>
      <c r="AA33" s="52">
        <f ca="1">+SUM(AB33:AE33,AG33:AM33)</f>
        <v>0</v>
      </c>
      <c r="AB33" s="50">
        <f ca="1">+GETPIVOTDATA("XBC4",'bauchinh (2016)'!$A$3,"MA_HT","DVH","MA_QH","DGT")</f>
        <v>0</v>
      </c>
      <c r="AC33" s="50">
        <f ca="1">+GETPIVOTDATA("XBC4",'bauchinh (2016)'!$A$3,"MA_HT","DVH","MA_QH","DTL")</f>
        <v>0</v>
      </c>
      <c r="AD33" s="50">
        <f ca="1">+GETPIVOTDATA("XBC4",'bauchinh (2016)'!$A$3,"MA_HT","DVH","MA_QH","DNL")</f>
        <v>0</v>
      </c>
      <c r="AE33" s="50">
        <f ca="1">+GETPIVOTDATA("XBC4",'bauchinh (2016)'!$A$3,"MA_HT","DVH","MA_QH","DBV")</f>
        <v>0</v>
      </c>
      <c r="AF33" s="49" t="e">
        <f ca="1">$D33-$BF33</f>
        <v>#REF!</v>
      </c>
      <c r="AG33" s="50">
        <f ca="1">+GETPIVOTDATA("XBC4",'bauchinh (2016)'!$A$3,"MA_HT","DVH","MA_QH","DYT")</f>
        <v>0</v>
      </c>
      <c r="AH33" s="50">
        <f ca="1">+GETPIVOTDATA("XBC4",'bauchinh (2016)'!$A$3,"MA_HT","DVH","MA_QH","DGD")</f>
        <v>0</v>
      </c>
      <c r="AI33" s="50">
        <f ca="1">+GETPIVOTDATA("XBC4",'bauchinh (2016)'!$A$3,"MA_HT","DVH","MA_QH","DTT")</f>
        <v>0</v>
      </c>
      <c r="AJ33" s="50">
        <f ca="1">+GETPIVOTDATA("XBC4",'bauchinh (2016)'!$A$3,"MA_HT","DVH","MA_QH","NCK")</f>
        <v>0</v>
      </c>
      <c r="AK33" s="50">
        <f ca="1">+GETPIVOTDATA("XBC4",'bauchinh (2016)'!$A$3,"MA_HT","DVH","MA_QH","DXH")</f>
        <v>0</v>
      </c>
      <c r="AL33" s="50">
        <f ca="1">+GETPIVOTDATA("XBC4",'bauchinh (2016)'!$A$3,"MA_HT","DVH","MA_QH","DCH")</f>
        <v>0</v>
      </c>
      <c r="AM33" s="50">
        <f ca="1">+GETPIVOTDATA("XBC4",'bauchinh (2016)'!$A$3,"MA_HT","DVH","MA_QH","DKG")</f>
        <v>0</v>
      </c>
      <c r="AN33" s="50">
        <f ca="1">+GETPIVOTDATA("XBC4",'bauchinh (2016)'!$A$3,"MA_HT","DVH","MA_QH","DDT")</f>
        <v>0</v>
      </c>
      <c r="AO33" s="50">
        <f ca="1">+GETPIVOTDATA("XBC4",'bauchinh (2016)'!$A$3,"MA_HT","DVH","MA_QH","DDL")</f>
        <v>0</v>
      </c>
      <c r="AP33" s="50">
        <f ca="1">+GETPIVOTDATA("XBC4",'bauchinh (2016)'!$A$3,"MA_HT","DVH","MA_QH","DRA")</f>
        <v>0</v>
      </c>
      <c r="AQ33" s="50">
        <f ca="1">+GETPIVOTDATA("XBC4",'bauchinh (2016)'!$A$3,"MA_HT","DVH","MA_QH","ONT")</f>
        <v>0</v>
      </c>
      <c r="AR33" s="50">
        <f ca="1">+GETPIVOTDATA("XBC4",'bauchinh (2016)'!$A$3,"MA_HT","DVH","MA_QH","ODT")</f>
        <v>0</v>
      </c>
      <c r="AS33" s="50">
        <f ca="1">+GETPIVOTDATA("XBC4",'bauchinh (2016)'!$A$3,"MA_HT","DVH","MA_QH","TSC")</f>
        <v>0</v>
      </c>
      <c r="AT33" s="50">
        <f ca="1">+GETPIVOTDATA("XBC4",'bauchinh (2016)'!$A$3,"MA_HT","DVH","MA_QH","DTS")</f>
        <v>0</v>
      </c>
      <c r="AU33" s="50">
        <f ca="1">+GETPIVOTDATA("XBC4",'bauchinh (2016)'!$A$3,"MA_HT","DVH","MA_QH","DNG")</f>
        <v>0</v>
      </c>
      <c r="AV33" s="50">
        <f ca="1">+GETPIVOTDATA("XBC4",'bauchinh (2016)'!$A$3,"MA_HT","DVH","MA_QH","TON")</f>
        <v>0</v>
      </c>
      <c r="AW33" s="50">
        <f ca="1">+GETPIVOTDATA("XBC4",'bauchinh (2016)'!$A$3,"MA_HT","DVH","MA_QH","NTD")</f>
        <v>0</v>
      </c>
      <c r="AX33" s="50">
        <f ca="1">+GETPIVOTDATA("XBC4",'bauchinh (2016)'!$A$3,"MA_HT","DVH","MA_QH","SKX")</f>
        <v>0</v>
      </c>
      <c r="AY33" s="50">
        <f ca="1">+GETPIVOTDATA("XBC4",'bauchinh (2016)'!$A$3,"MA_HT","DVH","MA_QH","DSH")</f>
        <v>0</v>
      </c>
      <c r="AZ33" s="50">
        <f ca="1">+GETPIVOTDATA("XBC4",'bauchinh (2016)'!$A$3,"MA_HT","DVH","MA_QH","DKV")</f>
        <v>0</v>
      </c>
      <c r="BA33" s="88">
        <f ca="1">+GETPIVOTDATA("XBC4",'bauchinh (2016)'!$A$3,"MA_HT","DVH","MA_QH","TIN")</f>
        <v>0</v>
      </c>
      <c r="BB33" s="50">
        <f ca="1">+GETPIVOTDATA("XBC4",'bauchinh (2016)'!$A$3,"MA_HT","DVH","MA_QH","SON")</f>
        <v>0</v>
      </c>
      <c r="BC33" s="50">
        <f ca="1">+GETPIVOTDATA("XBC4",'bauchinh (2016)'!$A$3,"MA_HT","DVH","MA_QH","MNC")</f>
        <v>0</v>
      </c>
      <c r="BD33" s="50">
        <f ca="1">+GETPIVOTDATA("XBC4",'bauchinh (2016)'!$A$3,"MA_HT","DVH","MA_QH","PNK")</f>
        <v>0</v>
      </c>
      <c r="BE33" s="80">
        <f ca="1">+GETPIVOTDATA("XBC4",'bauchinh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+GETPIVOTDATA("XBC4",'bauchinh (2016)'!$A$3,"MA_HT","DYT","MA_QH","LUC")</f>
        <v>0</v>
      </c>
      <c r="H34" s="50">
        <f ca="1">+GETPIVOTDATA("XBC4",'bauchinh (2016)'!$A$3,"MA_HT","DYT","MA_QH","LUK")</f>
        <v>0</v>
      </c>
      <c r="I34" s="50">
        <f ca="1">+GETPIVOTDATA("XBC4",'bauchinh (2016)'!$A$3,"MA_HT","DYT","MA_QH","LUN")</f>
        <v>0</v>
      </c>
      <c r="J34" s="50">
        <f ca="1">+GETPIVOTDATA("XBC4",'bauchinh (2016)'!$A$3,"MA_HT","DYT","MA_QH","HNK")</f>
        <v>0</v>
      </c>
      <c r="K34" s="50">
        <f ca="1">+GETPIVOTDATA("XBC4",'bauchinh (2016)'!$A$3,"MA_HT","DYT","MA_QH","CLN")</f>
        <v>0</v>
      </c>
      <c r="L34" s="50">
        <f ca="1">+GETPIVOTDATA("XBC4",'bauchinh (2016)'!$A$3,"MA_HT","DYT","MA_QH","RSX")</f>
        <v>0</v>
      </c>
      <c r="M34" s="50">
        <f ca="1">+GETPIVOTDATA("XBC4",'bauchinh (2016)'!$A$3,"MA_HT","DYT","MA_QH","RPH")</f>
        <v>0</v>
      </c>
      <c r="N34" s="50">
        <f ca="1">+GETPIVOTDATA("XBC4",'bauchinh (2016)'!$A$3,"MA_HT","DYT","MA_QH","RDD")</f>
        <v>0</v>
      </c>
      <c r="O34" s="50">
        <f ca="1">+GETPIVOTDATA("XBC4",'bauchinh (2016)'!$A$3,"MA_HT","DYT","MA_QH","NTS")</f>
        <v>0</v>
      </c>
      <c r="P34" s="50">
        <f ca="1">+GETPIVOTDATA("XBC4",'bauchinh (2016)'!$A$3,"MA_HT","DYT","MA_QH","LMU")</f>
        <v>0</v>
      </c>
      <c r="Q34" s="50">
        <f ca="1">+GETPIVOTDATA("XBC4",'bauchinh (2016)'!$A$3,"MA_HT","DYT","MA_QH","NKH")</f>
        <v>0</v>
      </c>
      <c r="R34" s="48">
        <f ca="1" t="shared" si="20"/>
        <v>0</v>
      </c>
      <c r="S34" s="50">
        <f ca="1">+GETPIVOTDATA("XBC4",'bauchinh (2016)'!$A$3,"MA_HT","DYT","MA_QH","CQP")</f>
        <v>0</v>
      </c>
      <c r="T34" s="50">
        <f ca="1">+GETPIVOTDATA("XBC4",'bauchinh (2016)'!$A$3,"MA_HT","DYT","MA_QH","CAN")</f>
        <v>0</v>
      </c>
      <c r="U34" s="50">
        <f ca="1">+GETPIVOTDATA("XBC4",'bauchinh (2016)'!$A$3,"MA_HT","DYT","MA_QH","SKK")</f>
        <v>0</v>
      </c>
      <c r="V34" s="50">
        <f ca="1">+GETPIVOTDATA("XBC4",'bauchinh (2016)'!$A$3,"MA_HT","DYT","MA_QH","SKT")</f>
        <v>0</v>
      </c>
      <c r="W34" s="50">
        <f ca="1">+GETPIVOTDATA("XBC4",'bauchinh (2016)'!$A$3,"MA_HT","DYT","MA_QH","SKN")</f>
        <v>0</v>
      </c>
      <c r="X34" s="50">
        <f ca="1">+GETPIVOTDATA("XBC4",'bauchinh (2016)'!$A$3,"MA_HT","DYT","MA_QH","TMD")</f>
        <v>0</v>
      </c>
      <c r="Y34" s="50">
        <f ca="1">+GETPIVOTDATA("XBC4",'bauchinh (2016)'!$A$3,"MA_HT","DYT","MA_QH","SKC")</f>
        <v>0</v>
      </c>
      <c r="Z34" s="50">
        <f ca="1">+GETPIVOTDATA("XBC4",'bauchinh (2016)'!$A$3,"MA_HT","DYT","MA_QH","SKS")</f>
        <v>0</v>
      </c>
      <c r="AA34" s="52">
        <f ca="1">+SUM(AB34:AF34,AH34:AM34)</f>
        <v>0</v>
      </c>
      <c r="AB34" s="50">
        <f ca="1">+GETPIVOTDATA("XBC4",'bauchinh (2016)'!$A$3,"MA_HT","DYT","MA_QH","DGT")</f>
        <v>0</v>
      </c>
      <c r="AC34" s="50">
        <f ca="1">+GETPIVOTDATA("XBC4",'bauchinh (2016)'!$A$3,"MA_HT","DYT","MA_QH","DTL")</f>
        <v>0</v>
      </c>
      <c r="AD34" s="50">
        <f ca="1">+GETPIVOTDATA("XBC4",'bauchinh (2016)'!$A$3,"MA_HT","DYT","MA_QH","DNL")</f>
        <v>0</v>
      </c>
      <c r="AE34" s="50">
        <f ca="1">+GETPIVOTDATA("XBC4",'bauchinh (2016)'!$A$3,"MA_HT","DYT","MA_QH","DBV")</f>
        <v>0</v>
      </c>
      <c r="AF34" s="50">
        <f ca="1">+GETPIVOTDATA("XBC4",'bauchinh (2016)'!$A$3,"MA_HT","DYT","MA_QH","DVH")</f>
        <v>0</v>
      </c>
      <c r="AG34" s="49" t="e">
        <f ca="1">$D34-$BF34</f>
        <v>#REF!</v>
      </c>
      <c r="AH34" s="50">
        <f ca="1">+GETPIVOTDATA("XBC4",'bauchinh (2016)'!$A$3,"MA_HT","DYT","MA_QH","DGD")</f>
        <v>0</v>
      </c>
      <c r="AI34" s="50">
        <f ca="1">+GETPIVOTDATA("XBC4",'bauchinh (2016)'!$A$3,"MA_HT","DYT","MA_QH","DTT")</f>
        <v>0</v>
      </c>
      <c r="AJ34" s="50">
        <f ca="1">+GETPIVOTDATA("XBC4",'bauchinh (2016)'!$A$3,"MA_HT","DYT","MA_QH","NCK")</f>
        <v>0</v>
      </c>
      <c r="AK34" s="50">
        <f ca="1">+GETPIVOTDATA("XBC4",'bauchinh (2016)'!$A$3,"MA_HT","DYT","MA_QH","DXH")</f>
        <v>0</v>
      </c>
      <c r="AL34" s="50">
        <f ca="1">+GETPIVOTDATA("XBC4",'bauchinh (2016)'!$A$3,"MA_HT","DYT","MA_QH","DCH")</f>
        <v>0</v>
      </c>
      <c r="AM34" s="50">
        <f ca="1">+GETPIVOTDATA("XBC4",'bauchinh (2016)'!$A$3,"MA_HT","DYT","MA_QH","DKG")</f>
        <v>0</v>
      </c>
      <c r="AN34" s="50">
        <f ca="1">+GETPIVOTDATA("XBC4",'bauchinh (2016)'!$A$3,"MA_HT","DYT","MA_QH","DDT")</f>
        <v>0</v>
      </c>
      <c r="AO34" s="50">
        <f ca="1">+GETPIVOTDATA("XBC4",'bauchinh (2016)'!$A$3,"MA_HT","DYT","MA_QH","DDL")</f>
        <v>0</v>
      </c>
      <c r="AP34" s="50">
        <f ca="1">+GETPIVOTDATA("XBC4",'bauchinh (2016)'!$A$3,"MA_HT","DYT","MA_QH","DRA")</f>
        <v>0</v>
      </c>
      <c r="AQ34" s="50">
        <f ca="1">+GETPIVOTDATA("XBC4",'bauchinh (2016)'!$A$3,"MA_HT","DYT","MA_QH","ONT")</f>
        <v>0</v>
      </c>
      <c r="AR34" s="50">
        <f ca="1">+GETPIVOTDATA("XBC4",'bauchinh (2016)'!$A$3,"MA_HT","DYT","MA_QH","ODT")</f>
        <v>0</v>
      </c>
      <c r="AS34" s="50">
        <f ca="1">+GETPIVOTDATA("XBC4",'bauchinh (2016)'!$A$3,"MA_HT","DYT","MA_QH","TSC")</f>
        <v>0</v>
      </c>
      <c r="AT34" s="50">
        <f ca="1">+GETPIVOTDATA("XBC4",'bauchinh (2016)'!$A$3,"MA_HT","DYT","MA_QH","DTS")</f>
        <v>0</v>
      </c>
      <c r="AU34" s="50">
        <f ca="1">+GETPIVOTDATA("XBC4",'bauchinh (2016)'!$A$3,"MA_HT","DYT","MA_QH","DNG")</f>
        <v>0</v>
      </c>
      <c r="AV34" s="50">
        <f ca="1">+GETPIVOTDATA("XBC4",'bauchinh (2016)'!$A$3,"MA_HT","DYT","MA_QH","TON")</f>
        <v>0</v>
      </c>
      <c r="AW34" s="50">
        <f ca="1">+GETPIVOTDATA("XBC4",'bauchinh (2016)'!$A$3,"MA_HT","DYT","MA_QH","NTD")</f>
        <v>0</v>
      </c>
      <c r="AX34" s="50">
        <f ca="1">+GETPIVOTDATA("XBC4",'bauchinh (2016)'!$A$3,"MA_HT","DYT","MA_QH","SKX")</f>
        <v>0</v>
      </c>
      <c r="AY34" s="50">
        <f ca="1">+GETPIVOTDATA("XBC4",'bauchinh (2016)'!$A$3,"MA_HT","DYT","MA_QH","DSH")</f>
        <v>0</v>
      </c>
      <c r="AZ34" s="50">
        <f ca="1">+GETPIVOTDATA("XBC4",'bauchinh (2016)'!$A$3,"MA_HT","DYT","MA_QH","DKV")</f>
        <v>0</v>
      </c>
      <c r="BA34" s="88">
        <f ca="1">+GETPIVOTDATA("XBC4",'bauchinh (2016)'!$A$3,"MA_HT","DYT","MA_QH","TIN")</f>
        <v>0</v>
      </c>
      <c r="BB34" s="50">
        <f ca="1">+GETPIVOTDATA("XBC4",'bauchinh (2016)'!$A$3,"MA_HT","DYT","MA_QH","SON")</f>
        <v>0</v>
      </c>
      <c r="BC34" s="50">
        <f ca="1">+GETPIVOTDATA("XBC4",'bauchinh (2016)'!$A$3,"MA_HT","DYT","MA_QH","MNC")</f>
        <v>0</v>
      </c>
      <c r="BD34" s="50">
        <f ca="1">+GETPIVOTDATA("XBC4",'bauchinh (2016)'!$A$3,"MA_HT","DYT","MA_QH","PNK")</f>
        <v>0</v>
      </c>
      <c r="BE34" s="80">
        <f ca="1">+GETPIVOTDATA("XBC4",'bauchinh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+GETPIVOTDATA("XBC4",'bauchinh (2016)'!$A$3,"MA_HT","DGD","MA_QH","LUC")</f>
        <v>0</v>
      </c>
      <c r="H35" s="50">
        <f ca="1">+GETPIVOTDATA("XBC4",'bauchinh (2016)'!$A$3,"MA_HT","DGD","MA_QH","LUK")</f>
        <v>0</v>
      </c>
      <c r="I35" s="50">
        <f ca="1">+GETPIVOTDATA("XBC4",'bauchinh (2016)'!$A$3,"MA_HT","DGD","MA_QH","LUN")</f>
        <v>0</v>
      </c>
      <c r="J35" s="50">
        <f ca="1">+GETPIVOTDATA("XBC4",'bauchinh (2016)'!$A$3,"MA_HT","DGD","MA_QH","HNK")</f>
        <v>0</v>
      </c>
      <c r="K35" s="50">
        <f ca="1">+GETPIVOTDATA("XBC4",'bauchinh (2016)'!$A$3,"MA_HT","DGD","MA_QH","CLN")</f>
        <v>0</v>
      </c>
      <c r="L35" s="50">
        <f ca="1">+GETPIVOTDATA("XBC4",'bauchinh (2016)'!$A$3,"MA_HT","DGD","MA_QH","RSX")</f>
        <v>0</v>
      </c>
      <c r="M35" s="50">
        <f ca="1">+GETPIVOTDATA("XBC4",'bauchinh (2016)'!$A$3,"MA_HT","DGD","MA_QH","RPH")</f>
        <v>0</v>
      </c>
      <c r="N35" s="50">
        <f ca="1">+GETPIVOTDATA("XBC4",'bauchinh (2016)'!$A$3,"MA_HT","DGD","MA_QH","RDD")</f>
        <v>0</v>
      </c>
      <c r="O35" s="50">
        <f ca="1">+GETPIVOTDATA("XBC4",'bauchinh (2016)'!$A$3,"MA_HT","DGD","MA_QH","NTS")</f>
        <v>0</v>
      </c>
      <c r="P35" s="50">
        <f ca="1">+GETPIVOTDATA("XBC4",'bauchinh (2016)'!$A$3,"MA_HT","DGD","MA_QH","LMU")</f>
        <v>0</v>
      </c>
      <c r="Q35" s="50">
        <f ca="1">+GETPIVOTDATA("XBC4",'bauchinh (2016)'!$A$3,"MA_HT","DGD","MA_QH","NKH")</f>
        <v>0</v>
      </c>
      <c r="R35" s="48">
        <f ca="1" t="shared" si="20"/>
        <v>0</v>
      </c>
      <c r="S35" s="50">
        <f ca="1">+GETPIVOTDATA("XBC4",'bauchinh (2016)'!$A$3,"MA_HT","DGD","MA_QH","CQP")</f>
        <v>0</v>
      </c>
      <c r="T35" s="50">
        <f ca="1">+GETPIVOTDATA("XBC4",'bauchinh (2016)'!$A$3,"MA_HT","DGD","MA_QH","CAN")</f>
        <v>0</v>
      </c>
      <c r="U35" s="50">
        <f ca="1">+GETPIVOTDATA("XBC4",'bauchinh (2016)'!$A$3,"MA_HT","DGD","MA_QH","SKK")</f>
        <v>0</v>
      </c>
      <c r="V35" s="50">
        <f ca="1">+GETPIVOTDATA("XBC4",'bauchinh (2016)'!$A$3,"MA_HT","DGD","MA_QH","SKT")</f>
        <v>0</v>
      </c>
      <c r="W35" s="50">
        <f ca="1">+GETPIVOTDATA("XBC4",'bauchinh (2016)'!$A$3,"MA_HT","DGD","MA_QH","SKN")</f>
        <v>0</v>
      </c>
      <c r="X35" s="50">
        <f ca="1">+GETPIVOTDATA("XBC4",'bauchinh (2016)'!$A$3,"MA_HT","DGD","MA_QH","TMD")</f>
        <v>0</v>
      </c>
      <c r="Y35" s="50">
        <f ca="1">+GETPIVOTDATA("XBC4",'bauchinh (2016)'!$A$3,"MA_HT","DGD","MA_QH","SKC")</f>
        <v>0</v>
      </c>
      <c r="Z35" s="50">
        <f ca="1">+GETPIVOTDATA("XBC4",'bauchinh (2016)'!$A$3,"MA_HT","DGD","MA_QH","SKS")</f>
        <v>0</v>
      </c>
      <c r="AA35" s="52">
        <f ca="1">+SUM(AB35:AG35,AI35:AM35)</f>
        <v>0</v>
      </c>
      <c r="AB35" s="50">
        <f ca="1">+GETPIVOTDATA("XBC4",'bauchinh (2016)'!$A$3,"MA_HT","DGD","MA_QH","DGT")</f>
        <v>0</v>
      </c>
      <c r="AC35" s="50">
        <f ca="1">+GETPIVOTDATA("XBC4",'bauchinh (2016)'!$A$3,"MA_HT","DGD","MA_QH","DTL")</f>
        <v>0</v>
      </c>
      <c r="AD35" s="50">
        <f ca="1">+GETPIVOTDATA("XBC4",'bauchinh (2016)'!$A$3,"MA_HT","DGD","MA_QH","DNL")</f>
        <v>0</v>
      </c>
      <c r="AE35" s="50">
        <f ca="1">+GETPIVOTDATA("XBC4",'bauchinh (2016)'!$A$3,"MA_HT","DGD","MA_QH","DBV")</f>
        <v>0</v>
      </c>
      <c r="AF35" s="50">
        <f ca="1">+GETPIVOTDATA("XBC4",'bauchinh (2016)'!$A$3,"MA_HT","DGD","MA_QH","DVH")</f>
        <v>0</v>
      </c>
      <c r="AG35" s="50">
        <f ca="1">+GETPIVOTDATA("XBC4",'bauchinh (2016)'!$A$3,"MA_HT","DGD","MA_QH","DYT")</f>
        <v>0</v>
      </c>
      <c r="AH35" s="49" t="e">
        <f ca="1">$D35-$BF35</f>
        <v>#REF!</v>
      </c>
      <c r="AI35" s="50">
        <f ca="1">+GETPIVOTDATA("XBC4",'bauchinh (2016)'!$A$3,"MA_HT","DGD","MA_QH","DTT")</f>
        <v>0</v>
      </c>
      <c r="AJ35" s="50">
        <f ca="1">+GETPIVOTDATA("XBC4",'bauchinh (2016)'!$A$3,"MA_HT","DGD","MA_QH","NCK")</f>
        <v>0</v>
      </c>
      <c r="AK35" s="50">
        <f ca="1">+GETPIVOTDATA("XBC4",'bauchinh (2016)'!$A$3,"MA_HT","DGD","MA_QH","DXH")</f>
        <v>0</v>
      </c>
      <c r="AL35" s="50">
        <f ca="1">+GETPIVOTDATA("XBC4",'bauchinh (2016)'!$A$3,"MA_HT","DGD","MA_QH","DCH")</f>
        <v>0</v>
      </c>
      <c r="AM35" s="50">
        <f ca="1">+GETPIVOTDATA("XBC4",'bauchinh (2016)'!$A$3,"MA_HT","DGD","MA_QH","DKG")</f>
        <v>0</v>
      </c>
      <c r="AN35" s="50">
        <f ca="1">+GETPIVOTDATA("XBC4",'bauchinh (2016)'!$A$3,"MA_HT","DGD","MA_QH","DDT")</f>
        <v>0</v>
      </c>
      <c r="AO35" s="50">
        <f ca="1">+GETPIVOTDATA("XBC4",'bauchinh (2016)'!$A$3,"MA_HT","DGD","MA_QH","DDL")</f>
        <v>0</v>
      </c>
      <c r="AP35" s="50">
        <f ca="1">+GETPIVOTDATA("XBC4",'bauchinh (2016)'!$A$3,"MA_HT","DGD","MA_QH","DRA")</f>
        <v>0</v>
      </c>
      <c r="AQ35" s="50">
        <f ca="1">+GETPIVOTDATA("XBC4",'bauchinh (2016)'!$A$3,"MA_HT","DGD","MA_QH","ONT")</f>
        <v>0</v>
      </c>
      <c r="AR35" s="50">
        <f ca="1">+GETPIVOTDATA("XBC4",'bauchinh (2016)'!$A$3,"MA_HT","DGD","MA_QH","ODT")</f>
        <v>0</v>
      </c>
      <c r="AS35" s="50">
        <f ca="1">+GETPIVOTDATA("XBC4",'bauchinh (2016)'!$A$3,"MA_HT","DGD","MA_QH","TSC")</f>
        <v>0</v>
      </c>
      <c r="AT35" s="50">
        <f ca="1">+GETPIVOTDATA("XBC4",'bauchinh (2016)'!$A$3,"MA_HT","DGD","MA_QH","DTS")</f>
        <v>0</v>
      </c>
      <c r="AU35" s="50">
        <f ca="1">+GETPIVOTDATA("XBC4",'bauchinh (2016)'!$A$3,"MA_HT","DGD","MA_QH","DNG")</f>
        <v>0</v>
      </c>
      <c r="AV35" s="50">
        <f ca="1">+GETPIVOTDATA("XBC4",'bauchinh (2016)'!$A$3,"MA_HT","DGD","MA_QH","TON")</f>
        <v>0</v>
      </c>
      <c r="AW35" s="50">
        <f ca="1">+GETPIVOTDATA("XBC4",'bauchinh (2016)'!$A$3,"MA_HT","DGD","MA_QH","NTD")</f>
        <v>0</v>
      </c>
      <c r="AX35" s="50">
        <f ca="1">+GETPIVOTDATA("XBC4",'bauchinh (2016)'!$A$3,"MA_HT","DGD","MA_QH","SKX")</f>
        <v>0</v>
      </c>
      <c r="AY35" s="50">
        <f ca="1">+GETPIVOTDATA("XBC4",'bauchinh (2016)'!$A$3,"MA_HT","DGD","MA_QH","DSH")</f>
        <v>0</v>
      </c>
      <c r="AZ35" s="50">
        <f ca="1">+GETPIVOTDATA("XBC4",'bauchinh (2016)'!$A$3,"MA_HT","DGD","MA_QH","DKV")</f>
        <v>0</v>
      </c>
      <c r="BA35" s="88">
        <f ca="1">+GETPIVOTDATA("XBC4",'bauchinh (2016)'!$A$3,"MA_HT","DGD","MA_QH","TIN")</f>
        <v>0</v>
      </c>
      <c r="BB35" s="50">
        <f ca="1">+GETPIVOTDATA("XBC4",'bauchinh (2016)'!$A$3,"MA_HT","DGD","MA_QH","SON")</f>
        <v>0</v>
      </c>
      <c r="BC35" s="50">
        <f ca="1">+GETPIVOTDATA("XBC4",'bauchinh (2016)'!$A$3,"MA_HT","DGD","MA_QH","MNC")</f>
        <v>0</v>
      </c>
      <c r="BD35" s="50">
        <f ca="1">+GETPIVOTDATA("XBC4",'bauchinh (2016)'!$A$3,"MA_HT","DGD","MA_QH","PNK")</f>
        <v>0</v>
      </c>
      <c r="BE35" s="80">
        <f ca="1">+GETPIVOTDATA("XBC4",'bauchinh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+GETPIVOTDATA("XBC4",'bauchinh (2016)'!$A$3,"MA_HT","DTT","MA_QH","LUC")</f>
        <v>0</v>
      </c>
      <c r="H36" s="50">
        <f ca="1">+GETPIVOTDATA("XBC4",'bauchinh (2016)'!$A$3,"MA_HT","DTT","MA_QH","LUK")</f>
        <v>0</v>
      </c>
      <c r="I36" s="50">
        <f ca="1">+GETPIVOTDATA("XBC4",'bauchinh (2016)'!$A$3,"MA_HT","DTT","MA_QH","LUN")</f>
        <v>0</v>
      </c>
      <c r="J36" s="50">
        <f ca="1">+GETPIVOTDATA("XBC4",'bauchinh (2016)'!$A$3,"MA_HT","DTT","MA_QH","HNK")</f>
        <v>0</v>
      </c>
      <c r="K36" s="50">
        <f ca="1">+GETPIVOTDATA("XBC4",'bauchinh (2016)'!$A$3,"MA_HT","DTT","MA_QH","CLN")</f>
        <v>0</v>
      </c>
      <c r="L36" s="50">
        <f ca="1">+GETPIVOTDATA("XBC4",'bauchinh (2016)'!$A$3,"MA_HT","DTT","MA_QH","RSX")</f>
        <v>0</v>
      </c>
      <c r="M36" s="50">
        <f ca="1">+GETPIVOTDATA("XBC4",'bauchinh (2016)'!$A$3,"MA_HT","DTT","MA_QH","RPH")</f>
        <v>0</v>
      </c>
      <c r="N36" s="50">
        <f ca="1">+GETPIVOTDATA("XBC4",'bauchinh (2016)'!$A$3,"MA_HT","DTT","MA_QH","RDD")</f>
        <v>0</v>
      </c>
      <c r="O36" s="50">
        <f ca="1">+GETPIVOTDATA("XBC4",'bauchinh (2016)'!$A$3,"MA_HT","DTT","MA_QH","NTS")</f>
        <v>0</v>
      </c>
      <c r="P36" s="50">
        <f ca="1">+GETPIVOTDATA("XBC4",'bauchinh (2016)'!$A$3,"MA_HT","DTT","MA_QH","LMU")</f>
        <v>0</v>
      </c>
      <c r="Q36" s="50">
        <f ca="1">+GETPIVOTDATA("XBC4",'bauchinh (2016)'!$A$3,"MA_HT","DTT","MA_QH","NKH")</f>
        <v>0</v>
      </c>
      <c r="R36" s="48">
        <f ca="1" t="shared" si="20"/>
        <v>0</v>
      </c>
      <c r="S36" s="50">
        <f ca="1">+GETPIVOTDATA("XBC4",'bauchinh (2016)'!$A$3,"MA_HT","DTT","MA_QH","CQP")</f>
        <v>0</v>
      </c>
      <c r="T36" s="50">
        <f ca="1">+GETPIVOTDATA("XBC4",'bauchinh (2016)'!$A$3,"MA_HT","DTT","MA_QH","CAN")</f>
        <v>0</v>
      </c>
      <c r="U36" s="50">
        <f ca="1">+GETPIVOTDATA("XBC4",'bauchinh (2016)'!$A$3,"MA_HT","DTT","MA_QH","SKK")</f>
        <v>0</v>
      </c>
      <c r="V36" s="50">
        <f ca="1">+GETPIVOTDATA("XBC4",'bauchinh (2016)'!$A$3,"MA_HT","DTT","MA_QH","SKT")</f>
        <v>0</v>
      </c>
      <c r="W36" s="50">
        <f ca="1">+GETPIVOTDATA("XBC4",'bauchinh (2016)'!$A$3,"MA_HT","DTT","MA_QH","SKN")</f>
        <v>0</v>
      </c>
      <c r="X36" s="50">
        <f ca="1">+GETPIVOTDATA("XBC4",'bauchinh (2016)'!$A$3,"MA_HT","DTT","MA_QH","TMD")</f>
        <v>0</v>
      </c>
      <c r="Y36" s="50">
        <f ca="1">+GETPIVOTDATA("XBC4",'bauchinh (2016)'!$A$3,"MA_HT","DTT","MA_QH","SKC")</f>
        <v>0</v>
      </c>
      <c r="Z36" s="50">
        <f ca="1">+GETPIVOTDATA("XBC4",'bauchinh (2016)'!$A$3,"MA_HT","DTT","MA_QH","SKS")</f>
        <v>0</v>
      </c>
      <c r="AA36" s="52">
        <f ca="1">+SUM(AB36:AH36,AJ36:AM36)</f>
        <v>0</v>
      </c>
      <c r="AB36" s="50">
        <f ca="1">+GETPIVOTDATA("XBC4",'bauchinh (2016)'!$A$3,"MA_HT","DTT","MA_QH","DGT")</f>
        <v>0</v>
      </c>
      <c r="AC36" s="50">
        <f ca="1">+GETPIVOTDATA("XBC4",'bauchinh (2016)'!$A$3,"MA_HT","DTT","MA_QH","DTL")</f>
        <v>0</v>
      </c>
      <c r="AD36" s="50">
        <f ca="1">+GETPIVOTDATA("XBC4",'bauchinh (2016)'!$A$3,"MA_HT","DTT","MA_QH","DNL")</f>
        <v>0</v>
      </c>
      <c r="AE36" s="50">
        <f ca="1">+GETPIVOTDATA("XBC4",'bauchinh (2016)'!$A$3,"MA_HT","DTT","MA_QH","DBV")</f>
        <v>0</v>
      </c>
      <c r="AF36" s="50">
        <f ca="1">+GETPIVOTDATA("XBC4",'bauchinh (2016)'!$A$3,"MA_HT","DTT","MA_QH","DVH")</f>
        <v>0</v>
      </c>
      <c r="AG36" s="50">
        <f ca="1">+GETPIVOTDATA("XBC4",'bauchinh (2016)'!$A$3,"MA_HT","DTT","MA_QH","DYT")</f>
        <v>0</v>
      </c>
      <c r="AH36" s="50">
        <f ca="1">+GETPIVOTDATA("XBC4",'bauchinh (2016)'!$A$3,"MA_HT","DTT","MA_QH","DGD")</f>
        <v>0</v>
      </c>
      <c r="AI36" s="49" t="e">
        <f ca="1">$D36-$BF36</f>
        <v>#REF!</v>
      </c>
      <c r="AJ36" s="50">
        <f ca="1">+GETPIVOTDATA("XBC4",'bauchinh (2016)'!$A$3,"MA_HT","DTT","MA_QH","NCK")</f>
        <v>0</v>
      </c>
      <c r="AK36" s="50">
        <f ca="1">+GETPIVOTDATA("XBC4",'bauchinh (2016)'!$A$3,"MA_HT","DTT","MA_QH","DXH")</f>
        <v>0</v>
      </c>
      <c r="AL36" s="50">
        <f ca="1">+GETPIVOTDATA("XBC4",'bauchinh (2016)'!$A$3,"MA_HT","DTT","MA_QH","DCH")</f>
        <v>0</v>
      </c>
      <c r="AM36" s="50">
        <f ca="1">+GETPIVOTDATA("XBC4",'bauchinh (2016)'!$A$3,"MA_HT","DTT","MA_QH","DKG")</f>
        <v>0</v>
      </c>
      <c r="AN36" s="50">
        <f ca="1">+GETPIVOTDATA("XBC4",'bauchinh (2016)'!$A$3,"MA_HT","DTT","MA_QH","DDT")</f>
        <v>0</v>
      </c>
      <c r="AO36" s="50">
        <f ca="1">+GETPIVOTDATA("XBC4",'bauchinh (2016)'!$A$3,"MA_HT","DTT","MA_QH","DDL")</f>
        <v>0</v>
      </c>
      <c r="AP36" s="50">
        <f ca="1">+GETPIVOTDATA("XBC4",'bauchinh (2016)'!$A$3,"MA_HT","DTT","MA_QH","DRA")</f>
        <v>0</v>
      </c>
      <c r="AQ36" s="50">
        <f ca="1">+GETPIVOTDATA("XBC4",'bauchinh (2016)'!$A$3,"MA_HT","DTT","MA_QH","ONT")</f>
        <v>0</v>
      </c>
      <c r="AR36" s="50">
        <f ca="1">+GETPIVOTDATA("XBC4",'bauchinh (2016)'!$A$3,"MA_HT","DTT","MA_QH","ODT")</f>
        <v>0</v>
      </c>
      <c r="AS36" s="50">
        <f ca="1">+GETPIVOTDATA("XBC4",'bauchinh (2016)'!$A$3,"MA_HT","DTT","MA_QH","TSC")</f>
        <v>0</v>
      </c>
      <c r="AT36" s="50">
        <f ca="1">+GETPIVOTDATA("XBC4",'bauchinh (2016)'!$A$3,"MA_HT","DTT","MA_QH","DTS")</f>
        <v>0</v>
      </c>
      <c r="AU36" s="50">
        <f ca="1">+GETPIVOTDATA("XBC4",'bauchinh (2016)'!$A$3,"MA_HT","DTT","MA_QH","DNG")</f>
        <v>0</v>
      </c>
      <c r="AV36" s="50">
        <f ca="1">+GETPIVOTDATA("XBC4",'bauchinh (2016)'!$A$3,"MA_HT","DTT","MA_QH","TON")</f>
        <v>0</v>
      </c>
      <c r="AW36" s="50">
        <f ca="1">+GETPIVOTDATA("XBC4",'bauchinh (2016)'!$A$3,"MA_HT","DTT","MA_QH","NTD")</f>
        <v>0</v>
      </c>
      <c r="AX36" s="50">
        <f ca="1">+GETPIVOTDATA("XBC4",'bauchinh (2016)'!$A$3,"MA_HT","DTT","MA_QH","SKX")</f>
        <v>0</v>
      </c>
      <c r="AY36" s="50">
        <f ca="1">+GETPIVOTDATA("XBC4",'bauchinh (2016)'!$A$3,"MA_HT","DTT","MA_QH","DSH")</f>
        <v>0</v>
      </c>
      <c r="AZ36" s="50">
        <f ca="1">+GETPIVOTDATA("XBC4",'bauchinh (2016)'!$A$3,"MA_HT","DTT","MA_QH","DKV")</f>
        <v>0</v>
      </c>
      <c r="BA36" s="88">
        <f ca="1">+GETPIVOTDATA("XBC4",'bauchinh (2016)'!$A$3,"MA_HT","DTT","MA_QH","TIN")</f>
        <v>0</v>
      </c>
      <c r="BB36" s="50">
        <f ca="1">+GETPIVOTDATA("XBC4",'bauchinh (2016)'!$A$3,"MA_HT","DTT","MA_QH","SON")</f>
        <v>0</v>
      </c>
      <c r="BC36" s="50">
        <f ca="1">+GETPIVOTDATA("XBC4",'bauchinh (2016)'!$A$3,"MA_HT","DTT","MA_QH","MNC")</f>
        <v>0</v>
      </c>
      <c r="BD36" s="50">
        <f ca="1">+GETPIVOTDATA("XBC4",'bauchinh (2016)'!$A$3,"MA_HT","DTT","MA_QH","PNK")</f>
        <v>0</v>
      </c>
      <c r="BE36" s="80">
        <f ca="1">+GETPIVOTDATA("XBC4",'bauchinh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+GETPIVOTDATA("XBC4",'bauchinh (2016)'!$A$3,"MA_HT","NCK","MA_QH","LUC")</f>
        <v>0</v>
      </c>
      <c r="H37" s="50">
        <f ca="1">+GETPIVOTDATA("XBC4",'bauchinh (2016)'!$A$3,"MA_HT","NCK","MA_QH","LUK")</f>
        <v>0</v>
      </c>
      <c r="I37" s="50">
        <f ca="1">+GETPIVOTDATA("XBC4",'bauchinh (2016)'!$A$3,"MA_HT","NCK","MA_QH","LUN")</f>
        <v>0</v>
      </c>
      <c r="J37" s="50">
        <f ca="1">+GETPIVOTDATA("XBC4",'bauchinh (2016)'!$A$3,"MA_HT","NCK","MA_QH","HNK")</f>
        <v>0</v>
      </c>
      <c r="K37" s="50">
        <f ca="1">+GETPIVOTDATA("XBC4",'bauchinh (2016)'!$A$3,"MA_HT","NCK","MA_QH","CLN")</f>
        <v>0</v>
      </c>
      <c r="L37" s="50">
        <f ca="1">+GETPIVOTDATA("XBC4",'bauchinh (2016)'!$A$3,"MA_HT","NCK","MA_QH","RSX")</f>
        <v>0</v>
      </c>
      <c r="M37" s="50">
        <f ca="1">+GETPIVOTDATA("XBC4",'bauchinh (2016)'!$A$3,"MA_HT","NCK","MA_QH","RPH")</f>
        <v>0</v>
      </c>
      <c r="N37" s="50">
        <f ca="1">+GETPIVOTDATA("XBC4",'bauchinh (2016)'!$A$3,"MA_HT","NCK","MA_QH","RDD")</f>
        <v>0</v>
      </c>
      <c r="O37" s="50">
        <f ca="1">+GETPIVOTDATA("XBC4",'bauchinh (2016)'!$A$3,"MA_HT","NCK","MA_QH","NTS")</f>
        <v>0</v>
      </c>
      <c r="P37" s="50">
        <f ca="1">+GETPIVOTDATA("XBC4",'bauchinh (2016)'!$A$3,"MA_HT","NCK","MA_QH","LMU")</f>
        <v>0</v>
      </c>
      <c r="Q37" s="50">
        <f ca="1">+GETPIVOTDATA("XBC4",'bauchinh (2016)'!$A$3,"MA_HT","NCK","MA_QH","NKH")</f>
        <v>0</v>
      </c>
      <c r="R37" s="48">
        <f ca="1" t="shared" si="20"/>
        <v>0</v>
      </c>
      <c r="S37" s="50">
        <f ca="1">+GETPIVOTDATA("XBC4",'bauchinh (2016)'!$A$3,"MA_HT","NCK","MA_QH","CQP")</f>
        <v>0</v>
      </c>
      <c r="T37" s="50">
        <f ca="1">+GETPIVOTDATA("XBC4",'bauchinh (2016)'!$A$3,"MA_HT","NCK","MA_QH","CAN")</f>
        <v>0</v>
      </c>
      <c r="U37" s="50">
        <f ca="1">+GETPIVOTDATA("XBC4",'bauchinh (2016)'!$A$3,"MA_HT","NCK","MA_QH","SKK")</f>
        <v>0</v>
      </c>
      <c r="V37" s="50">
        <f ca="1">+GETPIVOTDATA("XBC4",'bauchinh (2016)'!$A$3,"MA_HT","NCK","MA_QH","SKT")</f>
        <v>0</v>
      </c>
      <c r="W37" s="50">
        <f ca="1">+GETPIVOTDATA("XBC4",'bauchinh (2016)'!$A$3,"MA_HT","NCK","MA_QH","SKN")</f>
        <v>0</v>
      </c>
      <c r="X37" s="50">
        <f ca="1">+GETPIVOTDATA("XBC4",'bauchinh (2016)'!$A$3,"MA_HT","NCK","MA_QH","TMD")</f>
        <v>0</v>
      </c>
      <c r="Y37" s="50">
        <f ca="1">+GETPIVOTDATA("XBC4",'bauchinh (2016)'!$A$3,"MA_HT","NCK","MA_QH","SKC")</f>
        <v>0</v>
      </c>
      <c r="Z37" s="50">
        <f ca="1">+GETPIVOTDATA("XBC4",'bauchinh (2016)'!$A$3,"MA_HT","NCK","MA_QH","SKS")</f>
        <v>0</v>
      </c>
      <c r="AA37" s="52">
        <f ca="1">+SUM(AB37:AI37,AK37:AM37)</f>
        <v>0</v>
      </c>
      <c r="AB37" s="50">
        <f ca="1">+GETPIVOTDATA("XBC4",'bauchinh (2016)'!$A$3,"MA_HT","NCK","MA_QH","DGT")</f>
        <v>0</v>
      </c>
      <c r="AC37" s="50">
        <f ca="1">+GETPIVOTDATA("XBC4",'bauchinh (2016)'!$A$3,"MA_HT","NCK","MA_QH","DTL")</f>
        <v>0</v>
      </c>
      <c r="AD37" s="50">
        <f ca="1">+GETPIVOTDATA("XBC4",'bauchinh (2016)'!$A$3,"MA_HT","NCK","MA_QH","DNL")</f>
        <v>0</v>
      </c>
      <c r="AE37" s="50">
        <f ca="1">+GETPIVOTDATA("XBC4",'bauchinh (2016)'!$A$3,"MA_HT","NCK","MA_QH","DBV")</f>
        <v>0</v>
      </c>
      <c r="AF37" s="50">
        <f ca="1">+GETPIVOTDATA("XBC4",'bauchinh (2016)'!$A$3,"MA_HT","NCK","MA_QH","DVH")</f>
        <v>0</v>
      </c>
      <c r="AG37" s="50">
        <f ca="1">+GETPIVOTDATA("XBC4",'bauchinh (2016)'!$A$3,"MA_HT","NCK","MA_QH","DYT")</f>
        <v>0</v>
      </c>
      <c r="AH37" s="50">
        <f ca="1">+GETPIVOTDATA("XBC4",'bauchinh (2016)'!$A$3,"MA_HT","NCK","MA_QH","DGD")</f>
        <v>0</v>
      </c>
      <c r="AI37" s="50">
        <f ca="1">+GETPIVOTDATA("XBC4",'bauchinh (2016)'!$A$3,"MA_HT","NCK","MA_QH","DTT")</f>
        <v>0</v>
      </c>
      <c r="AJ37" s="49" t="e">
        <f ca="1">$D37-$BF37</f>
        <v>#REF!</v>
      </c>
      <c r="AK37" s="50">
        <f ca="1">+GETPIVOTDATA("XBC4",'bauchinh (2016)'!$A$3,"MA_HT","NCK","MA_QH","DXH")</f>
        <v>0</v>
      </c>
      <c r="AL37" s="50">
        <f ca="1">+GETPIVOTDATA("XBC4",'bauchinh (2016)'!$A$3,"MA_HT","NCK","MA_QH","DCH")</f>
        <v>0</v>
      </c>
      <c r="AM37" s="50">
        <f ca="1">+GETPIVOTDATA("XBC4",'bauchinh (2016)'!$A$3,"MA_HT","NCK","MA_QH","DKG")</f>
        <v>0</v>
      </c>
      <c r="AN37" s="50">
        <f ca="1">+GETPIVOTDATA("XBC4",'bauchinh (2016)'!$A$3,"MA_HT","NCK","MA_QH","DDT")</f>
        <v>0</v>
      </c>
      <c r="AO37" s="50">
        <f ca="1">+GETPIVOTDATA("XBC4",'bauchinh (2016)'!$A$3,"MA_HT","NCK","MA_QH","DDL")</f>
        <v>0</v>
      </c>
      <c r="AP37" s="50">
        <f ca="1">+GETPIVOTDATA("XBC4",'bauchinh (2016)'!$A$3,"MA_HT","NCK","MA_QH","DRA")</f>
        <v>0</v>
      </c>
      <c r="AQ37" s="50">
        <f ca="1">+GETPIVOTDATA("XBC4",'bauchinh (2016)'!$A$3,"MA_HT","NCK","MA_QH","ONT")</f>
        <v>0</v>
      </c>
      <c r="AR37" s="50">
        <f ca="1">+GETPIVOTDATA("XBC4",'bauchinh (2016)'!$A$3,"MA_HT","NCK","MA_QH","ODT")</f>
        <v>0</v>
      </c>
      <c r="AS37" s="50">
        <f ca="1">+GETPIVOTDATA("XBC4",'bauchinh (2016)'!$A$3,"MA_HT","NCK","MA_QH","TSC")</f>
        <v>0</v>
      </c>
      <c r="AT37" s="50">
        <f ca="1">+GETPIVOTDATA("XBC4",'bauchinh (2016)'!$A$3,"MA_HT","NCK","MA_QH","DTS")</f>
        <v>0</v>
      </c>
      <c r="AU37" s="50">
        <f ca="1">+GETPIVOTDATA("XBC4",'bauchinh (2016)'!$A$3,"MA_HT","NCK","MA_QH","DNG")</f>
        <v>0</v>
      </c>
      <c r="AV37" s="50">
        <f ca="1">+GETPIVOTDATA("XBC4",'bauchinh (2016)'!$A$3,"MA_HT","NCK","MA_QH","TON")</f>
        <v>0</v>
      </c>
      <c r="AW37" s="50">
        <f ca="1">+GETPIVOTDATA("XBC4",'bauchinh (2016)'!$A$3,"MA_HT","NCK","MA_QH","NTD")</f>
        <v>0</v>
      </c>
      <c r="AX37" s="50">
        <f ca="1">+GETPIVOTDATA("XBC4",'bauchinh (2016)'!$A$3,"MA_HT","NCK","MA_QH","SKX")</f>
        <v>0</v>
      </c>
      <c r="AY37" s="50">
        <f ca="1">+GETPIVOTDATA("XBC4",'bauchinh (2016)'!$A$3,"MA_HT","NCK","MA_QH","DSH")</f>
        <v>0</v>
      </c>
      <c r="AZ37" s="50">
        <f ca="1">+GETPIVOTDATA("XBC4",'bauchinh (2016)'!$A$3,"MA_HT","NCK","MA_QH","DKV")</f>
        <v>0</v>
      </c>
      <c r="BA37" s="88">
        <f ca="1">+GETPIVOTDATA("XBC4",'bauchinh (2016)'!$A$3,"MA_HT","NCK","MA_QH","TIN")</f>
        <v>0</v>
      </c>
      <c r="BB37" s="50">
        <f ca="1">+GETPIVOTDATA("XBC4",'bauchinh (2016)'!$A$3,"MA_HT","NCK","MA_QH","SON")</f>
        <v>0</v>
      </c>
      <c r="BC37" s="50">
        <f ca="1">+GETPIVOTDATA("XBC4",'bauchinh (2016)'!$A$3,"MA_HT","NCK","MA_QH","MNC")</f>
        <v>0</v>
      </c>
      <c r="BD37" s="50">
        <f ca="1">+GETPIVOTDATA("XBC4",'bauchinh (2016)'!$A$3,"MA_HT","NCK","MA_QH","PNK")</f>
        <v>0</v>
      </c>
      <c r="BE37" s="80">
        <f ca="1">+GETPIVOTDATA("XBC4",'bauchinh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+GETPIVOTDATA("XBC4",'bauchinh (2016)'!$A$3,"MA_HT","DXH","MA_QH","LUC")</f>
        <v>0</v>
      </c>
      <c r="H38" s="50">
        <f ca="1">+GETPIVOTDATA("XBC4",'bauchinh (2016)'!$A$3,"MA_HT","DXH","MA_QH","LUK")</f>
        <v>0</v>
      </c>
      <c r="I38" s="50">
        <f ca="1">+GETPIVOTDATA("XBC4",'bauchinh (2016)'!$A$3,"MA_HT","DXH","MA_QH","LUN")</f>
        <v>0</v>
      </c>
      <c r="J38" s="50">
        <f ca="1">+GETPIVOTDATA("XBC4",'bauchinh (2016)'!$A$3,"MA_HT","DXH","MA_QH","HNK")</f>
        <v>0</v>
      </c>
      <c r="K38" s="50">
        <f ca="1">+GETPIVOTDATA("XBC4",'bauchinh (2016)'!$A$3,"MA_HT","DXH","MA_QH","CLN")</f>
        <v>0</v>
      </c>
      <c r="L38" s="50">
        <f ca="1">+GETPIVOTDATA("XBC4",'bauchinh (2016)'!$A$3,"MA_HT","DXH","MA_QH","RSX")</f>
        <v>0</v>
      </c>
      <c r="M38" s="50">
        <f ca="1">+GETPIVOTDATA("XBC4",'bauchinh (2016)'!$A$3,"MA_HT","DXH","MA_QH","RPH")</f>
        <v>0</v>
      </c>
      <c r="N38" s="50">
        <f ca="1">+GETPIVOTDATA("XBC4",'bauchinh (2016)'!$A$3,"MA_HT","DXH","MA_QH","RDD")</f>
        <v>0</v>
      </c>
      <c r="O38" s="50">
        <f ca="1">+GETPIVOTDATA("XBC4",'bauchinh (2016)'!$A$3,"MA_HT","DXH","MA_QH","NTS")</f>
        <v>0</v>
      </c>
      <c r="P38" s="50">
        <f ca="1">+GETPIVOTDATA("XBC4",'bauchinh (2016)'!$A$3,"MA_HT","DXH","MA_QH","LMU")</f>
        <v>0</v>
      </c>
      <c r="Q38" s="50">
        <f ca="1">+GETPIVOTDATA("XBC4",'bauchinh (2016)'!$A$3,"MA_HT","DXH","MA_QH","NKH")</f>
        <v>0</v>
      </c>
      <c r="R38" s="48">
        <f ca="1" t="shared" si="20"/>
        <v>0</v>
      </c>
      <c r="S38" s="50">
        <f ca="1">+GETPIVOTDATA("XBC4",'bauchinh (2016)'!$A$3,"MA_HT","DXH","MA_QH","CQP")</f>
        <v>0</v>
      </c>
      <c r="T38" s="50">
        <f ca="1">+GETPIVOTDATA("XBC4",'bauchinh (2016)'!$A$3,"MA_HT","DXH","MA_QH","CAN")</f>
        <v>0</v>
      </c>
      <c r="U38" s="50">
        <f ca="1">+GETPIVOTDATA("XBC4",'bauchinh (2016)'!$A$3,"MA_HT","DXH","MA_QH","SKK")</f>
        <v>0</v>
      </c>
      <c r="V38" s="50">
        <f ca="1">+GETPIVOTDATA("XBC4",'bauchinh (2016)'!$A$3,"MA_HT","DXH","MA_QH","SKT")</f>
        <v>0</v>
      </c>
      <c r="W38" s="50">
        <f ca="1">+GETPIVOTDATA("XBC4",'bauchinh (2016)'!$A$3,"MA_HT","DXH","MA_QH","SKN")</f>
        <v>0</v>
      </c>
      <c r="X38" s="50">
        <f ca="1">+GETPIVOTDATA("XBC4",'bauchinh (2016)'!$A$3,"MA_HT","DXH","MA_QH","TMD")</f>
        <v>0</v>
      </c>
      <c r="Y38" s="50">
        <f ca="1">+GETPIVOTDATA("XBC4",'bauchinh (2016)'!$A$3,"MA_HT","DXH","MA_QH","SKC")</f>
        <v>0</v>
      </c>
      <c r="Z38" s="50">
        <f ca="1">+GETPIVOTDATA("XBC4",'bauchinh (2016)'!$A$3,"MA_HT","DXH","MA_QH","SKS")</f>
        <v>0</v>
      </c>
      <c r="AA38" s="52">
        <f ca="1">+SUM(AB38:AJ38,AL38:AM38)</f>
        <v>0</v>
      </c>
      <c r="AB38" s="50">
        <f ca="1">+GETPIVOTDATA("XBC4",'bauchinh (2016)'!$A$3,"MA_HT","DXH","MA_QH","DGT")</f>
        <v>0</v>
      </c>
      <c r="AC38" s="50">
        <f ca="1">+GETPIVOTDATA("XBC4",'bauchinh (2016)'!$A$3,"MA_HT","DXH","MA_QH","DTL")</f>
        <v>0</v>
      </c>
      <c r="AD38" s="50">
        <f ca="1">+GETPIVOTDATA("XBC4",'bauchinh (2016)'!$A$3,"MA_HT","DXH","MA_QH","DNL")</f>
        <v>0</v>
      </c>
      <c r="AE38" s="50">
        <f ca="1">+GETPIVOTDATA("XBC4",'bauchinh (2016)'!$A$3,"MA_HT","DXH","MA_QH","DBV")</f>
        <v>0</v>
      </c>
      <c r="AF38" s="50">
        <f ca="1">+GETPIVOTDATA("XBC4",'bauchinh (2016)'!$A$3,"MA_HT","DXH","MA_QH","DVH")</f>
        <v>0</v>
      </c>
      <c r="AG38" s="50">
        <f ca="1">+GETPIVOTDATA("XBC4",'bauchinh (2016)'!$A$3,"MA_HT","DXH","MA_QH","DYT")</f>
        <v>0</v>
      </c>
      <c r="AH38" s="50">
        <f ca="1">+GETPIVOTDATA("XBC4",'bauchinh (2016)'!$A$3,"MA_HT","DXH","MA_QH","DGD")</f>
        <v>0</v>
      </c>
      <c r="AI38" s="50">
        <f ca="1">+GETPIVOTDATA("XBC4",'bauchinh (2016)'!$A$3,"MA_HT","DXH","MA_QH","DTT")</f>
        <v>0</v>
      </c>
      <c r="AJ38" s="50">
        <f ca="1">+GETPIVOTDATA("XBC4",'bauchinh (2016)'!$A$3,"MA_HT","DXH","MA_QH","NCK")</f>
        <v>0</v>
      </c>
      <c r="AK38" s="49" t="e">
        <f ca="1">$D38-$BF38</f>
        <v>#REF!</v>
      </c>
      <c r="AL38" s="50">
        <f ca="1">+GETPIVOTDATA("XBC4",'bauchinh (2016)'!$A$3,"MA_HT","DXH","MA_QH","DCH")</f>
        <v>0</v>
      </c>
      <c r="AM38" s="50">
        <f ca="1">+GETPIVOTDATA("XBC4",'bauchinh (2016)'!$A$3,"MA_HT","DXH","MA_QH","DKG")</f>
        <v>0</v>
      </c>
      <c r="AN38" s="50">
        <f ca="1">+GETPIVOTDATA("XBC4",'bauchinh (2016)'!$A$3,"MA_HT","DXH","MA_QH","DDT")</f>
        <v>0</v>
      </c>
      <c r="AO38" s="50">
        <f ca="1">+GETPIVOTDATA("XBC4",'bauchinh (2016)'!$A$3,"MA_HT","DXH","MA_QH","DDL")</f>
        <v>0</v>
      </c>
      <c r="AP38" s="50">
        <f ca="1">+GETPIVOTDATA("XBC4",'bauchinh (2016)'!$A$3,"MA_HT","DXH","MA_QH","DRA")</f>
        <v>0</v>
      </c>
      <c r="AQ38" s="50">
        <f ca="1">+GETPIVOTDATA("XBC4",'bauchinh (2016)'!$A$3,"MA_HT","DXH","MA_QH","ONT")</f>
        <v>0</v>
      </c>
      <c r="AR38" s="50">
        <f ca="1">+GETPIVOTDATA("XBC4",'bauchinh (2016)'!$A$3,"MA_HT","DXH","MA_QH","ODT")</f>
        <v>0</v>
      </c>
      <c r="AS38" s="50">
        <f ca="1">+GETPIVOTDATA("XBC4",'bauchinh (2016)'!$A$3,"MA_HT","DXH","MA_QH","TSC")</f>
        <v>0</v>
      </c>
      <c r="AT38" s="50">
        <f ca="1">+GETPIVOTDATA("XBC4",'bauchinh (2016)'!$A$3,"MA_HT","DXH","MA_QH","DTS")</f>
        <v>0</v>
      </c>
      <c r="AU38" s="50">
        <f ca="1">+GETPIVOTDATA("XBC4",'bauchinh (2016)'!$A$3,"MA_HT","DXH","MA_QH","DNG")</f>
        <v>0</v>
      </c>
      <c r="AV38" s="50">
        <f ca="1">+GETPIVOTDATA("XBC4",'bauchinh (2016)'!$A$3,"MA_HT","DXH","MA_QH","TON")</f>
        <v>0</v>
      </c>
      <c r="AW38" s="50">
        <f ca="1">+GETPIVOTDATA("XBC4",'bauchinh (2016)'!$A$3,"MA_HT","DXH","MA_QH","NTD")</f>
        <v>0</v>
      </c>
      <c r="AX38" s="50">
        <f ca="1">+GETPIVOTDATA("XBC4",'bauchinh (2016)'!$A$3,"MA_HT","DXH","MA_QH","SKX")</f>
        <v>0</v>
      </c>
      <c r="AY38" s="50">
        <f ca="1">+GETPIVOTDATA("XBC4",'bauchinh (2016)'!$A$3,"MA_HT","DXH","MA_QH","DSH")</f>
        <v>0</v>
      </c>
      <c r="AZ38" s="50">
        <f ca="1">+GETPIVOTDATA("XBC4",'bauchinh (2016)'!$A$3,"MA_HT","DXH","MA_QH","DKV")</f>
        <v>0</v>
      </c>
      <c r="BA38" s="88">
        <f ca="1">+GETPIVOTDATA("XBC4",'bauchinh (2016)'!$A$3,"MA_HT","DXH","MA_QH","TIN")</f>
        <v>0</v>
      </c>
      <c r="BB38" s="50">
        <f ca="1">+GETPIVOTDATA("XBC4",'bauchinh (2016)'!$A$3,"MA_HT","DXH","MA_QH","SON")</f>
        <v>0</v>
      </c>
      <c r="BC38" s="50">
        <f ca="1">+GETPIVOTDATA("XBC4",'bauchinh (2016)'!$A$3,"MA_HT","DXH","MA_QH","MNC")</f>
        <v>0</v>
      </c>
      <c r="BD38" s="50">
        <f ca="1">+GETPIVOTDATA("XBC4",'bauchinh (2016)'!$A$3,"MA_HT","DXH","MA_QH","PNK")</f>
        <v>0</v>
      </c>
      <c r="BE38" s="80">
        <f ca="1">+GETPIVOTDATA("XBC4",'bauchinh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+GETPIVOTDATA("XBC4",'bauchinh (2016)'!$A$3,"MA_HT","DCH","MA_QH","LUC")</f>
        <v>0</v>
      </c>
      <c r="H39" s="50">
        <f ca="1">+GETPIVOTDATA("XBC4",'bauchinh (2016)'!$A$3,"MA_HT","DCH","MA_QH","LUK")</f>
        <v>0</v>
      </c>
      <c r="I39" s="50">
        <f ca="1">+GETPIVOTDATA("XBC4",'bauchinh (2016)'!$A$3,"MA_HT","DCH","MA_QH","LUN")</f>
        <v>0</v>
      </c>
      <c r="J39" s="50">
        <f ca="1">+GETPIVOTDATA("XBC4",'bauchinh (2016)'!$A$3,"MA_HT","DCH","MA_QH","HNK")</f>
        <v>0</v>
      </c>
      <c r="K39" s="50">
        <f ca="1">+GETPIVOTDATA("XBC4",'bauchinh (2016)'!$A$3,"MA_HT","DCH","MA_QH","CLN")</f>
        <v>0</v>
      </c>
      <c r="L39" s="50">
        <f ca="1">+GETPIVOTDATA("XBC4",'bauchinh (2016)'!$A$3,"MA_HT","DCH","MA_QH","RSX")</f>
        <v>0</v>
      </c>
      <c r="M39" s="50">
        <f ca="1">+GETPIVOTDATA("XBC4",'bauchinh (2016)'!$A$3,"MA_HT","DCH","MA_QH","RPH")</f>
        <v>0</v>
      </c>
      <c r="N39" s="50">
        <f ca="1">+GETPIVOTDATA("XBC4",'bauchinh (2016)'!$A$3,"MA_HT","DCH","MA_QH","RDD")</f>
        <v>0</v>
      </c>
      <c r="O39" s="50">
        <f ca="1">+GETPIVOTDATA("XBC4",'bauchinh (2016)'!$A$3,"MA_HT","DCH","MA_QH","NTS")</f>
        <v>0</v>
      </c>
      <c r="P39" s="50">
        <f ca="1">+GETPIVOTDATA("XBC4",'bauchinh (2016)'!$A$3,"MA_HT","DCH","MA_QH","LMU")</f>
        <v>0</v>
      </c>
      <c r="Q39" s="50">
        <f ca="1">+GETPIVOTDATA("XBC4",'bauchinh (2016)'!$A$3,"MA_HT","DCH","MA_QH","NKH")</f>
        <v>0</v>
      </c>
      <c r="R39" s="48">
        <f ca="1" t="shared" si="20"/>
        <v>0</v>
      </c>
      <c r="S39" s="50">
        <f ca="1">+GETPIVOTDATA("XBC4",'bauchinh (2016)'!$A$3,"MA_HT","DCH","MA_QH","CQP")</f>
        <v>0</v>
      </c>
      <c r="T39" s="50">
        <f ca="1">+GETPIVOTDATA("XBC4",'bauchinh (2016)'!$A$3,"MA_HT","DCH","MA_QH","CAN")</f>
        <v>0</v>
      </c>
      <c r="U39" s="50">
        <f ca="1">+GETPIVOTDATA("XBC4",'bauchinh (2016)'!$A$3,"MA_HT","DCH","MA_QH","SKK")</f>
        <v>0</v>
      </c>
      <c r="V39" s="50">
        <f ca="1">+GETPIVOTDATA("XBC4",'bauchinh (2016)'!$A$3,"MA_HT","DCH","MA_QH","SKT")</f>
        <v>0</v>
      </c>
      <c r="W39" s="50">
        <f ca="1">+GETPIVOTDATA("XBC4",'bauchinh (2016)'!$A$3,"MA_HT","DCH","MA_QH","SKN")</f>
        <v>0</v>
      </c>
      <c r="X39" s="50">
        <f ca="1">+GETPIVOTDATA("XBC4",'bauchinh (2016)'!$A$3,"MA_HT","DCH","MA_QH","TMD")</f>
        <v>0</v>
      </c>
      <c r="Y39" s="50">
        <f ca="1">+GETPIVOTDATA("XBC4",'bauchinh (2016)'!$A$3,"MA_HT","DCH","MA_QH","SKC")</f>
        <v>0</v>
      </c>
      <c r="Z39" s="50">
        <f ca="1">+GETPIVOTDATA("XBC4",'bauchinh (2016)'!$A$3,"MA_HT","DCH","MA_QH","SKS")</f>
        <v>0</v>
      </c>
      <c r="AA39" s="52">
        <f ca="1">+SUM(AB39:AK39,AM39)</f>
        <v>0</v>
      </c>
      <c r="AB39" s="50">
        <f ca="1">+GETPIVOTDATA("XBC4",'bauchinh (2016)'!$A$3,"MA_HT","DCH","MA_QH","DGT")</f>
        <v>0</v>
      </c>
      <c r="AC39" s="50">
        <f ca="1">+GETPIVOTDATA("XBC4",'bauchinh (2016)'!$A$3,"MA_HT","DCH","MA_QH","DTL")</f>
        <v>0</v>
      </c>
      <c r="AD39" s="50">
        <f ca="1">+GETPIVOTDATA("XBC4",'bauchinh (2016)'!$A$3,"MA_HT","DCH","MA_QH","DNL")</f>
        <v>0</v>
      </c>
      <c r="AE39" s="50">
        <f ca="1">+GETPIVOTDATA("XBC4",'bauchinh (2016)'!$A$3,"MA_HT","DCH","MA_QH","DBV")</f>
        <v>0</v>
      </c>
      <c r="AF39" s="50">
        <f ca="1">+GETPIVOTDATA("XBC4",'bauchinh (2016)'!$A$3,"MA_HT","DCH","MA_QH","DVH")</f>
        <v>0</v>
      </c>
      <c r="AG39" s="50">
        <f ca="1">+GETPIVOTDATA("XBC4",'bauchinh (2016)'!$A$3,"MA_HT","DCH","MA_QH","DYT")</f>
        <v>0</v>
      </c>
      <c r="AH39" s="50">
        <f ca="1">+GETPIVOTDATA("XBC4",'bauchinh (2016)'!$A$3,"MA_HT","DCH","MA_QH","DGD")</f>
        <v>0</v>
      </c>
      <c r="AI39" s="50">
        <f ca="1">+GETPIVOTDATA("XBC4",'bauchinh (2016)'!$A$3,"MA_HT","DCH","MA_QH","DTT")</f>
        <v>0</v>
      </c>
      <c r="AJ39" s="50">
        <f ca="1">+GETPIVOTDATA("XBC4",'bauchinh (2016)'!$A$3,"MA_HT","DCH","MA_QH","NCK")</f>
        <v>0</v>
      </c>
      <c r="AK39" s="50">
        <f ca="1">+GETPIVOTDATA("XBC4",'bauchinh (2016)'!$A$3,"MA_HT","DCH","MA_QH","DXH")</f>
        <v>0</v>
      </c>
      <c r="AL39" s="49" t="e">
        <f ca="1">$D39-$BF39</f>
        <v>#REF!</v>
      </c>
      <c r="AM39" s="50">
        <f ca="1">+GETPIVOTDATA("XBC4",'bauchinh (2016)'!$A$3,"MA_HT","DXH","MA_QH","DKG")</f>
        <v>0</v>
      </c>
      <c r="AN39" s="50">
        <f ca="1">+GETPIVOTDATA("XBC4",'bauchinh (2016)'!$A$3,"MA_HT","DCH","MA_QH","DDT")</f>
        <v>0</v>
      </c>
      <c r="AO39" s="50">
        <f ca="1">+GETPIVOTDATA("XBC4",'bauchinh (2016)'!$A$3,"MA_HT","DCH","MA_QH","DDL")</f>
        <v>0</v>
      </c>
      <c r="AP39" s="50">
        <f ca="1">+GETPIVOTDATA("XBC4",'bauchinh (2016)'!$A$3,"MA_HT","DCH","MA_QH","DRA")</f>
        <v>0</v>
      </c>
      <c r="AQ39" s="50">
        <f ca="1">+GETPIVOTDATA("XBC4",'bauchinh (2016)'!$A$3,"MA_HT","DCH","MA_QH","ONT")</f>
        <v>0</v>
      </c>
      <c r="AR39" s="50">
        <f ca="1">+GETPIVOTDATA("XBC4",'bauchinh (2016)'!$A$3,"MA_HT","DCH","MA_QH","ODT")</f>
        <v>0</v>
      </c>
      <c r="AS39" s="50">
        <f ca="1">+GETPIVOTDATA("XBC4",'bauchinh (2016)'!$A$3,"MA_HT","DCH","MA_QH","TSC")</f>
        <v>0</v>
      </c>
      <c r="AT39" s="50">
        <f ca="1">+GETPIVOTDATA("XBC4",'bauchinh (2016)'!$A$3,"MA_HT","DCH","MA_QH","DTS")</f>
        <v>0</v>
      </c>
      <c r="AU39" s="50">
        <f ca="1">+GETPIVOTDATA("XBC4",'bauchinh (2016)'!$A$3,"MA_HT","DCH","MA_QH","DNG")</f>
        <v>0</v>
      </c>
      <c r="AV39" s="50">
        <f ca="1">+GETPIVOTDATA("XBC4",'bauchinh (2016)'!$A$3,"MA_HT","DCH","MA_QH","TON")</f>
        <v>0</v>
      </c>
      <c r="AW39" s="50">
        <f ca="1">+GETPIVOTDATA("XBC4",'bauchinh (2016)'!$A$3,"MA_HT","DCH","MA_QH","NTD")</f>
        <v>0</v>
      </c>
      <c r="AX39" s="50">
        <f ca="1">+GETPIVOTDATA("XBC4",'bauchinh (2016)'!$A$3,"MA_HT","DCH","MA_QH","SKX")</f>
        <v>0</v>
      </c>
      <c r="AY39" s="50">
        <f ca="1">+GETPIVOTDATA("XBC4",'bauchinh (2016)'!$A$3,"MA_HT","DCH","MA_QH","DSH")</f>
        <v>0</v>
      </c>
      <c r="AZ39" s="50">
        <f ca="1">+GETPIVOTDATA("XBC4",'bauchinh (2016)'!$A$3,"MA_HT","DCH","MA_QH","DKV")</f>
        <v>0</v>
      </c>
      <c r="BA39" s="88">
        <f ca="1">+GETPIVOTDATA("XBC4",'bauchinh (2016)'!$A$3,"MA_HT","DCH","MA_QH","TIN")</f>
        <v>0</v>
      </c>
      <c r="BB39" s="50">
        <f ca="1">+GETPIVOTDATA("XBC4",'bauchinh (2016)'!$A$3,"MA_HT","DCH","MA_QH","SON")</f>
        <v>0</v>
      </c>
      <c r="BC39" s="50">
        <f ca="1">+GETPIVOTDATA("XBC4",'bauchinh (2016)'!$A$3,"MA_HT","DCH","MA_QH","MNC")</f>
        <v>0</v>
      </c>
      <c r="BD39" s="50">
        <f ca="1">+GETPIVOTDATA("XBC4",'bauchinh (2016)'!$A$3,"MA_HT","DCH","MA_QH","PNK")</f>
        <v>0</v>
      </c>
      <c r="BE39" s="80">
        <f ca="1">+GETPIVOTDATA("XBC4",'bauchinh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+GETPIVOTDATA("XBC4",'bauchinh (2016)'!$A$3,"MA_HT","DKG","MA_QH","LUC")</f>
        <v>0</v>
      </c>
      <c r="H40" s="50">
        <f ca="1">+GETPIVOTDATA("XBC4",'bauchinh (2016)'!$A$3,"MA_HT","DKG","MA_QH","LUK")</f>
        <v>0</v>
      </c>
      <c r="I40" s="50">
        <f ca="1">+GETPIVOTDATA("XBC4",'bauchinh (2016)'!$A$3,"MA_HT","DKG","MA_QH","LUN")</f>
        <v>0</v>
      </c>
      <c r="J40" s="50">
        <f ca="1">+GETPIVOTDATA("XBC4",'bauchinh (2016)'!$A$3,"MA_HT","DKG","MA_QH","HNK")</f>
        <v>0</v>
      </c>
      <c r="K40" s="50">
        <f ca="1">+GETPIVOTDATA("XBC4",'bauchinh (2016)'!$A$3,"MA_HT","DKG","MA_QH","CLN")</f>
        <v>0</v>
      </c>
      <c r="L40" s="50">
        <f ca="1">+GETPIVOTDATA("XBC4",'bauchinh (2016)'!$A$3,"MA_HT","DKG","MA_QH","RSX")</f>
        <v>0</v>
      </c>
      <c r="M40" s="50">
        <f ca="1">+GETPIVOTDATA("XBC4",'bauchinh (2016)'!$A$3,"MA_HT","DKG","MA_QH","RPH")</f>
        <v>0</v>
      </c>
      <c r="N40" s="50">
        <f ca="1">+GETPIVOTDATA("XBC4",'bauchinh (2016)'!$A$3,"MA_HT","DKG","MA_QH","RDD")</f>
        <v>0</v>
      </c>
      <c r="O40" s="50">
        <f ca="1">+GETPIVOTDATA("XBC4",'bauchinh (2016)'!$A$3,"MA_HT","DKG","MA_QH","NTS")</f>
        <v>0</v>
      </c>
      <c r="P40" s="50">
        <f ca="1">+GETPIVOTDATA("XBC4",'bauchinh (2016)'!$A$3,"MA_HT","DKG","MA_QH","LMU")</f>
        <v>0</v>
      </c>
      <c r="Q40" s="50">
        <f ca="1">+GETPIVOTDATA("XBC4",'bauchinh (2016)'!$A$3,"MA_HT","DKG","MA_QH","NKH")</f>
        <v>0</v>
      </c>
      <c r="R40" s="48">
        <f ca="1" t="shared" si="20"/>
        <v>0</v>
      </c>
      <c r="S40" s="50">
        <f ca="1">+GETPIVOTDATA("XBC4",'bauchinh (2016)'!$A$3,"MA_HT","DKG","MA_QH","CQP")</f>
        <v>0</v>
      </c>
      <c r="T40" s="50">
        <f ca="1">+GETPIVOTDATA("XBC4",'bauchinh (2016)'!$A$3,"MA_HT","DKG","MA_QH","CAN")</f>
        <v>0</v>
      </c>
      <c r="U40" s="50">
        <f ca="1">+GETPIVOTDATA("XBC4",'bauchinh (2016)'!$A$3,"MA_HT","DKG","MA_QH","SKK")</f>
        <v>0</v>
      </c>
      <c r="V40" s="50">
        <f ca="1">+GETPIVOTDATA("XBC4",'bauchinh (2016)'!$A$3,"MA_HT","DKG","MA_QH","SKT")</f>
        <v>0</v>
      </c>
      <c r="W40" s="50">
        <f ca="1">+GETPIVOTDATA("XBC4",'bauchinh (2016)'!$A$3,"MA_HT","DKG","MA_QH","SKN")</f>
        <v>0</v>
      </c>
      <c r="X40" s="50">
        <f ca="1">+GETPIVOTDATA("XBC4",'bauchinh (2016)'!$A$3,"MA_HT","DKG","MA_QH","TMD")</f>
        <v>0</v>
      </c>
      <c r="Y40" s="50">
        <f ca="1">+GETPIVOTDATA("XBC4",'bauchinh (2016)'!$A$3,"MA_HT","DKG","MA_QH","SKC")</f>
        <v>0</v>
      </c>
      <c r="Z40" s="50">
        <f ca="1">+GETPIVOTDATA("XBC4",'bauchinh (2016)'!$A$3,"MA_HT","DKG","MA_QH","SKS")</f>
        <v>0</v>
      </c>
      <c r="AA40" s="52">
        <f ca="1">+SUM(AB40:AL40)</f>
        <v>0</v>
      </c>
      <c r="AB40" s="50">
        <f ca="1">+GETPIVOTDATA("XBC4",'bauchinh (2016)'!$A$3,"MA_HT","DKG","MA_QH","DGT")</f>
        <v>0</v>
      </c>
      <c r="AC40" s="50">
        <f ca="1">+GETPIVOTDATA("XBC4",'bauchinh (2016)'!$A$3,"MA_HT","DKG","MA_QH","DTL")</f>
        <v>0</v>
      </c>
      <c r="AD40" s="50">
        <f ca="1">+GETPIVOTDATA("XBC4",'bauchinh (2016)'!$A$3,"MA_HT","DKG","MA_QH","DNL")</f>
        <v>0</v>
      </c>
      <c r="AE40" s="50">
        <f ca="1">+GETPIVOTDATA("XBC4",'bauchinh (2016)'!$A$3,"MA_HT","DKG","MA_QH","DBV")</f>
        <v>0</v>
      </c>
      <c r="AF40" s="50">
        <f ca="1">+GETPIVOTDATA("XBC4",'bauchinh (2016)'!$A$3,"MA_HT","DKG","MA_QH","DVH")</f>
        <v>0</v>
      </c>
      <c r="AG40" s="50">
        <f ca="1">+GETPIVOTDATA("XBC4",'bauchinh (2016)'!$A$3,"MA_HT","DKG","MA_QH","DYT")</f>
        <v>0</v>
      </c>
      <c r="AH40" s="50">
        <f ca="1">+GETPIVOTDATA("XBC4",'bauchinh (2016)'!$A$3,"MA_HT","DKG","MA_QH","DGD")</f>
        <v>0</v>
      </c>
      <c r="AI40" s="50">
        <f ca="1">+GETPIVOTDATA("XBC4",'bauchinh (2016)'!$A$3,"MA_HT","DKG","MA_QH","DTT")</f>
        <v>0</v>
      </c>
      <c r="AJ40" s="50">
        <f ca="1">+GETPIVOTDATA("XBC4",'bauchinh (2016)'!$A$3,"MA_HT","DKG","MA_QH","NCK")</f>
        <v>0</v>
      </c>
      <c r="AK40" s="50">
        <f ca="1">+GETPIVOTDATA("XBC4",'bauchinh (2016)'!$A$3,"MA_HT","DKG","MA_QH","DXH")</f>
        <v>0</v>
      </c>
      <c r="AL40" s="60">
        <f ca="1">+GETPIVOTDATA("XBC4",'bauchinh (2016)'!$A$3,"MA_HT","DDT","MA_QH","DKG")</f>
        <v>0</v>
      </c>
      <c r="AM40" s="49" t="e">
        <f ca="1">$D40-$BF40</f>
        <v>#REF!</v>
      </c>
      <c r="AN40" s="50">
        <f ca="1">+GETPIVOTDATA("XBC4",'bauchinh (2016)'!$A$3,"MA_HT","DKG","MA_QH","DDT")</f>
        <v>0</v>
      </c>
      <c r="AO40" s="50">
        <f ca="1">+GETPIVOTDATA("XBC4",'bauchinh (2016)'!$A$3,"MA_HT","DKG","MA_QH","DDL")</f>
        <v>0</v>
      </c>
      <c r="AP40" s="50">
        <f ca="1">+GETPIVOTDATA("XBC4",'bauchinh (2016)'!$A$3,"MA_HT","DKG","MA_QH","DRA")</f>
        <v>0</v>
      </c>
      <c r="AQ40" s="50">
        <f ca="1">+GETPIVOTDATA("XBC4",'bauchinh (2016)'!$A$3,"MA_HT","DKG","MA_QH","ONT")</f>
        <v>0</v>
      </c>
      <c r="AR40" s="50">
        <f ca="1">+GETPIVOTDATA("XBC4",'bauchinh (2016)'!$A$3,"MA_HT","DKG","MA_QH","ODT")</f>
        <v>0</v>
      </c>
      <c r="AS40" s="50">
        <f ca="1">+GETPIVOTDATA("XBC4",'bauchinh (2016)'!$A$3,"MA_HT","DKG","MA_QH","TSC")</f>
        <v>0</v>
      </c>
      <c r="AT40" s="50">
        <f ca="1">+GETPIVOTDATA("XBC4",'bauchinh (2016)'!$A$3,"MA_HT","DKG","MA_QH","DTS")</f>
        <v>0</v>
      </c>
      <c r="AU40" s="50">
        <f ca="1">+GETPIVOTDATA("XBC4",'bauchinh (2016)'!$A$3,"MA_HT","DKG","MA_QH","DNG")</f>
        <v>0</v>
      </c>
      <c r="AV40" s="50">
        <f ca="1">+GETPIVOTDATA("XBC4",'bauchinh (2016)'!$A$3,"MA_HT","DKG","MA_QH","TON")</f>
        <v>0</v>
      </c>
      <c r="AW40" s="50">
        <f ca="1">+GETPIVOTDATA("XBC4",'bauchinh (2016)'!$A$3,"MA_HT","DKG","MA_QH","NTD")</f>
        <v>0</v>
      </c>
      <c r="AX40" s="50">
        <f ca="1">+GETPIVOTDATA("XBC4",'bauchinh (2016)'!$A$3,"MA_HT","DKG","MA_QH","SKX")</f>
        <v>0</v>
      </c>
      <c r="AY40" s="50">
        <f ca="1">+GETPIVOTDATA("XBC4",'bauchinh (2016)'!$A$3,"MA_HT","DKG","MA_QH","DSH")</f>
        <v>0</v>
      </c>
      <c r="AZ40" s="50">
        <f ca="1">+GETPIVOTDATA("XBC4",'bauchinh (2016)'!$A$3,"MA_HT","DKG","MA_QH","DKV")</f>
        <v>0</v>
      </c>
      <c r="BA40" s="88">
        <f ca="1">+GETPIVOTDATA("XBC4",'bauchinh (2016)'!$A$3,"MA_HT","DKG","MA_QH","TIN")</f>
        <v>0</v>
      </c>
      <c r="BB40" s="50">
        <f ca="1">+GETPIVOTDATA("XBC4",'bauchinh (2016)'!$A$3,"MA_HT","DKG","MA_QH","SON")</f>
        <v>0</v>
      </c>
      <c r="BC40" s="50">
        <f ca="1">+GETPIVOTDATA("XBC4",'bauchinh (2016)'!$A$3,"MA_HT","DKG","MA_QH","MNC")</f>
        <v>0</v>
      </c>
      <c r="BD40" s="50">
        <f ca="1">+GETPIVOTDATA("XBC4",'bauchinh (2016)'!$A$3,"MA_HT","DKG","MA_QH","PNK")</f>
        <v>0</v>
      </c>
      <c r="BE40" s="80">
        <f ca="1">+GETPIVOTDATA("XBC4",'bauchinh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+GETPIVOTDATA("XBC4",'bauchinh (2016)'!$A$3,"MA_HT","DDT","MA_QH","LUC")</f>
        <v>0</v>
      </c>
      <c r="H41" s="60">
        <f ca="1">+GETPIVOTDATA("XBC4",'bauchinh (2016)'!$A$3,"MA_HT","DDT","MA_QH","LUK")</f>
        <v>0</v>
      </c>
      <c r="I41" s="60">
        <f ca="1">+GETPIVOTDATA("XBC4",'bauchinh (2016)'!$A$3,"MA_HT","DDT","MA_QH","LUN")</f>
        <v>0</v>
      </c>
      <c r="J41" s="60">
        <f ca="1">+GETPIVOTDATA("XBC4",'bauchinh (2016)'!$A$3,"MA_HT","DDT","MA_QH","HNK")</f>
        <v>0</v>
      </c>
      <c r="K41" s="60">
        <f ca="1">+GETPIVOTDATA("XBC4",'bauchinh (2016)'!$A$3,"MA_HT","DDT","MA_QH","CLN")</f>
        <v>0</v>
      </c>
      <c r="L41" s="60">
        <f ca="1">+GETPIVOTDATA("XBC4",'bauchinh (2016)'!$A$3,"MA_HT","DDT","MA_QH","RSX")</f>
        <v>0</v>
      </c>
      <c r="M41" s="60">
        <f ca="1">+GETPIVOTDATA("XBC4",'bauchinh (2016)'!$A$3,"MA_HT","DDT","MA_QH","RPH")</f>
        <v>0</v>
      </c>
      <c r="N41" s="60">
        <f ca="1">+GETPIVOTDATA("XBC4",'bauchinh (2016)'!$A$3,"MA_HT","DDT","MA_QH","RDD")</f>
        <v>0</v>
      </c>
      <c r="O41" s="60">
        <f ca="1">+GETPIVOTDATA("XBC4",'bauchinh (2016)'!$A$3,"MA_HT","DDT","MA_QH","NTS")</f>
        <v>0</v>
      </c>
      <c r="P41" s="60">
        <f ca="1">+GETPIVOTDATA("XBC4",'bauchinh (2016)'!$A$3,"MA_HT","DDT","MA_QH","LMU")</f>
        <v>0</v>
      </c>
      <c r="Q41" s="60">
        <f ca="1">+GETPIVOTDATA("XBC4",'bauchinh (2016)'!$A$3,"MA_HT","DDT","MA_QH","NKH")</f>
        <v>0</v>
      </c>
      <c r="R41" s="78">
        <f ca="1">SUM(S41:AA41,AO41:BD41)</f>
        <v>0</v>
      </c>
      <c r="S41" s="60">
        <f ca="1">+GETPIVOTDATA("XBC4",'bauchinh (2016)'!$A$3,"MA_HT","DDT","MA_QH","CQP")</f>
        <v>0</v>
      </c>
      <c r="T41" s="60">
        <f ca="1">+GETPIVOTDATA("XBC4",'bauchinh (2016)'!$A$3,"MA_HT","DDT","MA_QH","CAN")</f>
        <v>0</v>
      </c>
      <c r="U41" s="60">
        <f ca="1">+GETPIVOTDATA("XBC4",'bauchinh (2016)'!$A$3,"MA_HT","DDT","MA_QH","SKK")</f>
        <v>0</v>
      </c>
      <c r="V41" s="60">
        <f ca="1">+GETPIVOTDATA("XBC4",'bauchinh (2016)'!$A$3,"MA_HT","DDT","MA_QH","SKT")</f>
        <v>0</v>
      </c>
      <c r="W41" s="60">
        <f ca="1">+GETPIVOTDATA("XBC4",'bauchinh (2016)'!$A$3,"MA_HT","DDT","MA_QH","SKN")</f>
        <v>0</v>
      </c>
      <c r="X41" s="60">
        <f ca="1">+GETPIVOTDATA("XBC4",'bauchinh (2016)'!$A$3,"MA_HT","DDT","MA_QH","TMD")</f>
        <v>0</v>
      </c>
      <c r="Y41" s="60">
        <f ca="1">+GETPIVOTDATA("XBC4",'bauchinh (2016)'!$A$3,"MA_HT","DDT","MA_QH","SKC")</f>
        <v>0</v>
      </c>
      <c r="Z41" s="60">
        <f ca="1">+GETPIVOTDATA("XBC4",'bauchinh (2016)'!$A$3,"MA_HT","DDT","MA_QH","SKS")</f>
        <v>0</v>
      </c>
      <c r="AA41" s="59">
        <f ca="1" t="shared" ref="AA41:AA58" si="21">+SUM(AB41:AM41)</f>
        <v>0</v>
      </c>
      <c r="AB41" s="60">
        <f ca="1">+GETPIVOTDATA("XBC4",'bauchinh (2016)'!$A$3,"MA_HT","DDT","MA_QH","DGT")</f>
        <v>0</v>
      </c>
      <c r="AC41" s="60">
        <f ca="1">+GETPIVOTDATA("XBC4",'bauchinh (2016)'!$A$3,"MA_HT","DDT","MA_QH","DTL")</f>
        <v>0</v>
      </c>
      <c r="AD41" s="60">
        <f ca="1">+GETPIVOTDATA("XBC4",'bauchinh (2016)'!$A$3,"MA_HT","DDT","MA_QH","DNL")</f>
        <v>0</v>
      </c>
      <c r="AE41" s="60">
        <f ca="1">+GETPIVOTDATA("XBC4",'bauchinh (2016)'!$A$3,"MA_HT","DDT","MA_QH","DBV")</f>
        <v>0</v>
      </c>
      <c r="AF41" s="60">
        <f ca="1">+GETPIVOTDATA("XBC4",'bauchinh (2016)'!$A$3,"MA_HT","DDT","MA_QH","DVH")</f>
        <v>0</v>
      </c>
      <c r="AG41" s="60">
        <f ca="1">+GETPIVOTDATA("XBC4",'bauchinh (2016)'!$A$3,"MA_HT","DDT","MA_QH","DYT")</f>
        <v>0</v>
      </c>
      <c r="AH41" s="60">
        <f ca="1">+GETPIVOTDATA("XBC4",'bauchinh (2016)'!$A$3,"MA_HT","DDT","MA_QH","DGD")</f>
        <v>0</v>
      </c>
      <c r="AI41" s="60">
        <f ca="1">+GETPIVOTDATA("XBC4",'bauchinh (2016)'!$A$3,"MA_HT","DDT","MA_QH","DTT")</f>
        <v>0</v>
      </c>
      <c r="AJ41" s="60">
        <f ca="1">+GETPIVOTDATA("XBC4",'bauchinh (2016)'!$A$3,"MA_HT","DDT","MA_QH","NCK")</f>
        <v>0</v>
      </c>
      <c r="AK41" s="60">
        <f ca="1">+GETPIVOTDATA("XBC4",'bauchinh (2016)'!$A$3,"MA_HT","DDT","MA_QH","DXH")</f>
        <v>0</v>
      </c>
      <c r="AL41" s="60">
        <f ca="1">+GETPIVOTDATA("XBC4",'bauchinh (2016)'!$A$3,"MA_HT","DDT","MA_QH","DCH")</f>
        <v>0</v>
      </c>
      <c r="AM41" s="60">
        <f ca="1">+GETPIVOTDATA("XBC4",'bauchinh (2016)'!$A$3,"MA_HT","DDT","MA_QH","DKG")</f>
        <v>0</v>
      </c>
      <c r="AN41" s="81" t="e">
        <f ca="1">$D41-$BF41</f>
        <v>#REF!</v>
      </c>
      <c r="AO41" s="60">
        <f ca="1">+GETPIVOTDATA("XBC4",'bauchinh (2016)'!$A$3,"MA_HT","DDT","MA_QH","DDL")</f>
        <v>0</v>
      </c>
      <c r="AP41" s="60">
        <f ca="1">+GETPIVOTDATA("XBC4",'bauchinh (2016)'!$A$3,"MA_HT","DDT","MA_QH","DRA")</f>
        <v>0</v>
      </c>
      <c r="AQ41" s="60">
        <f ca="1">+GETPIVOTDATA("XBC4",'bauchinh (2016)'!$A$3,"MA_HT","DDT","MA_QH","ONT")</f>
        <v>0</v>
      </c>
      <c r="AR41" s="60">
        <f ca="1">+GETPIVOTDATA("XBC4",'bauchinh (2016)'!$A$3,"MA_HT","DDT","MA_QH","ODT")</f>
        <v>0</v>
      </c>
      <c r="AS41" s="60">
        <f ca="1">+GETPIVOTDATA("XBC4",'bauchinh (2016)'!$A$3,"MA_HT","DDT","MA_QH","TSC")</f>
        <v>0</v>
      </c>
      <c r="AT41" s="60">
        <f ca="1">+GETPIVOTDATA("XBC4",'bauchinh (2016)'!$A$3,"MA_HT","DDT","MA_QH","DTS")</f>
        <v>0</v>
      </c>
      <c r="AU41" s="60">
        <f ca="1">+GETPIVOTDATA("XBC4",'bauchinh (2016)'!$A$3,"MA_HT","DDT","MA_QH","DNG")</f>
        <v>0</v>
      </c>
      <c r="AV41" s="60">
        <f ca="1">+GETPIVOTDATA("XBC4",'bauchinh (2016)'!$A$3,"MA_HT","DDT","MA_QH","TON")</f>
        <v>0</v>
      </c>
      <c r="AW41" s="60">
        <f ca="1">+GETPIVOTDATA("XBC4",'bauchinh (2016)'!$A$3,"MA_HT","DDT","MA_QH","NTD")</f>
        <v>0</v>
      </c>
      <c r="AX41" s="60">
        <f ca="1">+GETPIVOTDATA("XBC4",'bauchinh (2016)'!$A$3,"MA_HT","DDT","MA_QH","SKX")</f>
        <v>0</v>
      </c>
      <c r="AY41" s="60">
        <f ca="1">+GETPIVOTDATA("XBC4",'bauchinh (2016)'!$A$3,"MA_HT","DDT","MA_QH","DSH")</f>
        <v>0</v>
      </c>
      <c r="AZ41" s="60">
        <f ca="1">+GETPIVOTDATA("XBC4",'bauchinh (2016)'!$A$3,"MA_HT","DDT","MA_QH","DKV")</f>
        <v>0</v>
      </c>
      <c r="BA41" s="90">
        <f ca="1">+GETPIVOTDATA("XBC4",'bauchinh (2016)'!$A$3,"MA_HT","DDT","MA_QH","TIN")</f>
        <v>0</v>
      </c>
      <c r="BB41" s="91">
        <f ca="1">+GETPIVOTDATA("XBC4",'bauchinh (2016)'!$A$3,"MA_HT","DDT","MA_QH","SON")</f>
        <v>0</v>
      </c>
      <c r="BC41" s="91">
        <f ca="1">+GETPIVOTDATA("XBC4",'bauchinh (2016)'!$A$3,"MA_HT","DDT","MA_QH","MNC")</f>
        <v>0</v>
      </c>
      <c r="BD41" s="60">
        <f ca="1">+GETPIVOTDATA("XBC4",'bauchinh (2016)'!$A$3,"MA_HT","DDT","MA_QH","PNK")</f>
        <v>0</v>
      </c>
      <c r="BE41" s="111">
        <f ca="1">+GETPIVOTDATA("XBC4",'bauchinh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+GETPIVOTDATA("XBC4",'bauchinh (2016)'!$A$3,"MA_HT","DDL","MA_QH","LUC")</f>
        <v>0</v>
      </c>
      <c r="H42" s="22">
        <f ca="1">+GETPIVOTDATA("XBC4",'bauchinh (2016)'!$A$3,"MA_HT","DDL","MA_QH","LUK")</f>
        <v>0</v>
      </c>
      <c r="I42" s="22">
        <f ca="1">+GETPIVOTDATA("XBC4",'bauchinh (2016)'!$A$3,"MA_HT","DDL","MA_QH","LUN")</f>
        <v>0</v>
      </c>
      <c r="J42" s="22">
        <f ca="1">+GETPIVOTDATA("XBC4",'bauchinh (2016)'!$A$3,"MA_HT","DDL","MA_QH","HNK")</f>
        <v>0</v>
      </c>
      <c r="K42" s="22">
        <f ca="1">+GETPIVOTDATA("XBC4",'bauchinh (2016)'!$A$3,"MA_HT","DDL","MA_QH","CLN")</f>
        <v>0</v>
      </c>
      <c r="L42" s="22">
        <f ca="1">+GETPIVOTDATA("XBC4",'bauchinh (2016)'!$A$3,"MA_HT","DDL","MA_QH","RSX")</f>
        <v>0</v>
      </c>
      <c r="M42" s="22">
        <f ca="1">+GETPIVOTDATA("XBC4",'bauchinh (2016)'!$A$3,"MA_HT","DDL","MA_QH","RPH")</f>
        <v>0</v>
      </c>
      <c r="N42" s="22">
        <f ca="1">+GETPIVOTDATA("XBC4",'bauchinh (2016)'!$A$3,"MA_HT","DDL","MA_QH","RDD")</f>
        <v>0</v>
      </c>
      <c r="O42" s="22">
        <f ca="1">+GETPIVOTDATA("XBC4",'bauchinh (2016)'!$A$3,"MA_HT","DDL","MA_QH","NTS")</f>
        <v>0</v>
      </c>
      <c r="P42" s="22">
        <f ca="1">+GETPIVOTDATA("XBC4",'bauchinh (2016)'!$A$3,"MA_HT","DDL","MA_QH","LMU")</f>
        <v>0</v>
      </c>
      <c r="Q42" s="22">
        <f ca="1">+GETPIVOTDATA("XBC4",'bauchinh (2016)'!$A$3,"MA_HT","DDL","MA_QH","NKH")</f>
        <v>0</v>
      </c>
      <c r="R42" s="79">
        <f ca="1">SUM(S42:AA42,AN42,AP42:BD42)</f>
        <v>0</v>
      </c>
      <c r="S42" s="22">
        <f ca="1">+GETPIVOTDATA("XBC4",'bauchinh (2016)'!$A$3,"MA_HT","DDL","MA_QH","CQP")</f>
        <v>0</v>
      </c>
      <c r="T42" s="22">
        <f ca="1">+GETPIVOTDATA("XBC4",'bauchinh (2016)'!$A$3,"MA_HT","DDL","MA_QH","CAN")</f>
        <v>0</v>
      </c>
      <c r="U42" s="22">
        <f ca="1">+GETPIVOTDATA("XBC4",'bauchinh (2016)'!$A$3,"MA_HT","DDL","MA_QH","SKK")</f>
        <v>0</v>
      </c>
      <c r="V42" s="22">
        <f ca="1">+GETPIVOTDATA("XBC4",'bauchinh (2016)'!$A$3,"MA_HT","DDL","MA_QH","SKT")</f>
        <v>0</v>
      </c>
      <c r="W42" s="22">
        <f ca="1">+GETPIVOTDATA("XBC4",'bauchinh (2016)'!$A$3,"MA_HT","DDL","MA_QH","SKN")</f>
        <v>0</v>
      </c>
      <c r="X42" s="22">
        <f ca="1">+GETPIVOTDATA("XBC4",'bauchinh (2016)'!$A$3,"MA_HT","DDL","MA_QH","TMD")</f>
        <v>0</v>
      </c>
      <c r="Y42" s="22">
        <f ca="1">+GETPIVOTDATA("XBC4",'bauchinh (2016)'!$A$3,"MA_HT","DDL","MA_QH","SKC")</f>
        <v>0</v>
      </c>
      <c r="Z42" s="22">
        <f ca="1">+GETPIVOTDATA("XBC4",'bauchinh (2016)'!$A$3,"MA_HT","DDL","MA_QH","SKS")</f>
        <v>0</v>
      </c>
      <c r="AA42" s="52">
        <f ca="1" t="shared" si="21"/>
        <v>0</v>
      </c>
      <c r="AB42" s="22">
        <f ca="1">+GETPIVOTDATA("XBC4",'bauchinh (2016)'!$A$3,"MA_HT","DDL","MA_QH","DGT")</f>
        <v>0</v>
      </c>
      <c r="AC42" s="22">
        <f ca="1">+GETPIVOTDATA("XBC4",'bauchinh (2016)'!$A$3,"MA_HT","DDL","MA_QH","DTL")</f>
        <v>0</v>
      </c>
      <c r="AD42" s="22">
        <f ca="1">+GETPIVOTDATA("XBC4",'bauchinh (2016)'!$A$3,"MA_HT","DDL","MA_QH","DNL")</f>
        <v>0</v>
      </c>
      <c r="AE42" s="22">
        <f ca="1">+GETPIVOTDATA("XBC4",'bauchinh (2016)'!$A$3,"MA_HT","DDL","MA_QH","DBV")</f>
        <v>0</v>
      </c>
      <c r="AF42" s="22">
        <f ca="1">+GETPIVOTDATA("XBC4",'bauchinh (2016)'!$A$3,"MA_HT","DDL","MA_QH","DVH")</f>
        <v>0</v>
      </c>
      <c r="AG42" s="22">
        <f ca="1">+GETPIVOTDATA("XBC4",'bauchinh (2016)'!$A$3,"MA_HT","DDL","MA_QH","DYT")</f>
        <v>0</v>
      </c>
      <c r="AH42" s="22">
        <f ca="1">+GETPIVOTDATA("XBC4",'bauchinh (2016)'!$A$3,"MA_HT","DDL","MA_QH","DGD")</f>
        <v>0</v>
      </c>
      <c r="AI42" s="22">
        <f ca="1">+GETPIVOTDATA("XBC4",'bauchinh (2016)'!$A$3,"MA_HT","DDL","MA_QH","DTT")</f>
        <v>0</v>
      </c>
      <c r="AJ42" s="22">
        <f ca="1">+GETPIVOTDATA("XBC4",'bauchinh (2016)'!$A$3,"MA_HT","DDL","MA_QH","NCK")</f>
        <v>0</v>
      </c>
      <c r="AK42" s="22">
        <f ca="1">+GETPIVOTDATA("XBC4",'bauchinh (2016)'!$A$3,"MA_HT","DDL","MA_QH","DXH")</f>
        <v>0</v>
      </c>
      <c r="AL42" s="22">
        <f ca="1">+GETPIVOTDATA("XBC4",'bauchinh (2016)'!$A$3,"MA_HT","DDL","MA_QH","DCH")</f>
        <v>0</v>
      </c>
      <c r="AM42" s="22">
        <f ca="1">+GETPIVOTDATA("XBC4",'bauchinh (2016)'!$A$3,"MA_HT","DDL","MA_QH","DKG")</f>
        <v>0</v>
      </c>
      <c r="AN42" s="22">
        <f ca="1">+GETPIVOTDATA("XBC4",'bauchinh (2016)'!$A$3,"MA_HT","DDL","MA_QH","DDT")</f>
        <v>0</v>
      </c>
      <c r="AO42" s="43" t="e">
        <f ca="1">$D42-$BF42</f>
        <v>#REF!</v>
      </c>
      <c r="AP42" s="22">
        <f ca="1">+GETPIVOTDATA("XBC4",'bauchinh (2016)'!$A$3,"MA_HT","DDL","MA_QH","DRA")</f>
        <v>0</v>
      </c>
      <c r="AQ42" s="22">
        <f ca="1">+GETPIVOTDATA("XBC4",'bauchinh (2016)'!$A$3,"MA_HT","DDL","MA_QH","ONT")</f>
        <v>0</v>
      </c>
      <c r="AR42" s="22">
        <f ca="1">+GETPIVOTDATA("XBC4",'bauchinh (2016)'!$A$3,"MA_HT","DDL","MA_QH","ODT")</f>
        <v>0</v>
      </c>
      <c r="AS42" s="22">
        <f ca="1">+GETPIVOTDATA("XBC4",'bauchinh (2016)'!$A$3,"MA_HT","DDL","MA_QH","TSC")</f>
        <v>0</v>
      </c>
      <c r="AT42" s="22">
        <f ca="1">+GETPIVOTDATA("XBC4",'bauchinh (2016)'!$A$3,"MA_HT","DDL","MA_QH","DTS")</f>
        <v>0</v>
      </c>
      <c r="AU42" s="22">
        <f ca="1">+GETPIVOTDATA("XBC4",'bauchinh (2016)'!$A$3,"MA_HT","DDL","MA_QH","DNG")</f>
        <v>0</v>
      </c>
      <c r="AV42" s="22">
        <f ca="1">+GETPIVOTDATA("XBC4",'bauchinh (2016)'!$A$3,"MA_HT","DDL","MA_QH","TON")</f>
        <v>0</v>
      </c>
      <c r="AW42" s="22">
        <f ca="1">+GETPIVOTDATA("XBC4",'bauchinh (2016)'!$A$3,"MA_HT","DDL","MA_QH","NTD")</f>
        <v>0</v>
      </c>
      <c r="AX42" s="22">
        <f ca="1">+GETPIVOTDATA("XBC4",'bauchinh (2016)'!$A$3,"MA_HT","DDL","MA_QH","SKX")</f>
        <v>0</v>
      </c>
      <c r="AY42" s="22">
        <f ca="1">+GETPIVOTDATA("XBC4",'bauchinh (2016)'!$A$3,"MA_HT","DDL","MA_QH","DSH")</f>
        <v>0</v>
      </c>
      <c r="AZ42" s="22">
        <f ca="1">+GETPIVOTDATA("XBC4",'bauchinh (2016)'!$A$3,"MA_HT","DDL","MA_QH","DKV")</f>
        <v>0</v>
      </c>
      <c r="BA42" s="89">
        <f ca="1">+GETPIVOTDATA("XBC4",'bauchinh (2016)'!$A$3,"MA_HT","DDL","MA_QH","TIN")</f>
        <v>0</v>
      </c>
      <c r="BB42" s="50">
        <f ca="1">+GETPIVOTDATA("XBC4",'bauchinh (2016)'!$A$3,"MA_HT","DDL","MA_QH","SON")</f>
        <v>0</v>
      </c>
      <c r="BC42" s="50">
        <f ca="1">+GETPIVOTDATA("XBC4",'bauchinh (2016)'!$A$3,"MA_HT","DDL","MA_QH","MNC")</f>
        <v>0</v>
      </c>
      <c r="BD42" s="22">
        <f ca="1">+GETPIVOTDATA("XBC4",'bauchinh (2016)'!$A$3,"MA_HT","DDL","MA_QH","PNK")</f>
        <v>0</v>
      </c>
      <c r="BE42" s="71">
        <f ca="1">+GETPIVOTDATA("XBC4",'bauchinh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+GETPIVOTDATA("XBC4",'bauchinh (2016)'!$A$3,"MA_HT","DRA","MA_QH","LUC")</f>
        <v>0</v>
      </c>
      <c r="H43" s="22">
        <f ca="1">+GETPIVOTDATA("XBC4",'bauchinh (2016)'!$A$3,"MA_HT","DRA","MA_QH","LUK")</f>
        <v>0</v>
      </c>
      <c r="I43" s="22">
        <f ca="1">+GETPIVOTDATA("XBC4",'bauchinh (2016)'!$A$3,"MA_HT","DRA","MA_QH","LUN")</f>
        <v>0</v>
      </c>
      <c r="J43" s="22">
        <f ca="1">+GETPIVOTDATA("XBC4",'bauchinh (2016)'!$A$3,"MA_HT","DRA","MA_QH","HNK")</f>
        <v>0</v>
      </c>
      <c r="K43" s="22">
        <f ca="1">+GETPIVOTDATA("XBC4",'bauchinh (2016)'!$A$3,"MA_HT","DRA","MA_QH","CLN")</f>
        <v>0</v>
      </c>
      <c r="L43" s="22">
        <f ca="1">+GETPIVOTDATA("XBC4",'bauchinh (2016)'!$A$3,"MA_HT","DRA","MA_QH","RSX")</f>
        <v>0</v>
      </c>
      <c r="M43" s="22">
        <f ca="1">+GETPIVOTDATA("XBC4",'bauchinh (2016)'!$A$3,"MA_HT","DRA","MA_QH","RPH")</f>
        <v>0</v>
      </c>
      <c r="N43" s="22">
        <f ca="1">+GETPIVOTDATA("XBC4",'bauchinh (2016)'!$A$3,"MA_HT","DRA","MA_QH","RDD")</f>
        <v>0</v>
      </c>
      <c r="O43" s="22">
        <f ca="1">+GETPIVOTDATA("XBC4",'bauchinh (2016)'!$A$3,"MA_HT","DRA","MA_QH","NTS")</f>
        <v>0</v>
      </c>
      <c r="P43" s="22">
        <f ca="1">+GETPIVOTDATA("XBC4",'bauchinh (2016)'!$A$3,"MA_HT","DRA","MA_QH","LMU")</f>
        <v>0</v>
      </c>
      <c r="Q43" s="22">
        <f ca="1">+GETPIVOTDATA("XBC4",'bauchinh (2016)'!$A$3,"MA_HT","DRA","MA_QH","NKH")</f>
        <v>0</v>
      </c>
      <c r="R43" s="79">
        <f ca="1">SUM(S43:AA43,AN43:AO43,AQ43:BD43)</f>
        <v>0</v>
      </c>
      <c r="S43" s="22">
        <f ca="1">+GETPIVOTDATA("XBC4",'bauchinh (2016)'!$A$3,"MA_HT","DRA","MA_QH","CQP")</f>
        <v>0</v>
      </c>
      <c r="T43" s="22">
        <f ca="1">+GETPIVOTDATA("XBC4",'bauchinh (2016)'!$A$3,"MA_HT","DRA","MA_QH","CAN")</f>
        <v>0</v>
      </c>
      <c r="U43" s="22">
        <f ca="1">+GETPIVOTDATA("XBC4",'bauchinh (2016)'!$A$3,"MA_HT","DRA","MA_QH","SKK")</f>
        <v>0</v>
      </c>
      <c r="V43" s="22">
        <f ca="1">+GETPIVOTDATA("XBC4",'bauchinh (2016)'!$A$3,"MA_HT","DRA","MA_QH","SKT")</f>
        <v>0</v>
      </c>
      <c r="W43" s="22">
        <f ca="1">+GETPIVOTDATA("XBC4",'bauchinh (2016)'!$A$3,"MA_HT","DRA","MA_QH","SKN")</f>
        <v>0</v>
      </c>
      <c r="X43" s="22">
        <f ca="1">+GETPIVOTDATA("XBC4",'bauchinh (2016)'!$A$3,"MA_HT","DRA","MA_QH","TMD")</f>
        <v>0</v>
      </c>
      <c r="Y43" s="22">
        <f ca="1">+GETPIVOTDATA("XBC4",'bauchinh (2016)'!$A$3,"MA_HT","DRA","MA_QH","SKC")</f>
        <v>0</v>
      </c>
      <c r="Z43" s="22">
        <f ca="1">+GETPIVOTDATA("XBC4",'bauchinh (2016)'!$A$3,"MA_HT","DRA","MA_QH","SKS")</f>
        <v>0</v>
      </c>
      <c r="AA43" s="52">
        <f ca="1" t="shared" si="21"/>
        <v>0</v>
      </c>
      <c r="AB43" s="22">
        <f ca="1">+GETPIVOTDATA("XBC4",'bauchinh (2016)'!$A$3,"MA_HT","DRA","MA_QH","DGT")</f>
        <v>0</v>
      </c>
      <c r="AC43" s="22">
        <f ca="1">+GETPIVOTDATA("XBC4",'bauchinh (2016)'!$A$3,"MA_HT","DRA","MA_QH","DTL")</f>
        <v>0</v>
      </c>
      <c r="AD43" s="22">
        <f ca="1">+GETPIVOTDATA("XBC4",'bauchinh (2016)'!$A$3,"MA_HT","DRA","MA_QH","DNL")</f>
        <v>0</v>
      </c>
      <c r="AE43" s="22">
        <f ca="1">+GETPIVOTDATA("XBC4",'bauchinh (2016)'!$A$3,"MA_HT","DRA","MA_QH","DBV")</f>
        <v>0</v>
      </c>
      <c r="AF43" s="22">
        <f ca="1">+GETPIVOTDATA("XBC4",'bauchinh (2016)'!$A$3,"MA_HT","DRA","MA_QH","DVH")</f>
        <v>0</v>
      </c>
      <c r="AG43" s="22">
        <f ca="1">+GETPIVOTDATA("XBC4",'bauchinh (2016)'!$A$3,"MA_HT","DRA","MA_QH","DYT")</f>
        <v>0</v>
      </c>
      <c r="AH43" s="22">
        <f ca="1">+GETPIVOTDATA("XBC4",'bauchinh (2016)'!$A$3,"MA_HT","DRA","MA_QH","DGD")</f>
        <v>0</v>
      </c>
      <c r="AI43" s="22">
        <f ca="1">+GETPIVOTDATA("XBC4",'bauchinh (2016)'!$A$3,"MA_HT","DRA","MA_QH","DTT")</f>
        <v>0</v>
      </c>
      <c r="AJ43" s="22">
        <f ca="1">+GETPIVOTDATA("XBC4",'bauchinh (2016)'!$A$3,"MA_HT","DRA","MA_QH","NCK")</f>
        <v>0</v>
      </c>
      <c r="AK43" s="22">
        <f ca="1">+GETPIVOTDATA("XBC4",'bauchinh (2016)'!$A$3,"MA_HT","DRA","MA_QH","DXH")</f>
        <v>0</v>
      </c>
      <c r="AL43" s="22">
        <f ca="1">+GETPIVOTDATA("XBC4",'bauchinh (2016)'!$A$3,"MA_HT","DRA","MA_QH","DCH")</f>
        <v>0</v>
      </c>
      <c r="AM43" s="22">
        <f ca="1">+GETPIVOTDATA("XBC4",'bauchinh (2016)'!$A$3,"MA_HT","DRA","MA_QH","DKG")</f>
        <v>0</v>
      </c>
      <c r="AN43" s="22">
        <f ca="1">+GETPIVOTDATA("XBC4",'bauchinh (2016)'!$A$3,"MA_HT","DRA","MA_QH","DDT")</f>
        <v>0</v>
      </c>
      <c r="AO43" s="22">
        <f ca="1">+GETPIVOTDATA("XBC4",'bauchinh (2016)'!$A$3,"MA_HT","DRA","MA_QH","DDL")</f>
        <v>0</v>
      </c>
      <c r="AP43" s="43" t="e">
        <f ca="1">$D43-$BF43</f>
        <v>#REF!</v>
      </c>
      <c r="AQ43" s="22">
        <f ca="1">+GETPIVOTDATA("XBC4",'bauchinh (2016)'!$A$3,"MA_HT","DRA","MA_QH","ONT")</f>
        <v>0</v>
      </c>
      <c r="AR43" s="22">
        <f ca="1">+GETPIVOTDATA("XBC4",'bauchinh (2016)'!$A$3,"MA_HT","DRA","MA_QH","ODT")</f>
        <v>0</v>
      </c>
      <c r="AS43" s="22">
        <f ca="1">+GETPIVOTDATA("XBC4",'bauchinh (2016)'!$A$3,"MA_HT","DRA","MA_QH","TSC")</f>
        <v>0</v>
      </c>
      <c r="AT43" s="22">
        <f ca="1">+GETPIVOTDATA("XBC4",'bauchinh (2016)'!$A$3,"MA_HT","DRA","MA_QH","DTS")</f>
        <v>0</v>
      </c>
      <c r="AU43" s="22">
        <f ca="1">+GETPIVOTDATA("XBC4",'bauchinh (2016)'!$A$3,"MA_HT","DRA","MA_QH","DNG")</f>
        <v>0</v>
      </c>
      <c r="AV43" s="22">
        <f ca="1">+GETPIVOTDATA("XBC4",'bauchinh (2016)'!$A$3,"MA_HT","DRA","MA_QH","TON")</f>
        <v>0</v>
      </c>
      <c r="AW43" s="22">
        <f ca="1">+GETPIVOTDATA("XBC4",'bauchinh (2016)'!$A$3,"MA_HT","DRA","MA_QH","NTD")</f>
        <v>0</v>
      </c>
      <c r="AX43" s="22">
        <f ca="1">+GETPIVOTDATA("XBC4",'bauchinh (2016)'!$A$3,"MA_HT","DRA","MA_QH","SKX")</f>
        <v>0</v>
      </c>
      <c r="AY43" s="22">
        <f ca="1">+GETPIVOTDATA("XBC4",'bauchinh (2016)'!$A$3,"MA_HT","DRA","MA_QH","DSH")</f>
        <v>0</v>
      </c>
      <c r="AZ43" s="22">
        <f ca="1">+GETPIVOTDATA("XBC4",'bauchinh (2016)'!$A$3,"MA_HT","DRA","MA_QH","DKV")</f>
        <v>0</v>
      </c>
      <c r="BA43" s="89">
        <f ca="1">+GETPIVOTDATA("XBC4",'bauchinh (2016)'!$A$3,"MA_HT","DRA","MA_QH","TIN")</f>
        <v>0</v>
      </c>
      <c r="BB43" s="50">
        <f ca="1">+GETPIVOTDATA("XBC4",'bauchinh (2016)'!$A$3,"MA_HT","DRA","MA_QH","SON")</f>
        <v>0</v>
      </c>
      <c r="BC43" s="50">
        <f ca="1">+GETPIVOTDATA("XBC4",'bauchinh (2016)'!$A$3,"MA_HT","DRA","MA_QH","MNC")</f>
        <v>0</v>
      </c>
      <c r="BD43" s="22">
        <f ca="1">+GETPIVOTDATA("XBC4",'bauchinh (2016)'!$A$3,"MA_HT","DRA","MA_QH","PNK")</f>
        <v>0</v>
      </c>
      <c r="BE43" s="71">
        <f ca="1">+GETPIVOTDATA("XBC4",'bauchinh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+GETPIVOTDATA("XBC4",'bauchinh (2016)'!$A$3,"MA_HT","ONT","MA_QH","LUC")</f>
        <v>0</v>
      </c>
      <c r="H44" s="22">
        <f ca="1">+GETPIVOTDATA("XBC4",'bauchinh (2016)'!$A$3,"MA_HT","ONT","MA_QH","LUK")</f>
        <v>0</v>
      </c>
      <c r="I44" s="22">
        <f ca="1">+GETPIVOTDATA("XBC4",'bauchinh (2016)'!$A$3,"MA_HT","ONT","MA_QH","LUN")</f>
        <v>0</v>
      </c>
      <c r="J44" s="22">
        <f ca="1">+GETPIVOTDATA("XBC4",'bauchinh (2016)'!$A$3,"MA_HT","ONT","MA_QH","HNK")</f>
        <v>0</v>
      </c>
      <c r="K44" s="22">
        <f ca="1">+GETPIVOTDATA("XBC4",'bauchinh (2016)'!$A$3,"MA_HT","ONT","MA_QH","CLN")</f>
        <v>0</v>
      </c>
      <c r="L44" s="22">
        <f ca="1">+GETPIVOTDATA("XBC4",'bauchinh (2016)'!$A$3,"MA_HT","ONT","MA_QH","RSX")</f>
        <v>0</v>
      </c>
      <c r="M44" s="22">
        <f ca="1">+GETPIVOTDATA("XBC4",'bauchinh (2016)'!$A$3,"MA_HT","ONT","MA_QH","RPH")</f>
        <v>0</v>
      </c>
      <c r="N44" s="22">
        <f ca="1">+GETPIVOTDATA("XBC4",'bauchinh (2016)'!$A$3,"MA_HT","ONT","MA_QH","RDD")</f>
        <v>0</v>
      </c>
      <c r="O44" s="22">
        <f ca="1">+GETPIVOTDATA("XBC4",'bauchinh (2016)'!$A$3,"MA_HT","ONT","MA_QH","NTS")</f>
        <v>0</v>
      </c>
      <c r="P44" s="22">
        <f ca="1">+GETPIVOTDATA("XBC4",'bauchinh (2016)'!$A$3,"MA_HT","ONT","MA_QH","LMU")</f>
        <v>0</v>
      </c>
      <c r="Q44" s="22">
        <f ca="1">+GETPIVOTDATA("XBC4",'bauchinh (2016)'!$A$3,"MA_HT","ONT","MA_QH","NKH")</f>
        <v>0</v>
      </c>
      <c r="R44" s="79">
        <f ca="1">SUM(S44:AA44,AN44:AP44,AR44:BD44)</f>
        <v>0</v>
      </c>
      <c r="S44" s="22">
        <f ca="1">+GETPIVOTDATA("XBC4",'bauchinh (2016)'!$A$3,"MA_HT","ONT","MA_QH","CQP")</f>
        <v>0</v>
      </c>
      <c r="T44" s="22">
        <f ca="1">+GETPIVOTDATA("XBC4",'bauchinh (2016)'!$A$3,"MA_HT","ONT","MA_QH","CAN")</f>
        <v>0</v>
      </c>
      <c r="U44" s="22">
        <f ca="1">+GETPIVOTDATA("XBC4",'bauchinh (2016)'!$A$3,"MA_HT","ONT","MA_QH","SKK")</f>
        <v>0</v>
      </c>
      <c r="V44" s="22">
        <f ca="1">+GETPIVOTDATA("XBC4",'bauchinh (2016)'!$A$3,"MA_HT","ONT","MA_QH","SKT")</f>
        <v>0</v>
      </c>
      <c r="W44" s="22">
        <f ca="1">+GETPIVOTDATA("XBC4",'bauchinh (2016)'!$A$3,"MA_HT","ONT","MA_QH","SKN")</f>
        <v>0</v>
      </c>
      <c r="X44" s="22">
        <f ca="1">+GETPIVOTDATA("XBC4",'bauchinh (2016)'!$A$3,"MA_HT","ONT","MA_QH","TMD")</f>
        <v>0</v>
      </c>
      <c r="Y44" s="22">
        <f ca="1">+GETPIVOTDATA("XBC4",'bauchinh (2016)'!$A$3,"MA_HT","ONT","MA_QH","SKC")</f>
        <v>0</v>
      </c>
      <c r="Z44" s="22">
        <f ca="1">+GETPIVOTDATA("XBC4",'bauchinh (2016)'!$A$3,"MA_HT","ONT","MA_QH","SKS")</f>
        <v>0</v>
      </c>
      <c r="AA44" s="52">
        <f ca="1" t="shared" si="21"/>
        <v>0</v>
      </c>
      <c r="AB44" s="22">
        <f ca="1">+GETPIVOTDATA("XBC4",'bauchinh (2016)'!$A$3,"MA_HT","ONT","MA_QH","DGT")</f>
        <v>0</v>
      </c>
      <c r="AC44" s="22">
        <f ca="1">+GETPIVOTDATA("XBC4",'bauchinh (2016)'!$A$3,"MA_HT","ONT","MA_QH","DTL")</f>
        <v>0</v>
      </c>
      <c r="AD44" s="22">
        <f ca="1">+GETPIVOTDATA("XBC4",'bauchinh (2016)'!$A$3,"MA_HT","ONT","MA_QH","DNL")</f>
        <v>0</v>
      </c>
      <c r="AE44" s="22">
        <f ca="1">+GETPIVOTDATA("XBC4",'bauchinh (2016)'!$A$3,"MA_HT","ONT","MA_QH","DBV")</f>
        <v>0</v>
      </c>
      <c r="AF44" s="22">
        <f ca="1">+GETPIVOTDATA("XBC4",'bauchinh (2016)'!$A$3,"MA_HT","ONT","MA_QH","DVH")</f>
        <v>0</v>
      </c>
      <c r="AG44" s="22">
        <f ca="1">+GETPIVOTDATA("XBC4",'bauchinh (2016)'!$A$3,"MA_HT","ONT","MA_QH","DYT")</f>
        <v>0</v>
      </c>
      <c r="AH44" s="22">
        <f ca="1">+GETPIVOTDATA("XBC4",'bauchinh (2016)'!$A$3,"MA_HT","ONT","MA_QH","DGD")</f>
        <v>0</v>
      </c>
      <c r="AI44" s="22">
        <f ca="1">+GETPIVOTDATA("XBC4",'bauchinh (2016)'!$A$3,"MA_HT","ONT","MA_QH","DTT")</f>
        <v>0</v>
      </c>
      <c r="AJ44" s="22">
        <f ca="1">+GETPIVOTDATA("XBC4",'bauchinh (2016)'!$A$3,"MA_HT","ONT","MA_QH","NCK")</f>
        <v>0</v>
      </c>
      <c r="AK44" s="22">
        <f ca="1">+GETPIVOTDATA("XBC4",'bauchinh (2016)'!$A$3,"MA_HT","ONT","MA_QH","DXH")</f>
        <v>0</v>
      </c>
      <c r="AL44" s="22">
        <f ca="1">+GETPIVOTDATA("XBC4",'bauchinh (2016)'!$A$3,"MA_HT","ONT","MA_QH","DCH")</f>
        <v>0</v>
      </c>
      <c r="AM44" s="22">
        <f ca="1">+GETPIVOTDATA("XBC4",'bauchinh (2016)'!$A$3,"MA_HT","ONT","MA_QH","DKG")</f>
        <v>0</v>
      </c>
      <c r="AN44" s="22">
        <f ca="1">+GETPIVOTDATA("XBC4",'bauchinh (2016)'!$A$3,"MA_HT","ONT","MA_QH","DDT")</f>
        <v>0</v>
      </c>
      <c r="AO44" s="22">
        <f ca="1">+GETPIVOTDATA("XBC4",'bauchinh (2016)'!$A$3,"MA_HT","ONT","MA_QH","DDL")</f>
        <v>0</v>
      </c>
      <c r="AP44" s="22">
        <f ca="1">+GETPIVOTDATA("XBC4",'bauchinh (2016)'!$A$3,"MA_HT","ONT","MA_QH","DRA")</f>
        <v>0</v>
      </c>
      <c r="AQ44" s="43" t="e">
        <f ca="1">$D44-$BF44</f>
        <v>#REF!</v>
      </c>
      <c r="AR44" s="22">
        <f ca="1">+GETPIVOTDATA("XBC4",'bauchinh (2016)'!$A$3,"MA_HT","ONT","MA_QH","ODT")</f>
        <v>0</v>
      </c>
      <c r="AS44" s="22">
        <f ca="1">+GETPIVOTDATA("XBC4",'bauchinh (2016)'!$A$3,"MA_HT","ONT","MA_QH","TSC")</f>
        <v>0</v>
      </c>
      <c r="AT44" s="22">
        <f ca="1">+GETPIVOTDATA("XBC4",'bauchinh (2016)'!$A$3,"MA_HT","ONT","MA_QH","DTS")</f>
        <v>0</v>
      </c>
      <c r="AU44" s="22">
        <f ca="1">+GETPIVOTDATA("XBC4",'bauchinh (2016)'!$A$3,"MA_HT","ONT","MA_QH","DNG")</f>
        <v>0</v>
      </c>
      <c r="AV44" s="22">
        <f ca="1">+GETPIVOTDATA("XBC4",'bauchinh (2016)'!$A$3,"MA_HT","ONT","MA_QH","TON")</f>
        <v>0</v>
      </c>
      <c r="AW44" s="22">
        <f ca="1">+GETPIVOTDATA("XBC4",'bauchinh (2016)'!$A$3,"MA_HT","ONT","MA_QH","NTD")</f>
        <v>0</v>
      </c>
      <c r="AX44" s="22">
        <f ca="1">+GETPIVOTDATA("XBC4",'bauchinh (2016)'!$A$3,"MA_HT","ONT","MA_QH","SKX")</f>
        <v>0</v>
      </c>
      <c r="AY44" s="22">
        <f ca="1">+GETPIVOTDATA("XBC4",'bauchinh (2016)'!$A$3,"MA_HT","ONT","MA_QH","DSH")</f>
        <v>0</v>
      </c>
      <c r="AZ44" s="22">
        <f ca="1">+GETPIVOTDATA("XBC4",'bauchinh (2016)'!$A$3,"MA_HT","ONT","MA_QH","DKV")</f>
        <v>0</v>
      </c>
      <c r="BA44" s="89">
        <f ca="1">+GETPIVOTDATA("XBC4",'bauchinh (2016)'!$A$3,"MA_HT","ONT","MA_QH","TIN")</f>
        <v>0</v>
      </c>
      <c r="BB44" s="50">
        <f ca="1">+GETPIVOTDATA("XBC4",'bauchinh (2016)'!$A$3,"MA_HT","ONT","MA_QH","SON")</f>
        <v>0</v>
      </c>
      <c r="BC44" s="50">
        <f ca="1">+GETPIVOTDATA("XBC4",'bauchinh (2016)'!$A$3,"MA_HT","ONT","MA_QH","MNC")</f>
        <v>0</v>
      </c>
      <c r="BD44" s="22">
        <f ca="1">+GETPIVOTDATA("XBC4",'bauchinh (2016)'!$A$3,"MA_HT","ONT","MA_QH","PNK")</f>
        <v>0</v>
      </c>
      <c r="BE44" s="71">
        <f ca="1">+GETPIVOTDATA("XBC4",'bauchinh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+GETPIVOTDATA("XBC4",'bauchinh (2016)'!$A$3,"MA_HT","ODT","MA_QH","LUC")</f>
        <v>0</v>
      </c>
      <c r="H45" s="67">
        <f ca="1">+GETPIVOTDATA("XBC4",'bauchinh (2016)'!$A$3,"MA_HT","ODT","MA_QH","LUK")</f>
        <v>0</v>
      </c>
      <c r="I45" s="67">
        <f ca="1">+GETPIVOTDATA("XBC4",'bauchinh (2016)'!$A$3,"MA_HT","ODT","MA_QH","LUN")</f>
        <v>0</v>
      </c>
      <c r="J45" s="67">
        <f ca="1">+GETPIVOTDATA("XBC4",'bauchinh (2016)'!$A$3,"MA_HT","ODT","MA_QH","HNK")</f>
        <v>0</v>
      </c>
      <c r="K45" s="67">
        <f ca="1">+GETPIVOTDATA("XBC4",'bauchinh (2016)'!$A$3,"MA_HT","ODT","MA_QH","CLN")</f>
        <v>0</v>
      </c>
      <c r="L45" s="67">
        <f ca="1">+GETPIVOTDATA("XBC4",'bauchinh (2016)'!$A$3,"MA_HT","ODT","MA_QH","RSX")</f>
        <v>0</v>
      </c>
      <c r="M45" s="67">
        <f ca="1">+GETPIVOTDATA("XBC4",'bauchinh (2016)'!$A$3,"MA_HT","ODT","MA_QH","RPH")</f>
        <v>0</v>
      </c>
      <c r="N45" s="67">
        <f ca="1">+GETPIVOTDATA("XBC4",'bauchinh (2016)'!$A$3,"MA_HT","ODT","MA_QH","RDD")</f>
        <v>0</v>
      </c>
      <c r="O45" s="67">
        <f ca="1">+GETPIVOTDATA("XBC4",'bauchinh (2016)'!$A$3,"MA_HT","ODT","MA_QH","NTS")</f>
        <v>0</v>
      </c>
      <c r="P45" s="67">
        <f ca="1">+GETPIVOTDATA("XBC4",'bauchinh (2016)'!$A$3,"MA_HT","ODT","MA_QH","LMU")</f>
        <v>0</v>
      </c>
      <c r="Q45" s="67">
        <f ca="1">+GETPIVOTDATA("XBC4",'bauchinh (2016)'!$A$3,"MA_HT","ODT","MA_QH","NKH")</f>
        <v>0</v>
      </c>
      <c r="R45" s="79">
        <f ca="1">SUM(S45:AA45,AN45:AQ45,AS45:BD45)</f>
        <v>0</v>
      </c>
      <c r="S45" s="67">
        <f ca="1">+GETPIVOTDATA("XBC4",'bauchinh (2016)'!$A$3,"MA_HT","ODT","MA_QH","CQP")</f>
        <v>0</v>
      </c>
      <c r="T45" s="67">
        <f ca="1">+GETPIVOTDATA("XBC4",'bauchinh (2016)'!$A$3,"MA_HT","ODT","MA_QH","CAN")</f>
        <v>0</v>
      </c>
      <c r="U45" s="67">
        <f ca="1">+GETPIVOTDATA("XBC4",'bauchinh (2016)'!$A$3,"MA_HT","ODT","MA_QH","SKK")</f>
        <v>0</v>
      </c>
      <c r="V45" s="67">
        <f ca="1">+GETPIVOTDATA("XBC4",'bauchinh (2016)'!$A$3,"MA_HT","ODT","MA_QH","SKT")</f>
        <v>0</v>
      </c>
      <c r="W45" s="67">
        <f ca="1">+GETPIVOTDATA("XBC4",'bauchinh (2016)'!$A$3,"MA_HT","ODT","MA_QH","SKN")</f>
        <v>0</v>
      </c>
      <c r="X45" s="67">
        <f ca="1">+GETPIVOTDATA("XBC4",'bauchinh (2016)'!$A$3,"MA_HT","ODT","MA_QH","TMD")</f>
        <v>0</v>
      </c>
      <c r="Y45" s="67">
        <f ca="1">+GETPIVOTDATA("XBC4",'bauchinh (2016)'!$A$3,"MA_HT","ODT","MA_QH","SKC")</f>
        <v>0</v>
      </c>
      <c r="Z45" s="67">
        <f ca="1">+GETPIVOTDATA("XBC4",'bauchinh (2016)'!$A$3,"MA_HT","ODT","MA_QH","SKS")</f>
        <v>0</v>
      </c>
      <c r="AA45" s="66">
        <f ca="1" t="shared" si="21"/>
        <v>0</v>
      </c>
      <c r="AB45" s="67">
        <f ca="1">+GETPIVOTDATA("XBC4",'bauchinh (2016)'!$A$3,"MA_HT","ODT","MA_QH","DGT")</f>
        <v>0</v>
      </c>
      <c r="AC45" s="67">
        <f ca="1">+GETPIVOTDATA("XBC4",'bauchinh (2016)'!$A$3,"MA_HT","ODT","MA_QH","DTL")</f>
        <v>0</v>
      </c>
      <c r="AD45" s="67">
        <f ca="1">+GETPIVOTDATA("XBC4",'bauchinh (2016)'!$A$3,"MA_HT","ODT","MA_QH","DNL")</f>
        <v>0</v>
      </c>
      <c r="AE45" s="67">
        <f ca="1">+GETPIVOTDATA("XBC4",'bauchinh (2016)'!$A$3,"MA_HT","ODT","MA_QH","DBV")</f>
        <v>0</v>
      </c>
      <c r="AF45" s="67">
        <f ca="1">+GETPIVOTDATA("XBC4",'bauchinh (2016)'!$A$3,"MA_HT","ODT","MA_QH","DVH")</f>
        <v>0</v>
      </c>
      <c r="AG45" s="67">
        <f ca="1">+GETPIVOTDATA("XBC4",'bauchinh (2016)'!$A$3,"MA_HT","ODT","MA_QH","DYT")</f>
        <v>0</v>
      </c>
      <c r="AH45" s="67">
        <f ca="1">+GETPIVOTDATA("XBC4",'bauchinh (2016)'!$A$3,"MA_HT","ODT","MA_QH","DGD")</f>
        <v>0</v>
      </c>
      <c r="AI45" s="67">
        <f ca="1">+GETPIVOTDATA("XBC4",'bauchinh (2016)'!$A$3,"MA_HT","ODT","MA_QH","DTT")</f>
        <v>0</v>
      </c>
      <c r="AJ45" s="67">
        <f ca="1">+GETPIVOTDATA("XBC4",'bauchinh (2016)'!$A$3,"MA_HT","ODT","MA_QH","NCK")</f>
        <v>0</v>
      </c>
      <c r="AK45" s="67">
        <f ca="1">+GETPIVOTDATA("XBC4",'bauchinh (2016)'!$A$3,"MA_HT","ODT","MA_QH","DXH")</f>
        <v>0</v>
      </c>
      <c r="AL45" s="67">
        <f ca="1">+GETPIVOTDATA("XBC4",'bauchinh (2016)'!$A$3,"MA_HT","ODT","MA_QH","DCH")</f>
        <v>0</v>
      </c>
      <c r="AM45" s="67">
        <f ca="1">+GETPIVOTDATA("XBC4",'bauchinh (2016)'!$A$3,"MA_HT","ODT","MA_QH","DKG")</f>
        <v>0</v>
      </c>
      <c r="AN45" s="67">
        <f ca="1">+GETPIVOTDATA("XBC4",'bauchinh (2016)'!$A$3,"MA_HT","ODT","MA_QH","DDT")</f>
        <v>0</v>
      </c>
      <c r="AO45" s="67">
        <f ca="1">+GETPIVOTDATA("XBC4",'bauchinh (2016)'!$A$3,"MA_HT","ODT","MA_QH","DDL")</f>
        <v>0</v>
      </c>
      <c r="AP45" s="67">
        <f ca="1">+GETPIVOTDATA("XBC4",'bauchinh (2016)'!$A$3,"MA_HT","ODT","MA_QH","DRA")</f>
        <v>0</v>
      </c>
      <c r="AQ45" s="67">
        <f ca="1">+GETPIVOTDATA("XBC4",'bauchinh (2016)'!$A$3,"MA_HT","ODT","MA_QH","ONT")</f>
        <v>0</v>
      </c>
      <c r="AR45" s="82" t="e">
        <f ca="1">$D45-$BF45</f>
        <v>#REF!</v>
      </c>
      <c r="AS45" s="67">
        <f ca="1">+GETPIVOTDATA("XBC4",'bauchinh (2016)'!$A$3,"MA_HT","ODT","MA_QH","TSC")</f>
        <v>0</v>
      </c>
      <c r="AT45" s="67">
        <f ca="1">+GETPIVOTDATA("XBC4",'bauchinh (2016)'!$A$3,"MA_HT","ODT","MA_QH","DTS")</f>
        <v>0</v>
      </c>
      <c r="AU45" s="67">
        <f ca="1">+GETPIVOTDATA("XBC4",'bauchinh (2016)'!$A$3,"MA_HT","ODT","MA_QH","DNG")</f>
        <v>0</v>
      </c>
      <c r="AV45" s="67">
        <f ca="1">+GETPIVOTDATA("XBC4",'bauchinh (2016)'!$A$3,"MA_HT","ODT","MA_QH","TON")</f>
        <v>0</v>
      </c>
      <c r="AW45" s="67">
        <f ca="1">+GETPIVOTDATA("XBC4",'bauchinh (2016)'!$A$3,"MA_HT","ODT","MA_QH","NTD")</f>
        <v>0</v>
      </c>
      <c r="AX45" s="67">
        <f ca="1">+GETPIVOTDATA("XBC4",'bauchinh (2016)'!$A$3,"MA_HT","ODT","MA_QH","SKX")</f>
        <v>0</v>
      </c>
      <c r="AY45" s="67">
        <f ca="1">+GETPIVOTDATA("XBC4",'bauchinh (2016)'!$A$3,"MA_HT","ODT","MA_QH","DSH")</f>
        <v>0</v>
      </c>
      <c r="AZ45" s="67">
        <f ca="1">+GETPIVOTDATA("XBC4",'bauchinh (2016)'!$A$3,"MA_HT","ODT","MA_QH","DKV")</f>
        <v>0</v>
      </c>
      <c r="BA45" s="92">
        <f ca="1">+GETPIVOTDATA("XBC4",'bauchinh (2016)'!$A$3,"MA_HT","ODT","MA_QH","TIN")</f>
        <v>0</v>
      </c>
      <c r="BB45" s="93">
        <f ca="1">+GETPIVOTDATA("XBC4",'bauchinh (2016)'!$A$3,"MA_HT","ODT","MA_QH","SON")</f>
        <v>0</v>
      </c>
      <c r="BC45" s="93">
        <f ca="1">+GETPIVOTDATA("XBC4",'bauchinh (2016)'!$A$3,"MA_HT","ODT","MA_QH","MNC")</f>
        <v>0</v>
      </c>
      <c r="BD45" s="67">
        <f ca="1">+GETPIVOTDATA("XBC4",'bauchinh (2016)'!$A$3,"MA_HT","ODT","MA_QH","PNK")</f>
        <v>0</v>
      </c>
      <c r="BE45" s="116">
        <f ca="1">+GETPIVOTDATA("XBC4",'bauchinh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+GETPIVOTDATA("XBC4",'bauchinh (2016)'!$A$3,"MA_HT","TSC","MA_QH","LUC")</f>
        <v>0</v>
      </c>
      <c r="H46" s="22">
        <f ca="1">+GETPIVOTDATA("XBC4",'bauchinh (2016)'!$A$3,"MA_HT","TSC","MA_QH","LUK")</f>
        <v>0</v>
      </c>
      <c r="I46" s="22">
        <f ca="1">+GETPIVOTDATA("XBC4",'bauchinh (2016)'!$A$3,"MA_HT","TSC","MA_QH","LUN")</f>
        <v>0</v>
      </c>
      <c r="J46" s="22">
        <f ca="1">+GETPIVOTDATA("XBC4",'bauchinh (2016)'!$A$3,"MA_HT","TSC","MA_QH","HNK")</f>
        <v>0</v>
      </c>
      <c r="K46" s="22">
        <f ca="1">+GETPIVOTDATA("XBC4",'bauchinh (2016)'!$A$3,"MA_HT","TSC","MA_QH","CLN")</f>
        <v>0</v>
      </c>
      <c r="L46" s="22">
        <f ca="1">+GETPIVOTDATA("XBC4",'bauchinh (2016)'!$A$3,"MA_HT","TSC","MA_QH","RSX")</f>
        <v>0</v>
      </c>
      <c r="M46" s="22">
        <f ca="1">+GETPIVOTDATA("XBC4",'bauchinh (2016)'!$A$3,"MA_HT","TSC","MA_QH","RPH")</f>
        <v>0</v>
      </c>
      <c r="N46" s="22">
        <f ca="1">+GETPIVOTDATA("XBC4",'bauchinh (2016)'!$A$3,"MA_HT","TSC","MA_QH","RDD")</f>
        <v>0</v>
      </c>
      <c r="O46" s="22">
        <f ca="1">+GETPIVOTDATA("XBC4",'bauchinh (2016)'!$A$3,"MA_HT","TSC","MA_QH","NTS")</f>
        <v>0</v>
      </c>
      <c r="P46" s="22">
        <f ca="1">+GETPIVOTDATA("XBC4",'bauchinh (2016)'!$A$3,"MA_HT","TSC","MA_QH","LMU")</f>
        <v>0</v>
      </c>
      <c r="Q46" s="22">
        <f ca="1">+GETPIVOTDATA("XBC4",'bauchinh (2016)'!$A$3,"MA_HT","TSC","MA_QH","NKH")</f>
        <v>0</v>
      </c>
      <c r="R46" s="48">
        <f ca="1">SUM(S46:AA46,AN46:AR46,AT46:BD46)</f>
        <v>0</v>
      </c>
      <c r="S46" s="22">
        <f ca="1">+GETPIVOTDATA("XBC4",'bauchinh (2016)'!$A$3,"MA_HT","TSC","MA_QH","CQP")</f>
        <v>0</v>
      </c>
      <c r="T46" s="22">
        <f ca="1">+GETPIVOTDATA("XBC4",'bauchinh (2016)'!$A$3,"MA_HT","TSC","MA_QH","CAN")</f>
        <v>0</v>
      </c>
      <c r="U46" s="22">
        <f ca="1">+GETPIVOTDATA("XBC4",'bauchinh (2016)'!$A$3,"MA_HT","TSC","MA_QH","SKK")</f>
        <v>0</v>
      </c>
      <c r="V46" s="22">
        <f ca="1">+GETPIVOTDATA("XBC4",'bauchinh (2016)'!$A$3,"MA_HT","TSC","MA_QH","SKT")</f>
        <v>0</v>
      </c>
      <c r="W46" s="22">
        <f ca="1">+GETPIVOTDATA("XBC4",'bauchinh (2016)'!$A$3,"MA_HT","TSC","MA_QH","SKN")</f>
        <v>0</v>
      </c>
      <c r="X46" s="22">
        <f ca="1">+GETPIVOTDATA("XBC4",'bauchinh (2016)'!$A$3,"MA_HT","TSC","MA_QH","TMD")</f>
        <v>0</v>
      </c>
      <c r="Y46" s="22">
        <f ca="1">+GETPIVOTDATA("XBC4",'bauchinh (2016)'!$A$3,"MA_HT","TSC","MA_QH","SKC")</f>
        <v>0</v>
      </c>
      <c r="Z46" s="22">
        <f ca="1">+GETPIVOTDATA("XBC4",'bauchinh (2016)'!$A$3,"MA_HT","TSC","MA_QH","SKS")</f>
        <v>0</v>
      </c>
      <c r="AA46" s="52">
        <f ca="1" t="shared" si="21"/>
        <v>0</v>
      </c>
      <c r="AB46" s="22">
        <f ca="1">+GETPIVOTDATA("XBC4",'bauchinh (2016)'!$A$3,"MA_HT","TSC","MA_QH","DGT")</f>
        <v>0</v>
      </c>
      <c r="AC46" s="22">
        <f ca="1">+GETPIVOTDATA("XBC4",'bauchinh (2016)'!$A$3,"MA_HT","TSC","MA_QH","DTL")</f>
        <v>0</v>
      </c>
      <c r="AD46" s="22">
        <f ca="1">+GETPIVOTDATA("XBC4",'bauchinh (2016)'!$A$3,"MA_HT","TSC","MA_QH","DNL")</f>
        <v>0</v>
      </c>
      <c r="AE46" s="22">
        <f ca="1">+GETPIVOTDATA("XBC4",'bauchinh (2016)'!$A$3,"MA_HT","TSC","MA_QH","DBV")</f>
        <v>0</v>
      </c>
      <c r="AF46" s="22">
        <f ca="1">+GETPIVOTDATA("XBC4",'bauchinh (2016)'!$A$3,"MA_HT","TSC","MA_QH","DVH")</f>
        <v>0</v>
      </c>
      <c r="AG46" s="22">
        <f ca="1">+GETPIVOTDATA("XBC4",'bauchinh (2016)'!$A$3,"MA_HT","TSC","MA_QH","DYT")</f>
        <v>0</v>
      </c>
      <c r="AH46" s="22">
        <f ca="1">+GETPIVOTDATA("XBC4",'bauchinh (2016)'!$A$3,"MA_HT","TSC","MA_QH","DGD")</f>
        <v>0</v>
      </c>
      <c r="AI46" s="22">
        <f ca="1">+GETPIVOTDATA("XBC4",'bauchinh (2016)'!$A$3,"MA_HT","TSC","MA_QH","DTT")</f>
        <v>0</v>
      </c>
      <c r="AJ46" s="22">
        <f ca="1">+GETPIVOTDATA("XBC4",'bauchinh (2016)'!$A$3,"MA_HT","TSC","MA_QH","NCK")</f>
        <v>0</v>
      </c>
      <c r="AK46" s="22">
        <f ca="1">+GETPIVOTDATA("XBC4",'bauchinh (2016)'!$A$3,"MA_HT","TSC","MA_QH","DXH")</f>
        <v>0</v>
      </c>
      <c r="AL46" s="22">
        <f ca="1">+GETPIVOTDATA("XBC4",'bauchinh (2016)'!$A$3,"MA_HT","TSC","MA_QH","DCH")</f>
        <v>0</v>
      </c>
      <c r="AM46" s="22">
        <f ca="1">+GETPIVOTDATA("XBC4",'bauchinh (2016)'!$A$3,"MA_HT","TSC","MA_QH","DKG")</f>
        <v>0</v>
      </c>
      <c r="AN46" s="22">
        <f ca="1">+GETPIVOTDATA("XBC4",'bauchinh (2016)'!$A$3,"MA_HT","TSC","MA_QH","DDT")</f>
        <v>0</v>
      </c>
      <c r="AO46" s="22">
        <f ca="1">+GETPIVOTDATA("XBC4",'bauchinh (2016)'!$A$3,"MA_HT","TSC","MA_QH","DDL")</f>
        <v>0</v>
      </c>
      <c r="AP46" s="22">
        <f ca="1">+GETPIVOTDATA("XBC4",'bauchinh (2016)'!$A$3,"MA_HT","TSC","MA_QH","DRA")</f>
        <v>0</v>
      </c>
      <c r="AQ46" s="22">
        <f ca="1">+GETPIVOTDATA("XBC4",'bauchinh (2016)'!$A$3,"MA_HT","TSC","MA_QH","ONT")</f>
        <v>0</v>
      </c>
      <c r="AR46" s="22">
        <f ca="1">+GETPIVOTDATA("XBC4",'bauchinh (2016)'!$A$3,"MA_HT","TSC","MA_QH","ODT")</f>
        <v>0</v>
      </c>
      <c r="AS46" s="43" t="e">
        <f ca="1">$D46-$BF46</f>
        <v>#REF!</v>
      </c>
      <c r="AT46" s="22">
        <f ca="1">+GETPIVOTDATA("XBC4",'bauchinh (2016)'!$A$3,"MA_HT","TSC","MA_QH","DTS")</f>
        <v>0</v>
      </c>
      <c r="AU46" s="22">
        <f ca="1">+GETPIVOTDATA("XBC4",'bauchinh (2016)'!$A$3,"MA_HT","TSC","MA_QH","DNG")</f>
        <v>0</v>
      </c>
      <c r="AV46" s="22">
        <f ca="1">+GETPIVOTDATA("XBC4",'bauchinh (2016)'!$A$3,"MA_HT","TSC","MA_QH","TON")</f>
        <v>0</v>
      </c>
      <c r="AW46" s="22">
        <f ca="1">+GETPIVOTDATA("XBC4",'bauchinh (2016)'!$A$3,"MA_HT","TSC","MA_QH","NTD")</f>
        <v>0</v>
      </c>
      <c r="AX46" s="22">
        <f ca="1">+GETPIVOTDATA("XBC4",'bauchinh (2016)'!$A$3,"MA_HT","TSC","MA_QH","SKX")</f>
        <v>0</v>
      </c>
      <c r="AY46" s="22">
        <f ca="1">+GETPIVOTDATA("XBC4",'bauchinh (2016)'!$A$3,"MA_HT","TSC","MA_QH","DSH")</f>
        <v>0</v>
      </c>
      <c r="AZ46" s="22">
        <f ca="1">+GETPIVOTDATA("XBC4",'bauchinh (2016)'!$A$3,"MA_HT","TSC","MA_QH","DKV")</f>
        <v>0</v>
      </c>
      <c r="BA46" s="89">
        <f ca="1">+GETPIVOTDATA("XBC4",'bauchinh (2016)'!$A$3,"MA_HT","TSC","MA_QH","TIN")</f>
        <v>0</v>
      </c>
      <c r="BB46" s="50">
        <f ca="1">+GETPIVOTDATA("XBC4",'bauchinh (2016)'!$A$3,"MA_HT","TSC","MA_QH","SON")</f>
        <v>0</v>
      </c>
      <c r="BC46" s="50">
        <f ca="1">+GETPIVOTDATA("XBC4",'bauchinh (2016)'!$A$3,"MA_HT","TSC","MA_QH","MNC")</f>
        <v>0</v>
      </c>
      <c r="BD46" s="22">
        <f ca="1">+GETPIVOTDATA("XBC4",'bauchinh (2016)'!$A$3,"MA_HT","TSC","MA_QH","PNK")</f>
        <v>0</v>
      </c>
      <c r="BE46" s="71">
        <f ca="1">+GETPIVOTDATA("XBC4",'bauchinh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+GETPIVOTDATA("XBC4",'bauchinh (2016)'!$A$3,"MA_HT","DTS","MA_QH","LUC")</f>
        <v>0</v>
      </c>
      <c r="H47" s="60">
        <f ca="1">+GETPIVOTDATA("XBC4",'bauchinh (2016)'!$A$3,"MA_HT","DTS","MA_QH","LUK")</f>
        <v>0</v>
      </c>
      <c r="I47" s="60">
        <f ca="1">+GETPIVOTDATA("XBC4",'bauchinh (2016)'!$A$3,"MA_HT","DTS","MA_QH","LUN")</f>
        <v>0</v>
      </c>
      <c r="J47" s="60">
        <f ca="1">+GETPIVOTDATA("XBC4",'bauchinh (2016)'!$A$3,"MA_HT","DTS","MA_QH","HNK")</f>
        <v>0</v>
      </c>
      <c r="K47" s="60">
        <f ca="1">+GETPIVOTDATA("XBC4",'bauchinh (2016)'!$A$3,"MA_HT","DTS","MA_QH","CLN")</f>
        <v>0</v>
      </c>
      <c r="L47" s="60">
        <f ca="1">+GETPIVOTDATA("XBC4",'bauchinh (2016)'!$A$3,"MA_HT","DTS","MA_QH","RSX")</f>
        <v>0</v>
      </c>
      <c r="M47" s="60">
        <f ca="1">+GETPIVOTDATA("XBC4",'bauchinh (2016)'!$A$3,"MA_HT","DTS","MA_QH","RPH")</f>
        <v>0</v>
      </c>
      <c r="N47" s="60">
        <f ca="1">+GETPIVOTDATA("XBC4",'bauchinh (2016)'!$A$3,"MA_HT","DTS","MA_QH","RDD")</f>
        <v>0</v>
      </c>
      <c r="O47" s="60">
        <f ca="1">+GETPIVOTDATA("XBC4",'bauchinh (2016)'!$A$3,"MA_HT","DTS","MA_QH","NTS")</f>
        <v>0</v>
      </c>
      <c r="P47" s="60">
        <f ca="1">+GETPIVOTDATA("XBC4",'bauchinh (2016)'!$A$3,"MA_HT","DTS","MA_QH","LMU")</f>
        <v>0</v>
      </c>
      <c r="Q47" s="60">
        <f ca="1">+GETPIVOTDATA("XBC4",'bauchinh (2016)'!$A$3,"MA_HT","DTS","MA_QH","NKH")</f>
        <v>0</v>
      </c>
      <c r="R47" s="78">
        <f ca="1">SUM(S47:AA47,AN47:AS47,AU47:BD47)</f>
        <v>0</v>
      </c>
      <c r="S47" s="60">
        <f ca="1">+GETPIVOTDATA("XBC4",'bauchinh (2016)'!$A$3,"MA_HT","DTS","MA_QH","CQP")</f>
        <v>0</v>
      </c>
      <c r="T47" s="60">
        <f ca="1">+GETPIVOTDATA("XBC4",'bauchinh (2016)'!$A$3,"MA_HT","DTS","MA_QH","CAN")</f>
        <v>0</v>
      </c>
      <c r="U47" s="60">
        <f ca="1">+GETPIVOTDATA("XBC4",'bauchinh (2016)'!$A$3,"MA_HT","DTS","MA_QH","SKK")</f>
        <v>0</v>
      </c>
      <c r="V47" s="60">
        <f ca="1">+GETPIVOTDATA("XBC4",'bauchinh (2016)'!$A$3,"MA_HT","DTS","MA_QH","SKT")</f>
        <v>0</v>
      </c>
      <c r="W47" s="60">
        <f ca="1">+GETPIVOTDATA("XBC4",'bauchinh (2016)'!$A$3,"MA_HT","DTS","MA_QH","SKN")</f>
        <v>0</v>
      </c>
      <c r="X47" s="60">
        <f ca="1">+GETPIVOTDATA("XBC4",'bauchinh (2016)'!$A$3,"MA_HT","DTS","MA_QH","TMD")</f>
        <v>0</v>
      </c>
      <c r="Y47" s="60">
        <f ca="1">+GETPIVOTDATA("XBC4",'bauchinh (2016)'!$A$3,"MA_HT","DTS","MA_QH","SKC")</f>
        <v>0</v>
      </c>
      <c r="Z47" s="60">
        <f ca="1">+GETPIVOTDATA("XBC4",'bauchinh (2016)'!$A$3,"MA_HT","DTS","MA_QH","SKS")</f>
        <v>0</v>
      </c>
      <c r="AA47" s="59">
        <f ca="1" t="shared" si="21"/>
        <v>0</v>
      </c>
      <c r="AB47" s="60">
        <f ca="1">+GETPIVOTDATA("XBC4",'bauchinh (2016)'!$A$3,"MA_HT","DTS","MA_QH","DGT")</f>
        <v>0</v>
      </c>
      <c r="AC47" s="60">
        <f ca="1">+GETPIVOTDATA("XBC4",'bauchinh (2016)'!$A$3,"MA_HT","DTS","MA_QH","DTL")</f>
        <v>0</v>
      </c>
      <c r="AD47" s="60">
        <f ca="1">+GETPIVOTDATA("XBC4",'bauchinh (2016)'!$A$3,"MA_HT","DTS","MA_QH","DNL")</f>
        <v>0</v>
      </c>
      <c r="AE47" s="60">
        <f ca="1">+GETPIVOTDATA("XBC4",'bauchinh (2016)'!$A$3,"MA_HT","DTS","MA_QH","DBV")</f>
        <v>0</v>
      </c>
      <c r="AF47" s="60">
        <f ca="1">+GETPIVOTDATA("XBC4",'bauchinh (2016)'!$A$3,"MA_HT","DTS","MA_QH","DVH")</f>
        <v>0</v>
      </c>
      <c r="AG47" s="60">
        <f ca="1">+GETPIVOTDATA("XBC4",'bauchinh (2016)'!$A$3,"MA_HT","DTS","MA_QH","DYT")</f>
        <v>0</v>
      </c>
      <c r="AH47" s="60">
        <f ca="1">+GETPIVOTDATA("XBC4",'bauchinh (2016)'!$A$3,"MA_HT","DTS","MA_QH","DGD")</f>
        <v>0</v>
      </c>
      <c r="AI47" s="60">
        <f ca="1">+GETPIVOTDATA("XBC4",'bauchinh (2016)'!$A$3,"MA_HT","DTS","MA_QH","DTT")</f>
        <v>0</v>
      </c>
      <c r="AJ47" s="60">
        <f ca="1">+GETPIVOTDATA("XBC4",'bauchinh (2016)'!$A$3,"MA_HT","DTS","MA_QH","NCK")</f>
        <v>0</v>
      </c>
      <c r="AK47" s="60">
        <f ca="1">+GETPIVOTDATA("XBC4",'bauchinh (2016)'!$A$3,"MA_HT","DTS","MA_QH","DXH")</f>
        <v>0</v>
      </c>
      <c r="AL47" s="60">
        <f ca="1">+GETPIVOTDATA("XBC4",'bauchinh (2016)'!$A$3,"MA_HT","DTS","MA_QH","DCH")</f>
        <v>0</v>
      </c>
      <c r="AM47" s="60">
        <f ca="1">+GETPIVOTDATA("XBC4",'bauchinh (2016)'!$A$3,"MA_HT","DTS","MA_QH","DKG")</f>
        <v>0</v>
      </c>
      <c r="AN47" s="60">
        <f ca="1">+GETPIVOTDATA("XBC4",'bauchinh (2016)'!$A$3,"MA_HT","DTS","MA_QH","DDT")</f>
        <v>0</v>
      </c>
      <c r="AO47" s="60">
        <f ca="1">+GETPIVOTDATA("XBC4",'bauchinh (2016)'!$A$3,"MA_HT","DTS","MA_QH","DDL")</f>
        <v>0</v>
      </c>
      <c r="AP47" s="60">
        <f ca="1">+GETPIVOTDATA("XBC4",'bauchinh (2016)'!$A$3,"MA_HT","DTS","MA_QH","DRA")</f>
        <v>0</v>
      </c>
      <c r="AQ47" s="60">
        <f ca="1">+GETPIVOTDATA("XBC4",'bauchinh (2016)'!$A$3,"MA_HT","DTS","MA_QH","ONT")</f>
        <v>0</v>
      </c>
      <c r="AR47" s="60">
        <f ca="1">+GETPIVOTDATA("XBC4",'bauchinh (2016)'!$A$3,"MA_HT","DTS","MA_QH","ODT")</f>
        <v>0</v>
      </c>
      <c r="AS47" s="60">
        <f ca="1">+GETPIVOTDATA("XBC4",'bauchinh (2016)'!$A$3,"MA_HT","DTS","MA_QH","TSC")</f>
        <v>0</v>
      </c>
      <c r="AT47" s="81" t="e">
        <f ca="1">$D47-$BF47</f>
        <v>#REF!</v>
      </c>
      <c r="AU47" s="60">
        <f ca="1">+GETPIVOTDATA("XBC4",'bauchinh (2016)'!$A$3,"MA_HT","DTS","MA_QH","DNG")</f>
        <v>0</v>
      </c>
      <c r="AV47" s="60">
        <f ca="1">+GETPIVOTDATA("XBC4",'bauchinh (2016)'!$A$3,"MA_HT","DTS","MA_QH","TON")</f>
        <v>0</v>
      </c>
      <c r="AW47" s="60">
        <f ca="1">+GETPIVOTDATA("XBC4",'bauchinh (2016)'!$A$3,"MA_HT","DTS","MA_QH","NTD")</f>
        <v>0</v>
      </c>
      <c r="AX47" s="60">
        <f ca="1">+GETPIVOTDATA("XBC4",'bauchinh (2016)'!$A$3,"MA_HT","DTS","MA_QH","SKX")</f>
        <v>0</v>
      </c>
      <c r="AY47" s="60">
        <f ca="1">+GETPIVOTDATA("XBC4",'bauchinh (2016)'!$A$3,"MA_HT","DTS","MA_QH","DSH")</f>
        <v>0</v>
      </c>
      <c r="AZ47" s="60">
        <f ca="1">+GETPIVOTDATA("XBC4",'bauchinh (2016)'!$A$3,"MA_HT","DTS","MA_QH","DKV")</f>
        <v>0</v>
      </c>
      <c r="BA47" s="90">
        <f ca="1">+GETPIVOTDATA("XBC4",'bauchinh (2016)'!$A$3,"MA_HT","DTS","MA_QH","TIN")</f>
        <v>0</v>
      </c>
      <c r="BB47" s="91">
        <f ca="1">+GETPIVOTDATA("XBC4",'bauchinh (2016)'!$A$3,"MA_HT","DTS","MA_QH","SON")</f>
        <v>0</v>
      </c>
      <c r="BC47" s="91">
        <f ca="1">+GETPIVOTDATA("XBC4",'bauchinh (2016)'!$A$3,"MA_HT","DTS","MA_QH","MNC")</f>
        <v>0</v>
      </c>
      <c r="BD47" s="60">
        <f ca="1">+GETPIVOTDATA("XBC4",'bauchinh (2016)'!$A$3,"MA_HT","DTS","MA_QH","PNK")</f>
        <v>0</v>
      </c>
      <c r="BE47" s="111">
        <f ca="1">+GETPIVOTDATA("XBC4",'bauchinh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+GETPIVOTDATA("XBC4",'bauchinh (2016)'!$A$3,"MA_HT","DNG","MA_QH","LUC")</f>
        <v>0</v>
      </c>
      <c r="H48" s="22">
        <f ca="1">+GETPIVOTDATA("XBC4",'bauchinh (2016)'!$A$3,"MA_HT","DNG","MA_QH","LUK")</f>
        <v>0</v>
      </c>
      <c r="I48" s="22">
        <f ca="1">+GETPIVOTDATA("XBC4",'bauchinh (2016)'!$A$3,"MA_HT","DNG","MA_QH","LUN")</f>
        <v>0</v>
      </c>
      <c r="J48" s="22">
        <f ca="1">+GETPIVOTDATA("XBC4",'bauchinh (2016)'!$A$3,"MA_HT","DNG","MA_QH","HNK")</f>
        <v>0</v>
      </c>
      <c r="K48" s="22">
        <f ca="1">+GETPIVOTDATA("XBC4",'bauchinh (2016)'!$A$3,"MA_HT","DNG","MA_QH","CLN")</f>
        <v>0</v>
      </c>
      <c r="L48" s="22">
        <f ca="1">+GETPIVOTDATA("XBC4",'bauchinh (2016)'!$A$3,"MA_HT","DNG","MA_QH","RSX")</f>
        <v>0</v>
      </c>
      <c r="M48" s="22">
        <f ca="1">+GETPIVOTDATA("XBC4",'bauchinh (2016)'!$A$3,"MA_HT","DNG","MA_QH","RPH")</f>
        <v>0</v>
      </c>
      <c r="N48" s="22">
        <f ca="1">+GETPIVOTDATA("XBC4",'bauchinh (2016)'!$A$3,"MA_HT","DNG","MA_QH","RDD")</f>
        <v>0</v>
      </c>
      <c r="O48" s="22">
        <f ca="1">+GETPIVOTDATA("XBC4",'bauchinh (2016)'!$A$3,"MA_HT","DNG","MA_QH","NTS")</f>
        <v>0</v>
      </c>
      <c r="P48" s="22">
        <f ca="1">+GETPIVOTDATA("XBC4",'bauchinh (2016)'!$A$3,"MA_HT","DNG","MA_QH","LMU")</f>
        <v>0</v>
      </c>
      <c r="Q48" s="22">
        <f ca="1">+GETPIVOTDATA("XBC4",'bauchinh (2016)'!$A$3,"MA_HT","DNG","MA_QH","NKH")</f>
        <v>0</v>
      </c>
      <c r="R48" s="79">
        <f ca="1">SUM(S48:AA48,AN48:AT48,AV48:BD48)</f>
        <v>0</v>
      </c>
      <c r="S48" s="22">
        <f ca="1">+GETPIVOTDATA("XBC4",'bauchinh (2016)'!$A$3,"MA_HT","DNG","MA_QH","CQP")</f>
        <v>0</v>
      </c>
      <c r="T48" s="22">
        <f ca="1">+GETPIVOTDATA("XBC4",'bauchinh (2016)'!$A$3,"MA_HT","DNG","MA_QH","CAN")</f>
        <v>0</v>
      </c>
      <c r="U48" s="22">
        <f ca="1">+GETPIVOTDATA("XBC4",'bauchinh (2016)'!$A$3,"MA_HT","DNG","MA_QH","SKK")</f>
        <v>0</v>
      </c>
      <c r="V48" s="22">
        <f ca="1">+GETPIVOTDATA("XBC4",'bauchinh (2016)'!$A$3,"MA_HT","DNG","MA_QH","SKT")</f>
        <v>0</v>
      </c>
      <c r="W48" s="22">
        <f ca="1">+GETPIVOTDATA("XBC4",'bauchinh (2016)'!$A$3,"MA_HT","DNG","MA_QH","SKN")</f>
        <v>0</v>
      </c>
      <c r="X48" s="22">
        <f ca="1">+GETPIVOTDATA("XBC4",'bauchinh (2016)'!$A$3,"MA_HT","DNG","MA_QH","TMD")</f>
        <v>0</v>
      </c>
      <c r="Y48" s="22">
        <f ca="1">+GETPIVOTDATA("XBC4",'bauchinh (2016)'!$A$3,"MA_HT","DNG","MA_QH","SKC")</f>
        <v>0</v>
      </c>
      <c r="Z48" s="22">
        <f ca="1">+GETPIVOTDATA("XBC4",'bauchinh (2016)'!$A$3,"MA_HT","DNG","MA_QH","SKS")</f>
        <v>0</v>
      </c>
      <c r="AA48" s="52">
        <f ca="1" t="shared" si="21"/>
        <v>0</v>
      </c>
      <c r="AB48" s="22">
        <f ca="1">+GETPIVOTDATA("XBC4",'bauchinh (2016)'!$A$3,"MA_HT","DNG","MA_QH","DGT")</f>
        <v>0</v>
      </c>
      <c r="AC48" s="22">
        <f ca="1">+GETPIVOTDATA("XBC4",'bauchinh (2016)'!$A$3,"MA_HT","DNG","MA_QH","DTL")</f>
        <v>0</v>
      </c>
      <c r="AD48" s="22">
        <f ca="1">+GETPIVOTDATA("XBC4",'bauchinh (2016)'!$A$3,"MA_HT","DNG","MA_QH","DNL")</f>
        <v>0</v>
      </c>
      <c r="AE48" s="22">
        <f ca="1">+GETPIVOTDATA("XBC4",'bauchinh (2016)'!$A$3,"MA_HT","DNG","MA_QH","DBV")</f>
        <v>0</v>
      </c>
      <c r="AF48" s="22">
        <f ca="1">+GETPIVOTDATA("XBC4",'bauchinh (2016)'!$A$3,"MA_HT","DNG","MA_QH","DVH")</f>
        <v>0</v>
      </c>
      <c r="AG48" s="22">
        <f ca="1">+GETPIVOTDATA("XBC4",'bauchinh (2016)'!$A$3,"MA_HT","DNG","MA_QH","DYT")</f>
        <v>0</v>
      </c>
      <c r="AH48" s="22">
        <f ca="1">+GETPIVOTDATA("XBC4",'bauchinh (2016)'!$A$3,"MA_HT","DNG","MA_QH","DGD")</f>
        <v>0</v>
      </c>
      <c r="AI48" s="22">
        <f ca="1">+GETPIVOTDATA("XBC4",'bauchinh (2016)'!$A$3,"MA_HT","DNG","MA_QH","DTT")</f>
        <v>0</v>
      </c>
      <c r="AJ48" s="22">
        <f ca="1">+GETPIVOTDATA("XBC4",'bauchinh (2016)'!$A$3,"MA_HT","DNG","MA_QH","NCK")</f>
        <v>0</v>
      </c>
      <c r="AK48" s="22">
        <f ca="1">+GETPIVOTDATA("XBC4",'bauchinh (2016)'!$A$3,"MA_HT","DNG","MA_QH","DXH")</f>
        <v>0</v>
      </c>
      <c r="AL48" s="22">
        <f ca="1">+GETPIVOTDATA("XBC4",'bauchinh (2016)'!$A$3,"MA_HT","DNG","MA_QH","DCH")</f>
        <v>0</v>
      </c>
      <c r="AM48" s="22">
        <f ca="1">+GETPIVOTDATA("XBC4",'bauchinh (2016)'!$A$3,"MA_HT","DNG","MA_QH","DKG")</f>
        <v>0</v>
      </c>
      <c r="AN48" s="22">
        <f ca="1">+GETPIVOTDATA("XBC4",'bauchinh (2016)'!$A$3,"MA_HT","DNG","MA_QH","DDT")</f>
        <v>0</v>
      </c>
      <c r="AO48" s="22">
        <f ca="1">+GETPIVOTDATA("XBC4",'bauchinh (2016)'!$A$3,"MA_HT","DNG","MA_QH","DDL")</f>
        <v>0</v>
      </c>
      <c r="AP48" s="22">
        <f ca="1">+GETPIVOTDATA("XBC4",'bauchinh (2016)'!$A$3,"MA_HT","DNG","MA_QH","DRA")</f>
        <v>0</v>
      </c>
      <c r="AQ48" s="22">
        <f ca="1">+GETPIVOTDATA("XBC4",'bauchinh (2016)'!$A$3,"MA_HT","DNG","MA_QH","ONT")</f>
        <v>0</v>
      </c>
      <c r="AR48" s="22">
        <f ca="1">+GETPIVOTDATA("XBC4",'bauchinh (2016)'!$A$3,"MA_HT","DNG","MA_QH","ODT")</f>
        <v>0</v>
      </c>
      <c r="AS48" s="22">
        <f ca="1">+GETPIVOTDATA("XBC4",'bauchinh (2016)'!$A$3,"MA_HT","DNG","MA_QH","TSC")</f>
        <v>0</v>
      </c>
      <c r="AT48" s="22">
        <f ca="1">+GETPIVOTDATA("XBC4",'bauchinh (2016)'!$A$3,"MA_HT","DNG","MA_QH","DTS")</f>
        <v>0</v>
      </c>
      <c r="AU48" s="43" t="e">
        <f ca="1">$D48-$BF48</f>
        <v>#REF!</v>
      </c>
      <c r="AV48" s="22">
        <f ca="1">+GETPIVOTDATA("XBC4",'bauchinh (2016)'!$A$3,"MA_HT","DNG","MA_QH","TON")</f>
        <v>0</v>
      </c>
      <c r="AW48" s="22">
        <f ca="1">+GETPIVOTDATA("XBC4",'bauchinh (2016)'!$A$3,"MA_HT","DNG","MA_QH","NTD")</f>
        <v>0</v>
      </c>
      <c r="AX48" s="22">
        <f ca="1">+GETPIVOTDATA("XBC4",'bauchinh (2016)'!$A$3,"MA_HT","DNG","MA_QH","SKX")</f>
        <v>0</v>
      </c>
      <c r="AY48" s="22">
        <f ca="1">+GETPIVOTDATA("XBC4",'bauchinh (2016)'!$A$3,"MA_HT","DNG","MA_QH","DSH")</f>
        <v>0</v>
      </c>
      <c r="AZ48" s="22">
        <f ca="1">+GETPIVOTDATA("XBC4",'bauchinh (2016)'!$A$3,"MA_HT","DNG","MA_QH","DKV")</f>
        <v>0</v>
      </c>
      <c r="BA48" s="89">
        <f ca="1">+GETPIVOTDATA("XBC4",'bauchinh (2016)'!$A$3,"MA_HT","DNG","MA_QH","TIN")</f>
        <v>0</v>
      </c>
      <c r="BB48" s="50">
        <f ca="1">+GETPIVOTDATA("XBC4",'bauchinh (2016)'!$A$3,"MA_HT","DNG","MA_QH","SON")</f>
        <v>0</v>
      </c>
      <c r="BC48" s="50">
        <f ca="1">+GETPIVOTDATA("XBC4",'bauchinh (2016)'!$A$3,"MA_HT","DNG","MA_QH","MNC")</f>
        <v>0</v>
      </c>
      <c r="BD48" s="22">
        <f ca="1">+GETPIVOTDATA("XBC4",'bauchinh (2016)'!$A$3,"MA_HT","DNG","MA_QH","PNK")</f>
        <v>0</v>
      </c>
      <c r="BE48" s="71">
        <f ca="1">+GETPIVOTDATA("XBC4",'bauchinh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+GETPIVOTDATA("XBC4",'bauchinh (2016)'!$A$3,"MA_HT","TON","MA_QH","LUC")</f>
        <v>0</v>
      </c>
      <c r="H49" s="22">
        <f ca="1">+GETPIVOTDATA("XBC4",'bauchinh (2016)'!$A$3,"MA_HT","TON","MA_QH","LUK")</f>
        <v>0</v>
      </c>
      <c r="I49" s="22">
        <f ca="1">+GETPIVOTDATA("XBC4",'bauchinh (2016)'!$A$3,"MA_HT","TON","MA_QH","LUN")</f>
        <v>0</v>
      </c>
      <c r="J49" s="22">
        <f ca="1">+GETPIVOTDATA("XBC4",'bauchinh (2016)'!$A$3,"MA_HT","TON","MA_QH","HNK")</f>
        <v>0</v>
      </c>
      <c r="K49" s="22">
        <f ca="1">+GETPIVOTDATA("XBC4",'bauchinh (2016)'!$A$3,"MA_HT","TON","MA_QH","CLN")</f>
        <v>0</v>
      </c>
      <c r="L49" s="22">
        <f ca="1">+GETPIVOTDATA("XBC4",'bauchinh (2016)'!$A$3,"MA_HT","TON","MA_QH","RSX")</f>
        <v>0</v>
      </c>
      <c r="M49" s="22">
        <f ca="1">+GETPIVOTDATA("XBC4",'bauchinh (2016)'!$A$3,"MA_HT","TON","MA_QH","RPH")</f>
        <v>0</v>
      </c>
      <c r="N49" s="22">
        <f ca="1">+GETPIVOTDATA("XBC4",'bauchinh (2016)'!$A$3,"MA_HT","TON","MA_QH","RDD")</f>
        <v>0</v>
      </c>
      <c r="O49" s="22">
        <f ca="1">+GETPIVOTDATA("XBC4",'bauchinh (2016)'!$A$3,"MA_HT","TON","MA_QH","NTS")</f>
        <v>0</v>
      </c>
      <c r="P49" s="22">
        <f ca="1">+GETPIVOTDATA("XBC4",'bauchinh (2016)'!$A$3,"MA_HT","TON","MA_QH","LMU")</f>
        <v>0</v>
      </c>
      <c r="Q49" s="22">
        <f ca="1">+GETPIVOTDATA("XBC4",'bauchinh (2016)'!$A$3,"MA_HT","TON","MA_QH","NKH")</f>
        <v>0</v>
      </c>
      <c r="R49" s="79">
        <f ca="1">SUM(S49:AA49,AN49:AU49,AW49:BD49)</f>
        <v>0</v>
      </c>
      <c r="S49" s="22">
        <f ca="1">+GETPIVOTDATA("XBC4",'bauchinh (2016)'!$A$3,"MA_HT","TON","MA_QH","CQP")</f>
        <v>0</v>
      </c>
      <c r="T49" s="22">
        <f ca="1">+GETPIVOTDATA("XBC4",'bauchinh (2016)'!$A$3,"MA_HT","TON","MA_QH","CAN")</f>
        <v>0</v>
      </c>
      <c r="U49" s="22">
        <f ca="1">+GETPIVOTDATA("XBC4",'bauchinh (2016)'!$A$3,"MA_HT","TON","MA_QH","SKK")</f>
        <v>0</v>
      </c>
      <c r="V49" s="22">
        <f ca="1">+GETPIVOTDATA("XBC4",'bauchinh (2016)'!$A$3,"MA_HT","TON","MA_QH","SKT")</f>
        <v>0</v>
      </c>
      <c r="W49" s="22">
        <f ca="1">+GETPIVOTDATA("XBC4",'bauchinh (2016)'!$A$3,"MA_HT","TON","MA_QH","SKN")</f>
        <v>0</v>
      </c>
      <c r="X49" s="22">
        <f ca="1">+GETPIVOTDATA("XBC4",'bauchinh (2016)'!$A$3,"MA_HT","TON","MA_QH","TMD")</f>
        <v>0</v>
      </c>
      <c r="Y49" s="22">
        <f ca="1">+GETPIVOTDATA("XBC4",'bauchinh (2016)'!$A$3,"MA_HT","TON","MA_QH","SKC")</f>
        <v>0</v>
      </c>
      <c r="Z49" s="22">
        <f ca="1">+GETPIVOTDATA("XBC4",'bauchinh (2016)'!$A$3,"MA_HT","TON","MA_QH","SKS")</f>
        <v>0</v>
      </c>
      <c r="AA49" s="52">
        <f ca="1" t="shared" si="21"/>
        <v>0</v>
      </c>
      <c r="AB49" s="22">
        <f ca="1">+GETPIVOTDATA("XBC4",'bauchinh (2016)'!$A$3,"MA_HT","TON","MA_QH","DGT")</f>
        <v>0</v>
      </c>
      <c r="AC49" s="22">
        <f ca="1">+GETPIVOTDATA("XBC4",'bauchinh (2016)'!$A$3,"MA_HT","TON","MA_QH","DTL")</f>
        <v>0</v>
      </c>
      <c r="AD49" s="22">
        <f ca="1">+GETPIVOTDATA("XBC4",'bauchinh (2016)'!$A$3,"MA_HT","TON","MA_QH","DNL")</f>
        <v>0</v>
      </c>
      <c r="AE49" s="22">
        <f ca="1">+GETPIVOTDATA("XBC4",'bauchinh (2016)'!$A$3,"MA_HT","TON","MA_QH","DBV")</f>
        <v>0</v>
      </c>
      <c r="AF49" s="22">
        <f ca="1">+GETPIVOTDATA("XBC4",'bauchinh (2016)'!$A$3,"MA_HT","TON","MA_QH","DVH")</f>
        <v>0</v>
      </c>
      <c r="AG49" s="22">
        <f ca="1">+GETPIVOTDATA("XBC4",'bauchinh (2016)'!$A$3,"MA_HT","TON","MA_QH","DYT")</f>
        <v>0</v>
      </c>
      <c r="AH49" s="22">
        <f ca="1">+GETPIVOTDATA("XBC4",'bauchinh (2016)'!$A$3,"MA_HT","TON","MA_QH","DGD")</f>
        <v>0</v>
      </c>
      <c r="AI49" s="22">
        <f ca="1">+GETPIVOTDATA("XBC4",'bauchinh (2016)'!$A$3,"MA_HT","TON","MA_QH","DTT")</f>
        <v>0</v>
      </c>
      <c r="AJ49" s="22">
        <f ca="1">+GETPIVOTDATA("XBC4",'bauchinh (2016)'!$A$3,"MA_HT","TON","MA_QH","NCK")</f>
        <v>0</v>
      </c>
      <c r="AK49" s="22">
        <f ca="1">+GETPIVOTDATA("XBC4",'bauchinh (2016)'!$A$3,"MA_HT","TON","MA_QH","DXH")</f>
        <v>0</v>
      </c>
      <c r="AL49" s="22">
        <f ca="1">+GETPIVOTDATA("XBC4",'bauchinh (2016)'!$A$3,"MA_HT","TON","MA_QH","DCH")</f>
        <v>0</v>
      </c>
      <c r="AM49" s="22">
        <f ca="1">+GETPIVOTDATA("XBC4",'bauchinh (2016)'!$A$3,"MA_HT","TON","MA_QH","DKG")</f>
        <v>0</v>
      </c>
      <c r="AN49" s="22">
        <f ca="1">+GETPIVOTDATA("XBC4",'bauchinh (2016)'!$A$3,"MA_HT","TON","MA_QH","DDT")</f>
        <v>0</v>
      </c>
      <c r="AO49" s="22">
        <f ca="1">+GETPIVOTDATA("XBC4",'bauchinh (2016)'!$A$3,"MA_HT","TON","MA_QH","DDL")</f>
        <v>0</v>
      </c>
      <c r="AP49" s="22">
        <f ca="1">+GETPIVOTDATA("XBC4",'bauchinh (2016)'!$A$3,"MA_HT","TON","MA_QH","DRA")</f>
        <v>0</v>
      </c>
      <c r="AQ49" s="22">
        <f ca="1">+GETPIVOTDATA("XBC4",'bauchinh (2016)'!$A$3,"MA_HT","TON","MA_QH","ONT")</f>
        <v>0</v>
      </c>
      <c r="AR49" s="22">
        <f ca="1">+GETPIVOTDATA("XBC4",'bauchinh (2016)'!$A$3,"MA_HT","TON","MA_QH","ODT")</f>
        <v>0</v>
      </c>
      <c r="AS49" s="22">
        <f ca="1">+GETPIVOTDATA("XBC4",'bauchinh (2016)'!$A$3,"MA_HT","TON","MA_QH","TSC")</f>
        <v>0</v>
      </c>
      <c r="AT49" s="22">
        <f ca="1">+GETPIVOTDATA("XBC4",'bauchinh (2016)'!$A$3,"MA_HT","TON","MA_QH","DTS")</f>
        <v>0</v>
      </c>
      <c r="AU49" s="22">
        <f ca="1">+GETPIVOTDATA("XBC4",'bauchinh (2016)'!$A$3,"MA_HT","TON","MA_QH","DNG")</f>
        <v>0</v>
      </c>
      <c r="AV49" s="43" t="e">
        <f ca="1">$D49-$BF49</f>
        <v>#REF!</v>
      </c>
      <c r="AW49" s="22">
        <f ca="1">+GETPIVOTDATA("XBC4",'bauchinh (2016)'!$A$3,"MA_HT","TON","MA_QH","NTD")</f>
        <v>0</v>
      </c>
      <c r="AX49" s="22">
        <f ca="1">+GETPIVOTDATA("XBC4",'bauchinh (2016)'!$A$3,"MA_HT","TON","MA_QH","SKX")</f>
        <v>0</v>
      </c>
      <c r="AY49" s="22">
        <f ca="1">+GETPIVOTDATA("XBC4",'bauchinh (2016)'!$A$3,"MA_HT","TON","MA_QH","DSH")</f>
        <v>0</v>
      </c>
      <c r="AZ49" s="22">
        <f ca="1">+GETPIVOTDATA("XBC4",'bauchinh (2016)'!$A$3,"MA_HT","TON","MA_QH","DKV")</f>
        <v>0</v>
      </c>
      <c r="BA49" s="89">
        <f ca="1">+GETPIVOTDATA("XBC4",'bauchinh (2016)'!$A$3,"MA_HT","TON","MA_QH","TIN")</f>
        <v>0</v>
      </c>
      <c r="BB49" s="50">
        <f ca="1">+GETPIVOTDATA("XBC4",'bauchinh (2016)'!$A$3,"MA_HT","TON","MA_QH","SON")</f>
        <v>0</v>
      </c>
      <c r="BC49" s="50">
        <f ca="1">+GETPIVOTDATA("XBC4",'bauchinh (2016)'!$A$3,"MA_HT","TON","MA_QH","MNC")</f>
        <v>0</v>
      </c>
      <c r="BD49" s="22">
        <f ca="1">+GETPIVOTDATA("XBC4",'bauchinh (2016)'!$A$3,"MA_HT","TON","MA_QH","PNK")</f>
        <v>0</v>
      </c>
      <c r="BE49" s="71">
        <f ca="1">+GETPIVOTDATA("XBC4",'bauchinh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+GETPIVOTDATA("XBC4",'bauchinh (2016)'!$A$3,"MA_HT","NTD","MA_QH","LUC")</f>
        <v>0</v>
      </c>
      <c r="H50" s="22">
        <f ca="1">+GETPIVOTDATA("XBC4",'bauchinh (2016)'!$A$3,"MA_HT","NTD","MA_QH","LUK")</f>
        <v>0</v>
      </c>
      <c r="I50" s="22">
        <f ca="1">+GETPIVOTDATA("XBC4",'bauchinh (2016)'!$A$3,"MA_HT","NTD","MA_QH","LUN")</f>
        <v>0</v>
      </c>
      <c r="J50" s="22">
        <f ca="1">+GETPIVOTDATA("XBC4",'bauchinh (2016)'!$A$3,"MA_HT","NTD","MA_QH","HNK")</f>
        <v>0</v>
      </c>
      <c r="K50" s="22">
        <f ca="1">+GETPIVOTDATA("XBC4",'bauchinh (2016)'!$A$3,"MA_HT","NTD","MA_QH","CLN")</f>
        <v>0</v>
      </c>
      <c r="L50" s="22">
        <f ca="1">+GETPIVOTDATA("XBC4",'bauchinh (2016)'!$A$3,"MA_HT","NTD","MA_QH","RSX")</f>
        <v>0</v>
      </c>
      <c r="M50" s="22">
        <f ca="1">+GETPIVOTDATA("XBC4",'bauchinh (2016)'!$A$3,"MA_HT","NTD","MA_QH","RPH")</f>
        <v>0</v>
      </c>
      <c r="N50" s="22">
        <f ca="1">+GETPIVOTDATA("XBC4",'bauchinh (2016)'!$A$3,"MA_HT","NTD","MA_QH","RDD")</f>
        <v>0</v>
      </c>
      <c r="O50" s="22">
        <f ca="1">+GETPIVOTDATA("XBC4",'bauchinh (2016)'!$A$3,"MA_HT","NTD","MA_QH","NTS")</f>
        <v>0</v>
      </c>
      <c r="P50" s="22">
        <f ca="1">+GETPIVOTDATA("XBC4",'bauchinh (2016)'!$A$3,"MA_HT","NTD","MA_QH","LMU")</f>
        <v>0</v>
      </c>
      <c r="Q50" s="22">
        <f ca="1">+GETPIVOTDATA("XBC4",'bauchinh (2016)'!$A$3,"MA_HT","NTD","MA_QH","NKH")</f>
        <v>0</v>
      </c>
      <c r="R50" s="79">
        <f ca="1">SUM(S50:AA50,AN50:AV50,AX50:BD50)</f>
        <v>0</v>
      </c>
      <c r="S50" s="22">
        <f ca="1">+GETPIVOTDATA("XBC4",'bauchinh (2016)'!$A$3,"MA_HT","NTD","MA_QH","CQP")</f>
        <v>0</v>
      </c>
      <c r="T50" s="22">
        <f ca="1">+GETPIVOTDATA("XBC4",'bauchinh (2016)'!$A$3,"MA_HT","NTD","MA_QH","CAN")</f>
        <v>0</v>
      </c>
      <c r="U50" s="22">
        <f ca="1">+GETPIVOTDATA("XBC4",'bauchinh (2016)'!$A$3,"MA_HT","NTD","MA_QH","SKK")</f>
        <v>0</v>
      </c>
      <c r="V50" s="22">
        <f ca="1">+GETPIVOTDATA("XBC4",'bauchinh (2016)'!$A$3,"MA_HT","NTD","MA_QH","SKT")</f>
        <v>0</v>
      </c>
      <c r="W50" s="22">
        <f ca="1">+GETPIVOTDATA("XBC4",'bauchinh (2016)'!$A$3,"MA_HT","NTD","MA_QH","SKN")</f>
        <v>0</v>
      </c>
      <c r="X50" s="22">
        <f ca="1">+GETPIVOTDATA("XBC4",'bauchinh (2016)'!$A$3,"MA_HT","NTD","MA_QH","TMD")</f>
        <v>0</v>
      </c>
      <c r="Y50" s="22">
        <f ca="1">+GETPIVOTDATA("XBC4",'bauchinh (2016)'!$A$3,"MA_HT","NTD","MA_QH","SKC")</f>
        <v>0</v>
      </c>
      <c r="Z50" s="22">
        <f ca="1">+GETPIVOTDATA("XBC4",'bauchinh (2016)'!$A$3,"MA_HT","NTD","MA_QH","SKS")</f>
        <v>0</v>
      </c>
      <c r="AA50" s="52">
        <f ca="1" t="shared" si="21"/>
        <v>0</v>
      </c>
      <c r="AB50" s="22">
        <f ca="1">+GETPIVOTDATA("XBC4",'bauchinh (2016)'!$A$3,"MA_HT","NTD","MA_QH","DGT")</f>
        <v>0</v>
      </c>
      <c r="AC50" s="22">
        <f ca="1">+GETPIVOTDATA("XBC4",'bauchinh (2016)'!$A$3,"MA_HT","NTD","MA_QH","DTL")</f>
        <v>0</v>
      </c>
      <c r="AD50" s="22">
        <f ca="1">+GETPIVOTDATA("XBC4",'bauchinh (2016)'!$A$3,"MA_HT","NTD","MA_QH","DNL")</f>
        <v>0</v>
      </c>
      <c r="AE50" s="22">
        <f ca="1">+GETPIVOTDATA("XBC4",'bauchinh (2016)'!$A$3,"MA_HT","NTD","MA_QH","DBV")</f>
        <v>0</v>
      </c>
      <c r="AF50" s="22">
        <f ca="1">+GETPIVOTDATA("XBC4",'bauchinh (2016)'!$A$3,"MA_HT","NTD","MA_QH","DVH")</f>
        <v>0</v>
      </c>
      <c r="AG50" s="22">
        <f ca="1">+GETPIVOTDATA("XBC4",'bauchinh (2016)'!$A$3,"MA_HT","NTD","MA_QH","DYT")</f>
        <v>0</v>
      </c>
      <c r="AH50" s="22">
        <f ca="1">+GETPIVOTDATA("XBC4",'bauchinh (2016)'!$A$3,"MA_HT","NTD","MA_QH","DGD")</f>
        <v>0</v>
      </c>
      <c r="AI50" s="22">
        <f ca="1">+GETPIVOTDATA("XBC4",'bauchinh (2016)'!$A$3,"MA_HT","NTD","MA_QH","DTT")</f>
        <v>0</v>
      </c>
      <c r="AJ50" s="22">
        <f ca="1">+GETPIVOTDATA("XBC4",'bauchinh (2016)'!$A$3,"MA_HT","NTD","MA_QH","NCK")</f>
        <v>0</v>
      </c>
      <c r="AK50" s="22">
        <f ca="1">+GETPIVOTDATA("XBC4",'bauchinh (2016)'!$A$3,"MA_HT","NTD","MA_QH","DXH")</f>
        <v>0</v>
      </c>
      <c r="AL50" s="22">
        <f ca="1">+GETPIVOTDATA("XBC4",'bauchinh (2016)'!$A$3,"MA_HT","NTD","MA_QH","DCH")</f>
        <v>0</v>
      </c>
      <c r="AM50" s="22">
        <f ca="1">+GETPIVOTDATA("XBC4",'bauchinh (2016)'!$A$3,"MA_HT","NTD","MA_QH","DKG")</f>
        <v>0</v>
      </c>
      <c r="AN50" s="22">
        <f ca="1">+GETPIVOTDATA("XBC4",'bauchinh (2016)'!$A$3,"MA_HT","NTD","MA_QH","DDT")</f>
        <v>0</v>
      </c>
      <c r="AO50" s="22">
        <f ca="1">+GETPIVOTDATA("XBC4",'bauchinh (2016)'!$A$3,"MA_HT","NTD","MA_QH","DDL")</f>
        <v>0</v>
      </c>
      <c r="AP50" s="22">
        <f ca="1">+GETPIVOTDATA("XBC4",'bauchinh (2016)'!$A$3,"MA_HT","NTD","MA_QH","DRA")</f>
        <v>0</v>
      </c>
      <c r="AQ50" s="22">
        <f ca="1">+GETPIVOTDATA("XBC4",'bauchinh (2016)'!$A$3,"MA_HT","NTD","MA_QH","ONT")</f>
        <v>0</v>
      </c>
      <c r="AR50" s="22">
        <f ca="1">+GETPIVOTDATA("XBC4",'bauchinh (2016)'!$A$3,"MA_HT","NTD","MA_QH","ODT")</f>
        <v>0</v>
      </c>
      <c r="AS50" s="22">
        <f ca="1">+GETPIVOTDATA("XBC4",'bauchinh (2016)'!$A$3,"MA_HT","NTD","MA_QH","TSC")</f>
        <v>0</v>
      </c>
      <c r="AT50" s="22">
        <f ca="1">+GETPIVOTDATA("XBC4",'bauchinh (2016)'!$A$3,"MA_HT","NTD","MA_QH","DTS")</f>
        <v>0</v>
      </c>
      <c r="AU50" s="22">
        <f ca="1">+GETPIVOTDATA("XBC4",'bauchinh (2016)'!$A$3,"MA_HT","NTD","MA_QH","DNG")</f>
        <v>0</v>
      </c>
      <c r="AV50" s="22">
        <f ca="1">+GETPIVOTDATA("XBC4",'bauchinh (2016)'!$A$3,"MA_HT","NTD","MA_QH","TON")</f>
        <v>0</v>
      </c>
      <c r="AW50" s="43" t="e">
        <f ca="1">$D50-$BF50</f>
        <v>#REF!</v>
      </c>
      <c r="AX50" s="22">
        <f ca="1">+GETPIVOTDATA("XBC4",'bauchinh (2016)'!$A$3,"MA_HT","NTD","MA_QH","SKX")</f>
        <v>0</v>
      </c>
      <c r="AY50" s="22">
        <f ca="1">+GETPIVOTDATA("XBC4",'bauchinh (2016)'!$A$3,"MA_HT","NTD","MA_QH","DSH")</f>
        <v>0</v>
      </c>
      <c r="AZ50" s="22">
        <f ca="1">+GETPIVOTDATA("XBC4",'bauchinh (2016)'!$A$3,"MA_HT","NTD","MA_QH","DKV")</f>
        <v>0</v>
      </c>
      <c r="BA50" s="89">
        <f ca="1">+GETPIVOTDATA("XBC4",'bauchinh (2016)'!$A$3,"MA_HT","NTD","MA_QH","TIN")</f>
        <v>0</v>
      </c>
      <c r="BB50" s="50">
        <f ca="1">+GETPIVOTDATA("XBC4",'bauchinh (2016)'!$A$3,"MA_HT","NTD","MA_QH","SON")</f>
        <v>0</v>
      </c>
      <c r="BC50" s="50">
        <f ca="1">+GETPIVOTDATA("XBC4",'bauchinh (2016)'!$A$3,"MA_HT","NTD","MA_QH","MNC")</f>
        <v>0</v>
      </c>
      <c r="BD50" s="22">
        <f ca="1">+GETPIVOTDATA("XBC4",'bauchinh (2016)'!$A$3,"MA_HT","NTD","MA_QH","PNK")</f>
        <v>0</v>
      </c>
      <c r="BE50" s="71">
        <f ca="1">+GETPIVOTDATA("XBC4",'bauchinh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+GETPIVOTDATA("XBC4",'bauchinh (2016)'!$A$3,"MA_HT","SKX","MA_QH","LUC")</f>
        <v>0</v>
      </c>
      <c r="H51" s="22">
        <f ca="1">+GETPIVOTDATA("XBC4",'bauchinh (2016)'!$A$3,"MA_HT","SKX","MA_QH","LUK")</f>
        <v>0</v>
      </c>
      <c r="I51" s="22">
        <f ca="1">+GETPIVOTDATA("XBC4",'bauchinh (2016)'!$A$3,"MA_HT","SKX","MA_QH","LUN")</f>
        <v>0</v>
      </c>
      <c r="J51" s="22">
        <f ca="1">+GETPIVOTDATA("XBC4",'bauchinh (2016)'!$A$3,"MA_HT","SKX","MA_QH","HNK")</f>
        <v>0</v>
      </c>
      <c r="K51" s="22">
        <f ca="1">+GETPIVOTDATA("XBC4",'bauchinh (2016)'!$A$3,"MA_HT","SKX","MA_QH","CLN")</f>
        <v>0</v>
      </c>
      <c r="L51" s="22">
        <f ca="1">+GETPIVOTDATA("XBC4",'bauchinh (2016)'!$A$3,"MA_HT","SKX","MA_QH","RSX")</f>
        <v>0</v>
      </c>
      <c r="M51" s="22">
        <f ca="1">+GETPIVOTDATA("XBC4",'bauchinh (2016)'!$A$3,"MA_HT","SKX","MA_QH","RPH")</f>
        <v>0</v>
      </c>
      <c r="N51" s="22">
        <f ca="1">+GETPIVOTDATA("XBC4",'bauchinh (2016)'!$A$3,"MA_HT","SKX","MA_QH","RDD")</f>
        <v>0</v>
      </c>
      <c r="O51" s="22">
        <f ca="1">+GETPIVOTDATA("XBC4",'bauchinh (2016)'!$A$3,"MA_HT","SKX","MA_QH","NTS")</f>
        <v>0</v>
      </c>
      <c r="P51" s="22">
        <f ca="1">+GETPIVOTDATA("XBC4",'bauchinh (2016)'!$A$3,"MA_HT","SKX","MA_QH","LMU")</f>
        <v>0</v>
      </c>
      <c r="Q51" s="22">
        <f ca="1">+GETPIVOTDATA("XBC4",'bauchinh (2016)'!$A$3,"MA_HT","SKX","MA_QH","NKH")</f>
        <v>0</v>
      </c>
      <c r="R51" s="79">
        <f ca="1">SUM(S51:AA51,AN51:AW51,AY51:BD51)</f>
        <v>0</v>
      </c>
      <c r="S51" s="22">
        <f ca="1">+GETPIVOTDATA("XBC4",'bauchinh (2016)'!$A$3,"MA_HT","SKX","MA_QH","CQP")</f>
        <v>0</v>
      </c>
      <c r="T51" s="22">
        <f ca="1">+GETPIVOTDATA("XBC4",'bauchinh (2016)'!$A$3,"MA_HT","SKX","MA_QH","CAN")</f>
        <v>0</v>
      </c>
      <c r="U51" s="22">
        <f ca="1">+GETPIVOTDATA("XBC4",'bauchinh (2016)'!$A$3,"MA_HT","SKX","MA_QH","SKK")</f>
        <v>0</v>
      </c>
      <c r="V51" s="22">
        <f ca="1">+GETPIVOTDATA("XBC4",'bauchinh (2016)'!$A$3,"MA_HT","SKX","MA_QH","SKT")</f>
        <v>0</v>
      </c>
      <c r="W51" s="22">
        <f ca="1">+GETPIVOTDATA("XBC4",'bauchinh (2016)'!$A$3,"MA_HT","SKX","MA_QH","SKN")</f>
        <v>0</v>
      </c>
      <c r="X51" s="22">
        <f ca="1">+GETPIVOTDATA("XBC4",'bauchinh (2016)'!$A$3,"MA_HT","SKX","MA_QH","TMD")</f>
        <v>0</v>
      </c>
      <c r="Y51" s="22">
        <f ca="1">+GETPIVOTDATA("XBC4",'bauchinh (2016)'!$A$3,"MA_HT","SKX","MA_QH","SKC")</f>
        <v>0</v>
      </c>
      <c r="Z51" s="22">
        <f ca="1">+GETPIVOTDATA("XBC4",'bauchinh (2016)'!$A$3,"MA_HT","SKX","MA_QH","SKS")</f>
        <v>0</v>
      </c>
      <c r="AA51" s="52">
        <f ca="1" t="shared" si="21"/>
        <v>0</v>
      </c>
      <c r="AB51" s="22">
        <f ca="1">+GETPIVOTDATA("XBC4",'bauchinh (2016)'!$A$3,"MA_HT","SKX","MA_QH","DGT")</f>
        <v>0</v>
      </c>
      <c r="AC51" s="22">
        <f ca="1">+GETPIVOTDATA("XBC4",'bauchinh (2016)'!$A$3,"MA_HT","SKX","MA_QH","DTL")</f>
        <v>0</v>
      </c>
      <c r="AD51" s="22">
        <f ca="1">+GETPIVOTDATA("XBC4",'bauchinh (2016)'!$A$3,"MA_HT","SKX","MA_QH","DNL")</f>
        <v>0</v>
      </c>
      <c r="AE51" s="22">
        <f ca="1">+GETPIVOTDATA("XBC4",'bauchinh (2016)'!$A$3,"MA_HT","SKX","MA_QH","DBV")</f>
        <v>0</v>
      </c>
      <c r="AF51" s="22">
        <f ca="1">+GETPIVOTDATA("XBC4",'bauchinh (2016)'!$A$3,"MA_HT","SKX","MA_QH","DVH")</f>
        <v>0</v>
      </c>
      <c r="AG51" s="22">
        <f ca="1">+GETPIVOTDATA("XBC4",'bauchinh (2016)'!$A$3,"MA_HT","SKX","MA_QH","DYT")</f>
        <v>0</v>
      </c>
      <c r="AH51" s="22">
        <f ca="1">+GETPIVOTDATA("XBC4",'bauchinh (2016)'!$A$3,"MA_HT","SKX","MA_QH","DGD")</f>
        <v>0</v>
      </c>
      <c r="AI51" s="22">
        <f ca="1">+GETPIVOTDATA("XBC4",'bauchinh (2016)'!$A$3,"MA_HT","SKX","MA_QH","DTT")</f>
        <v>0</v>
      </c>
      <c r="AJ51" s="22">
        <f ca="1">+GETPIVOTDATA("XBC4",'bauchinh (2016)'!$A$3,"MA_HT","SKX","MA_QH","NCK")</f>
        <v>0</v>
      </c>
      <c r="AK51" s="22">
        <f ca="1">+GETPIVOTDATA("XBC4",'bauchinh (2016)'!$A$3,"MA_HT","SKX","MA_QH","DXH")</f>
        <v>0</v>
      </c>
      <c r="AL51" s="22">
        <f ca="1">+GETPIVOTDATA("XBC4",'bauchinh (2016)'!$A$3,"MA_HT","SKX","MA_QH","DCH")</f>
        <v>0</v>
      </c>
      <c r="AM51" s="22">
        <f ca="1">+GETPIVOTDATA("XBC4",'bauchinh (2016)'!$A$3,"MA_HT","SKX","MA_QH","DKG")</f>
        <v>0</v>
      </c>
      <c r="AN51" s="22">
        <f ca="1">+GETPIVOTDATA("XBC4",'bauchinh (2016)'!$A$3,"MA_HT","SKX","MA_QH","DDT")</f>
        <v>0</v>
      </c>
      <c r="AO51" s="22">
        <f ca="1">+GETPIVOTDATA("XBC4",'bauchinh (2016)'!$A$3,"MA_HT","SKX","MA_QH","DDL")</f>
        <v>0</v>
      </c>
      <c r="AP51" s="22">
        <f ca="1">+GETPIVOTDATA("XBC4",'bauchinh (2016)'!$A$3,"MA_HT","SKX","MA_QH","DRA")</f>
        <v>0</v>
      </c>
      <c r="AQ51" s="22">
        <f ca="1">+GETPIVOTDATA("XBC4",'bauchinh (2016)'!$A$3,"MA_HT","SKX","MA_QH","ONT")</f>
        <v>0</v>
      </c>
      <c r="AR51" s="22">
        <f ca="1">+GETPIVOTDATA("XBC4",'bauchinh (2016)'!$A$3,"MA_HT","SKX","MA_QH","ODT")</f>
        <v>0</v>
      </c>
      <c r="AS51" s="22">
        <f ca="1">+GETPIVOTDATA("XBC4",'bauchinh (2016)'!$A$3,"MA_HT","SKX","MA_QH","TSC")</f>
        <v>0</v>
      </c>
      <c r="AT51" s="22">
        <f ca="1">+GETPIVOTDATA("XBC4",'bauchinh (2016)'!$A$3,"MA_HT","SKX","MA_QH","DTS")</f>
        <v>0</v>
      </c>
      <c r="AU51" s="22">
        <f ca="1">+GETPIVOTDATA("XBC4",'bauchinh (2016)'!$A$3,"MA_HT","SKX","MA_QH","DNG")</f>
        <v>0</v>
      </c>
      <c r="AV51" s="22">
        <f ca="1">+GETPIVOTDATA("XBC4",'bauchinh (2016)'!$A$3,"MA_HT","SKX","MA_QH","TON")</f>
        <v>0</v>
      </c>
      <c r="AW51" s="22">
        <f ca="1">+GETPIVOTDATA("XBC4",'bauchinh (2016)'!$A$3,"MA_HT","SKX","MA_QH","NTD")</f>
        <v>0</v>
      </c>
      <c r="AX51" s="43" t="e">
        <f ca="1">$D51-$BF51</f>
        <v>#REF!</v>
      </c>
      <c r="AY51" s="22">
        <f ca="1">+GETPIVOTDATA("XBC4",'bauchinh (2016)'!$A$3,"MA_HT","SKX","MA_QH","DSH")</f>
        <v>0</v>
      </c>
      <c r="AZ51" s="22">
        <f ca="1">+GETPIVOTDATA("XBC4",'bauchinh (2016)'!$A$3,"MA_HT","SKX","MA_QH","DKV")</f>
        <v>0</v>
      </c>
      <c r="BA51" s="89">
        <f ca="1">+GETPIVOTDATA("XBC4",'bauchinh (2016)'!$A$3,"MA_HT","SKX","MA_QH","TIN")</f>
        <v>0</v>
      </c>
      <c r="BB51" s="50">
        <f ca="1">+GETPIVOTDATA("XBC4",'bauchinh (2016)'!$A$3,"MA_HT","SKX","MA_QH","SON")</f>
        <v>0</v>
      </c>
      <c r="BC51" s="50">
        <f ca="1">+GETPIVOTDATA("XBC4",'bauchinh (2016)'!$A$3,"MA_HT","SKX","MA_QH","MNC")</f>
        <v>0</v>
      </c>
      <c r="BD51" s="22">
        <f ca="1">+GETPIVOTDATA("XBC4",'bauchinh (2016)'!$A$3,"MA_HT","SKX","MA_QH","PNK")</f>
        <v>0</v>
      </c>
      <c r="BE51" s="71">
        <f ca="1">+GETPIVOTDATA("XBC4",'bauchinh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+GETPIVOTDATA("XBC4",'bauchinh (2016)'!$A$3,"MA_HT","DSH","MA_QH","LUC")</f>
        <v>0</v>
      </c>
      <c r="H52" s="22">
        <f ca="1">+GETPIVOTDATA("XBC4",'bauchinh (2016)'!$A$3,"MA_HT","DSH","MA_QH","LUK")</f>
        <v>0</v>
      </c>
      <c r="I52" s="22">
        <f ca="1">+GETPIVOTDATA("XBC4",'bauchinh (2016)'!$A$3,"MA_HT","DSH","MA_QH","LUN")</f>
        <v>0</v>
      </c>
      <c r="J52" s="22">
        <f ca="1">+GETPIVOTDATA("XBC4",'bauchinh (2016)'!$A$3,"MA_HT","DSH","MA_QH","HNK")</f>
        <v>0</v>
      </c>
      <c r="K52" s="22">
        <f ca="1">+GETPIVOTDATA("XBC4",'bauchinh (2016)'!$A$3,"MA_HT","DSH","MA_QH","CLN")</f>
        <v>0</v>
      </c>
      <c r="L52" s="22">
        <f ca="1">+GETPIVOTDATA("XBC4",'bauchinh (2016)'!$A$3,"MA_HT","DSH","MA_QH","RSX")</f>
        <v>0</v>
      </c>
      <c r="M52" s="22">
        <f ca="1">+GETPIVOTDATA("XBC4",'bauchinh (2016)'!$A$3,"MA_HT","DSH","MA_QH","RPH")</f>
        <v>0</v>
      </c>
      <c r="N52" s="22">
        <f ca="1">+GETPIVOTDATA("XBC4",'bauchinh (2016)'!$A$3,"MA_HT","DSH","MA_QH","RDD")</f>
        <v>0</v>
      </c>
      <c r="O52" s="22">
        <f ca="1">+GETPIVOTDATA("XBC4",'bauchinh (2016)'!$A$3,"MA_HT","DSH","MA_QH","NTS")</f>
        <v>0</v>
      </c>
      <c r="P52" s="22">
        <f ca="1">+GETPIVOTDATA("XBC4",'bauchinh (2016)'!$A$3,"MA_HT","DSH","MA_QH","LMU")</f>
        <v>0</v>
      </c>
      <c r="Q52" s="22">
        <f ca="1">+GETPIVOTDATA("XBC4",'bauchinh (2016)'!$A$3,"MA_HT","DSH","MA_QH","NKH")</f>
        <v>0</v>
      </c>
      <c r="R52" s="79">
        <f ca="1">SUM(S52:AA52,AN52:AX52,AZ52:BD52)</f>
        <v>0</v>
      </c>
      <c r="S52" s="22">
        <f ca="1">+GETPIVOTDATA("XBC4",'bauchinh (2016)'!$A$3,"MA_HT","DSH","MA_QH","CQP")</f>
        <v>0</v>
      </c>
      <c r="T52" s="22">
        <f ca="1">+GETPIVOTDATA("XBC4",'bauchinh (2016)'!$A$3,"MA_HT","DSH","MA_QH","CAN")</f>
        <v>0</v>
      </c>
      <c r="U52" s="22">
        <f ca="1">+GETPIVOTDATA("XBC4",'bauchinh (2016)'!$A$3,"MA_HT","DSH","MA_QH","SKK")</f>
        <v>0</v>
      </c>
      <c r="V52" s="22">
        <f ca="1">+GETPIVOTDATA("XBC4",'bauchinh (2016)'!$A$3,"MA_HT","DSH","MA_QH","SKT")</f>
        <v>0</v>
      </c>
      <c r="W52" s="22">
        <f ca="1">+GETPIVOTDATA("XBC4",'bauchinh (2016)'!$A$3,"MA_HT","DSH","MA_QH","SKN")</f>
        <v>0</v>
      </c>
      <c r="X52" s="22">
        <f ca="1">+GETPIVOTDATA("XBC4",'bauchinh (2016)'!$A$3,"MA_HT","DSH","MA_QH","TMD")</f>
        <v>0</v>
      </c>
      <c r="Y52" s="22">
        <f ca="1">+GETPIVOTDATA("XBC4",'bauchinh (2016)'!$A$3,"MA_HT","DSH","MA_QH","SKC")</f>
        <v>0</v>
      </c>
      <c r="Z52" s="22">
        <f ca="1">+GETPIVOTDATA("XBC4",'bauchinh (2016)'!$A$3,"MA_HT","DSH","MA_QH","SKS")</f>
        <v>0</v>
      </c>
      <c r="AA52" s="52">
        <f ca="1" t="shared" si="21"/>
        <v>0</v>
      </c>
      <c r="AB52" s="22">
        <f ca="1">+GETPIVOTDATA("XBC4",'bauchinh (2016)'!$A$3,"MA_HT","DSH","MA_QH","DGT")</f>
        <v>0</v>
      </c>
      <c r="AC52" s="22">
        <f ca="1">+GETPIVOTDATA("XBC4",'bauchinh (2016)'!$A$3,"MA_HT","DSH","MA_QH","DTL")</f>
        <v>0</v>
      </c>
      <c r="AD52" s="22">
        <f ca="1">+GETPIVOTDATA("XBC4",'bauchinh (2016)'!$A$3,"MA_HT","DSH","MA_QH","DNL")</f>
        <v>0</v>
      </c>
      <c r="AE52" s="22">
        <f ca="1">+GETPIVOTDATA("XBC4",'bauchinh (2016)'!$A$3,"MA_HT","DSH","MA_QH","DBV")</f>
        <v>0</v>
      </c>
      <c r="AF52" s="22">
        <f ca="1">+GETPIVOTDATA("XBC4",'bauchinh (2016)'!$A$3,"MA_HT","DSH","MA_QH","DVH")</f>
        <v>0</v>
      </c>
      <c r="AG52" s="22">
        <f ca="1">+GETPIVOTDATA("XBC4",'bauchinh (2016)'!$A$3,"MA_HT","DSH","MA_QH","DYT")</f>
        <v>0</v>
      </c>
      <c r="AH52" s="22">
        <f ca="1">+GETPIVOTDATA("XBC4",'bauchinh (2016)'!$A$3,"MA_HT","DSH","MA_QH","DGD")</f>
        <v>0</v>
      </c>
      <c r="AI52" s="22">
        <f ca="1">+GETPIVOTDATA("XBC4",'bauchinh (2016)'!$A$3,"MA_HT","DSH","MA_QH","DTT")</f>
        <v>0</v>
      </c>
      <c r="AJ52" s="22">
        <f ca="1">+GETPIVOTDATA("XBC4",'bauchinh (2016)'!$A$3,"MA_HT","DSH","MA_QH","NCK")</f>
        <v>0</v>
      </c>
      <c r="AK52" s="22">
        <f ca="1">+GETPIVOTDATA("XBC4",'bauchinh (2016)'!$A$3,"MA_HT","DSH","MA_QH","DXH")</f>
        <v>0</v>
      </c>
      <c r="AL52" s="22">
        <f ca="1">+GETPIVOTDATA("XBC4",'bauchinh (2016)'!$A$3,"MA_HT","DSH","MA_QH","DCH")</f>
        <v>0</v>
      </c>
      <c r="AM52" s="22">
        <f ca="1">+GETPIVOTDATA("XBC4",'bauchinh (2016)'!$A$3,"MA_HT","DSH","MA_QH","DKG")</f>
        <v>0</v>
      </c>
      <c r="AN52" s="22">
        <f ca="1">+GETPIVOTDATA("XBC4",'bauchinh (2016)'!$A$3,"MA_HT","DSH","MA_QH","DDT")</f>
        <v>0</v>
      </c>
      <c r="AO52" s="22">
        <f ca="1">+GETPIVOTDATA("XBC4",'bauchinh (2016)'!$A$3,"MA_HT","DSH","MA_QH","DDL")</f>
        <v>0</v>
      </c>
      <c r="AP52" s="22">
        <f ca="1">+GETPIVOTDATA("XBC4",'bauchinh (2016)'!$A$3,"MA_HT","DSH","MA_QH","DRA")</f>
        <v>0</v>
      </c>
      <c r="AQ52" s="22">
        <f ca="1">+GETPIVOTDATA("XBC4",'bauchinh (2016)'!$A$3,"MA_HT","DSH","MA_QH","ONT")</f>
        <v>0</v>
      </c>
      <c r="AR52" s="22">
        <f ca="1">+GETPIVOTDATA("XBC4",'bauchinh (2016)'!$A$3,"MA_HT","DSH","MA_QH","ODT")</f>
        <v>0</v>
      </c>
      <c r="AS52" s="22">
        <f ca="1">+GETPIVOTDATA("XBC4",'bauchinh (2016)'!$A$3,"MA_HT","DSH","MA_QH","TSC")</f>
        <v>0</v>
      </c>
      <c r="AT52" s="22">
        <f ca="1">+GETPIVOTDATA("XBC4",'bauchinh (2016)'!$A$3,"MA_HT","DSH","MA_QH","DTS")</f>
        <v>0</v>
      </c>
      <c r="AU52" s="22">
        <f ca="1">+GETPIVOTDATA("XBC4",'bauchinh (2016)'!$A$3,"MA_HT","DSH","MA_QH","DNG")</f>
        <v>0</v>
      </c>
      <c r="AV52" s="22">
        <f ca="1">+GETPIVOTDATA("XBC4",'bauchinh (2016)'!$A$3,"MA_HT","DSH","MA_QH","TON")</f>
        <v>0</v>
      </c>
      <c r="AW52" s="22">
        <f ca="1">+GETPIVOTDATA("XBC4",'bauchinh (2016)'!$A$3,"MA_HT","DSH","MA_QH","NTD")</f>
        <v>0</v>
      </c>
      <c r="AX52" s="22">
        <f ca="1">+GETPIVOTDATA("XBC4",'bauchinh (2016)'!$A$3,"MA_HT","DSH","MA_QH","SKX")</f>
        <v>0</v>
      </c>
      <c r="AY52" s="43" t="e">
        <f ca="1">$D52-$BF52</f>
        <v>#REF!</v>
      </c>
      <c r="AZ52" s="22">
        <f ca="1">+GETPIVOTDATA("XBC4",'bauchinh (2016)'!$A$3,"MA_HT","DSH","MA_QH","DKV")</f>
        <v>0</v>
      </c>
      <c r="BA52" s="89">
        <f ca="1">+GETPIVOTDATA("XBC4",'bauchinh (2016)'!$A$3,"MA_HT","DSH","MA_QH","TIN")</f>
        <v>0</v>
      </c>
      <c r="BB52" s="50">
        <f ca="1">+GETPIVOTDATA("XBC4",'bauchinh (2016)'!$A$3,"MA_HT","DSH","MA_QH","SON")</f>
        <v>0</v>
      </c>
      <c r="BC52" s="50">
        <f ca="1">+GETPIVOTDATA("XBC4",'bauchinh (2016)'!$A$3,"MA_HT","DSH","MA_QH","MNC")</f>
        <v>0</v>
      </c>
      <c r="BD52" s="22">
        <f ca="1">+GETPIVOTDATA("XBC4",'bauchinh (2016)'!$A$3,"MA_HT","DSH","MA_QH","PNK")</f>
        <v>0</v>
      </c>
      <c r="BE52" s="71">
        <f ca="1">+GETPIVOTDATA("XBC4",'bauchinh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+GETPIVOTDATA("XBC4",'bauchinh (2016)'!$A$3,"MA_HT","DKV","MA_QH","LUC")</f>
        <v>0</v>
      </c>
      <c r="H53" s="22">
        <f ca="1">+GETPIVOTDATA("XBC4",'bauchinh (2016)'!$A$3,"MA_HT","DKV","MA_QH","LUK")</f>
        <v>0</v>
      </c>
      <c r="I53" s="22">
        <f ca="1">+GETPIVOTDATA("XBC4",'bauchinh (2016)'!$A$3,"MA_HT","DKV","MA_QH","LUN")</f>
        <v>0</v>
      </c>
      <c r="J53" s="22">
        <f ca="1">+GETPIVOTDATA("XBC4",'bauchinh (2016)'!$A$3,"MA_HT","DKV","MA_QH","HNK")</f>
        <v>0</v>
      </c>
      <c r="K53" s="22">
        <f ca="1">+GETPIVOTDATA("XBC4",'bauchinh (2016)'!$A$3,"MA_HT","DKV","MA_QH","CLN")</f>
        <v>0</v>
      </c>
      <c r="L53" s="22">
        <f ca="1">+GETPIVOTDATA("XBC4",'bauchinh (2016)'!$A$3,"MA_HT","DKV","MA_QH","RSX")</f>
        <v>0</v>
      </c>
      <c r="M53" s="22">
        <f ca="1">+GETPIVOTDATA("XBC4",'bauchinh (2016)'!$A$3,"MA_HT","DKV","MA_QH","RPH")</f>
        <v>0</v>
      </c>
      <c r="N53" s="22">
        <f ca="1">+GETPIVOTDATA("XBC4",'bauchinh (2016)'!$A$3,"MA_HT","DKV","MA_QH","RDD")</f>
        <v>0</v>
      </c>
      <c r="O53" s="22">
        <f ca="1">+GETPIVOTDATA("XBC4",'bauchinh (2016)'!$A$3,"MA_HT","DKV","MA_QH","NTS")</f>
        <v>0</v>
      </c>
      <c r="P53" s="22">
        <f ca="1">+GETPIVOTDATA("XBC4",'bauchinh (2016)'!$A$3,"MA_HT","DKV","MA_QH","LMU")</f>
        <v>0</v>
      </c>
      <c r="Q53" s="22">
        <f ca="1">+GETPIVOTDATA("XBC4",'bauchinh (2016)'!$A$3,"MA_HT","DKV","MA_QH","NKH")</f>
        <v>0</v>
      </c>
      <c r="R53" s="79">
        <f ca="1">SUM(S53:AA53,AN53:AY53,BB53:BD53)</f>
        <v>0</v>
      </c>
      <c r="S53" s="22">
        <f ca="1">+GETPIVOTDATA("XBC4",'bauchinh (2016)'!$A$3,"MA_HT","DKV","MA_QH","CQP")</f>
        <v>0</v>
      </c>
      <c r="T53" s="22">
        <f ca="1">+GETPIVOTDATA("XBC4",'bauchinh (2016)'!$A$3,"MA_HT","DKV","MA_QH","CAN")</f>
        <v>0</v>
      </c>
      <c r="U53" s="22">
        <f ca="1">+GETPIVOTDATA("XBC4",'bauchinh (2016)'!$A$3,"MA_HT","DKV","MA_QH","SKK")</f>
        <v>0</v>
      </c>
      <c r="V53" s="22">
        <f ca="1">+GETPIVOTDATA("XBC4",'bauchinh (2016)'!$A$3,"MA_HT","DKV","MA_QH","SKT")</f>
        <v>0</v>
      </c>
      <c r="W53" s="22">
        <f ca="1">+GETPIVOTDATA("XBC4",'bauchinh (2016)'!$A$3,"MA_HT","DKV","MA_QH","SKN")</f>
        <v>0</v>
      </c>
      <c r="X53" s="22">
        <f ca="1">+GETPIVOTDATA("XBC4",'bauchinh (2016)'!$A$3,"MA_HT","DKV","MA_QH","TMD")</f>
        <v>0</v>
      </c>
      <c r="Y53" s="22">
        <f ca="1">+GETPIVOTDATA("XBC4",'bauchinh (2016)'!$A$3,"MA_HT","DKV","MA_QH","SKC")</f>
        <v>0</v>
      </c>
      <c r="Z53" s="22">
        <f ca="1">+GETPIVOTDATA("XBC4",'bauchinh (2016)'!$A$3,"MA_HT","DKV","MA_QH","SKS")</f>
        <v>0</v>
      </c>
      <c r="AA53" s="52">
        <f ca="1" t="shared" si="21"/>
        <v>0</v>
      </c>
      <c r="AB53" s="22">
        <f ca="1">+GETPIVOTDATA("XBC4",'bauchinh (2016)'!$A$3,"MA_HT","DKV","MA_QH","DGT")</f>
        <v>0</v>
      </c>
      <c r="AC53" s="22">
        <f ca="1">+GETPIVOTDATA("XBC4",'bauchinh (2016)'!$A$3,"MA_HT","DKV","MA_QH","DTL")</f>
        <v>0</v>
      </c>
      <c r="AD53" s="22">
        <f ca="1">+GETPIVOTDATA("XBC4",'bauchinh (2016)'!$A$3,"MA_HT","DKV","MA_QH","DNL")</f>
        <v>0</v>
      </c>
      <c r="AE53" s="22">
        <f ca="1">+GETPIVOTDATA("XBC4",'bauchinh (2016)'!$A$3,"MA_HT","DKV","MA_QH","DBV")</f>
        <v>0</v>
      </c>
      <c r="AF53" s="22">
        <f ca="1">+GETPIVOTDATA("XBC4",'bauchinh (2016)'!$A$3,"MA_HT","DKV","MA_QH","DVH")</f>
        <v>0</v>
      </c>
      <c r="AG53" s="22">
        <f ca="1">+GETPIVOTDATA("XBC4",'bauchinh (2016)'!$A$3,"MA_HT","DKV","MA_QH","DYT")</f>
        <v>0</v>
      </c>
      <c r="AH53" s="22">
        <f ca="1">+GETPIVOTDATA("XBC4",'bauchinh (2016)'!$A$3,"MA_HT","DKV","MA_QH","DGD")</f>
        <v>0</v>
      </c>
      <c r="AI53" s="22">
        <f ca="1">+GETPIVOTDATA("XBC4",'bauchinh (2016)'!$A$3,"MA_HT","DKV","MA_QH","DTT")</f>
        <v>0</v>
      </c>
      <c r="AJ53" s="22">
        <f ca="1">+GETPIVOTDATA("XBC4",'bauchinh (2016)'!$A$3,"MA_HT","DKV","MA_QH","NCK")</f>
        <v>0</v>
      </c>
      <c r="AK53" s="22">
        <f ca="1">+GETPIVOTDATA("XBC4",'bauchinh (2016)'!$A$3,"MA_HT","DKV","MA_QH","DXH")</f>
        <v>0</v>
      </c>
      <c r="AL53" s="22">
        <f ca="1">+GETPIVOTDATA("XBC4",'bauchinh (2016)'!$A$3,"MA_HT","DKV","MA_QH","DCH")</f>
        <v>0</v>
      </c>
      <c r="AM53" s="22">
        <f ca="1">+GETPIVOTDATA("XBC4",'bauchinh (2016)'!$A$3,"MA_HT","DKV","MA_QH","DKG")</f>
        <v>0</v>
      </c>
      <c r="AN53" s="22">
        <f ca="1">+GETPIVOTDATA("XBC4",'bauchinh (2016)'!$A$3,"MA_HT","DKV","MA_QH","DDT")</f>
        <v>0</v>
      </c>
      <c r="AO53" s="22">
        <f ca="1">+GETPIVOTDATA("XBC4",'bauchinh (2016)'!$A$3,"MA_HT","DKV","MA_QH","DDL")</f>
        <v>0</v>
      </c>
      <c r="AP53" s="22">
        <f ca="1">+GETPIVOTDATA("XBC4",'bauchinh (2016)'!$A$3,"MA_HT","DKV","MA_QH","DRA")</f>
        <v>0</v>
      </c>
      <c r="AQ53" s="22">
        <f ca="1">+GETPIVOTDATA("XBC4",'bauchinh (2016)'!$A$3,"MA_HT","DKV","MA_QH","ONT")</f>
        <v>0</v>
      </c>
      <c r="AR53" s="22">
        <f ca="1">+GETPIVOTDATA("XBC4",'bauchinh (2016)'!$A$3,"MA_HT","DKV","MA_QH","ODT")</f>
        <v>0</v>
      </c>
      <c r="AS53" s="22">
        <f ca="1">+GETPIVOTDATA("XBC4",'bauchinh (2016)'!$A$3,"MA_HT","DKV","MA_QH","TSC")</f>
        <v>0</v>
      </c>
      <c r="AT53" s="22">
        <f ca="1">+GETPIVOTDATA("XBC4",'bauchinh (2016)'!$A$3,"MA_HT","DKV","MA_QH","DTS")</f>
        <v>0</v>
      </c>
      <c r="AU53" s="22">
        <f ca="1">+GETPIVOTDATA("XBC4",'bauchinh (2016)'!$A$3,"MA_HT","DKV","MA_QH","DNG")</f>
        <v>0</v>
      </c>
      <c r="AV53" s="22">
        <f ca="1">+GETPIVOTDATA("XBC4",'bauchinh (2016)'!$A$3,"MA_HT","DKV","MA_QH","TON")</f>
        <v>0</v>
      </c>
      <c r="AW53" s="22">
        <f ca="1">+GETPIVOTDATA("XBC4",'bauchinh (2016)'!$A$3,"MA_HT","DKV","MA_QH","NTD")</f>
        <v>0</v>
      </c>
      <c r="AX53" s="22">
        <f ca="1">+GETPIVOTDATA("XBC4",'bauchinh (2016)'!$A$3,"MA_HT","DKV","MA_QH","SKX")</f>
        <v>0</v>
      </c>
      <c r="AY53" s="22">
        <f ca="1">+GETPIVOTDATA("XBC4",'bauchinh (2016)'!$A$3,"MA_HT","DKV","MA_QH","DSH")</f>
        <v>0</v>
      </c>
      <c r="AZ53" s="43" t="e">
        <f ca="1">$D53-$BF53</f>
        <v>#REF!</v>
      </c>
      <c r="BA53" s="89">
        <f ca="1">+GETPIVOTDATA("XBC4",'bauchinh (2016)'!$A$3,"MA_HT","DKV","MA_QH","TIN")</f>
        <v>0</v>
      </c>
      <c r="BB53" s="50">
        <f ca="1">+GETPIVOTDATA("XBC4",'bauchinh (2016)'!$A$3,"MA_HT","DKV","MA_QH","SON")</f>
        <v>0</v>
      </c>
      <c r="BC53" s="50">
        <f ca="1">+GETPIVOTDATA("XBC4",'bauchinh (2016)'!$A$3,"MA_HT","DKV","MA_QH","MNC")</f>
        <v>0</v>
      </c>
      <c r="BD53" s="22">
        <f ca="1">+GETPIVOTDATA("XBC4",'bauchinh (2016)'!$A$3,"MA_HT","DKV","MA_QH","PNK")</f>
        <v>0</v>
      </c>
      <c r="BE53" s="71">
        <f ca="1">+GETPIVOTDATA("XBC4",'bauchinh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+GETPIVOTDATA("XBC4",'bauchinh (2016)'!$A$3,"MA_HT","TIN","MA_QH","LUC")</f>
        <v>0</v>
      </c>
      <c r="H54" s="22">
        <f ca="1">+GETPIVOTDATA("XBC4",'bauchinh (2016)'!$A$3,"MA_HT","TIN","MA_QH","LUK")</f>
        <v>0</v>
      </c>
      <c r="I54" s="22">
        <f ca="1">+GETPIVOTDATA("XBC4",'bauchinh (2016)'!$A$3,"MA_HT","TIN","MA_QH","LUN")</f>
        <v>0</v>
      </c>
      <c r="J54" s="22">
        <f ca="1">+GETPIVOTDATA("XBC4",'bauchinh (2016)'!$A$3,"MA_HT","TIN","MA_QH","HNK")</f>
        <v>0</v>
      </c>
      <c r="K54" s="22">
        <f ca="1">+GETPIVOTDATA("XBC4",'bauchinh (2016)'!$A$3,"MA_HT","TIN","MA_QH","CLN")</f>
        <v>0</v>
      </c>
      <c r="L54" s="22">
        <f ca="1">+GETPIVOTDATA("XBC4",'bauchinh (2016)'!$A$3,"MA_HT","TIN","MA_QH","RSX")</f>
        <v>0</v>
      </c>
      <c r="M54" s="22">
        <f ca="1">+GETPIVOTDATA("XBC4",'bauchinh (2016)'!$A$3,"MA_HT","TIN","MA_QH","RPH")</f>
        <v>0</v>
      </c>
      <c r="N54" s="22">
        <f ca="1">+GETPIVOTDATA("XBC4",'bauchinh (2016)'!$A$3,"MA_HT","TIN","MA_QH","RDD")</f>
        <v>0</v>
      </c>
      <c r="O54" s="22">
        <f ca="1">+GETPIVOTDATA("XBC4",'bauchinh (2016)'!$A$3,"MA_HT","TIN","MA_QH","NTS")</f>
        <v>0</v>
      </c>
      <c r="P54" s="22">
        <f ca="1">+GETPIVOTDATA("XBC4",'bauchinh (2016)'!$A$3,"MA_HT","TIN","MA_QH","LMU")</f>
        <v>0</v>
      </c>
      <c r="Q54" s="22">
        <f ca="1">+GETPIVOTDATA("XBC4",'bauchinh (2016)'!$A$3,"MA_HT","TIN","MA_QH","NKH")</f>
        <v>0</v>
      </c>
      <c r="R54" s="79">
        <f ca="1">SUM(S54:AA54,AN54:AZ54,BB54:BD54)</f>
        <v>0</v>
      </c>
      <c r="S54" s="22">
        <f ca="1">+GETPIVOTDATA("XBC4",'bauchinh (2016)'!$A$3,"MA_HT","TIN","MA_QH","CQP")</f>
        <v>0</v>
      </c>
      <c r="T54" s="22">
        <f ca="1">+GETPIVOTDATA("XBC4",'bauchinh (2016)'!$A$3,"MA_HT","TIN","MA_QH","CAN")</f>
        <v>0</v>
      </c>
      <c r="U54" s="22">
        <f ca="1">+GETPIVOTDATA("XBC4",'bauchinh (2016)'!$A$3,"MA_HT","TIN","MA_QH","SKK")</f>
        <v>0</v>
      </c>
      <c r="V54" s="22">
        <f ca="1">+GETPIVOTDATA("XBC4",'bauchinh (2016)'!$A$3,"MA_HT","TIN","MA_QH","SKT")</f>
        <v>0</v>
      </c>
      <c r="W54" s="22">
        <f ca="1">+GETPIVOTDATA("XBC4",'bauchinh (2016)'!$A$3,"MA_HT","TIN","MA_QH","SKN")</f>
        <v>0</v>
      </c>
      <c r="X54" s="22">
        <f ca="1">+GETPIVOTDATA("XBC4",'bauchinh (2016)'!$A$3,"MA_HT","TIN","MA_QH","TMD")</f>
        <v>0</v>
      </c>
      <c r="Y54" s="22">
        <f ca="1">+GETPIVOTDATA("XBC4",'bauchinh (2016)'!$A$3,"MA_HT","TIN","MA_QH","SKC")</f>
        <v>0</v>
      </c>
      <c r="Z54" s="22">
        <f ca="1">+GETPIVOTDATA("XBC4",'bauchinh (2016)'!$A$3,"MA_HT","TIN","MA_QH","SKS")</f>
        <v>0</v>
      </c>
      <c r="AA54" s="52">
        <f ca="1" t="shared" si="21"/>
        <v>0</v>
      </c>
      <c r="AB54" s="22">
        <f ca="1">+GETPIVOTDATA("XBC4",'bauchinh (2016)'!$A$3,"MA_HT","TIN","MA_QH","DGT")</f>
        <v>0</v>
      </c>
      <c r="AC54" s="22">
        <f ca="1">+GETPIVOTDATA("XBC4",'bauchinh (2016)'!$A$3,"MA_HT","TIN","MA_QH","DTL")</f>
        <v>0</v>
      </c>
      <c r="AD54" s="22">
        <f ca="1">+GETPIVOTDATA("XBC4",'bauchinh (2016)'!$A$3,"MA_HT","TIN","MA_QH","DNL")</f>
        <v>0</v>
      </c>
      <c r="AE54" s="22">
        <f ca="1">+GETPIVOTDATA("XBC4",'bauchinh (2016)'!$A$3,"MA_HT","TIN","MA_QH","DBV")</f>
        <v>0</v>
      </c>
      <c r="AF54" s="22">
        <f ca="1">+GETPIVOTDATA("XBC4",'bauchinh (2016)'!$A$3,"MA_HT","TIN","MA_QH","DVH")</f>
        <v>0</v>
      </c>
      <c r="AG54" s="22">
        <f ca="1">+GETPIVOTDATA("XBC4",'bauchinh (2016)'!$A$3,"MA_HT","TIN","MA_QH","DYT")</f>
        <v>0</v>
      </c>
      <c r="AH54" s="22">
        <f ca="1">+GETPIVOTDATA("XBC4",'bauchinh (2016)'!$A$3,"MA_HT","TIN","MA_QH","DGD")</f>
        <v>0</v>
      </c>
      <c r="AI54" s="22">
        <f ca="1">+GETPIVOTDATA("XBC4",'bauchinh (2016)'!$A$3,"MA_HT","TIN","MA_QH","DTT")</f>
        <v>0</v>
      </c>
      <c r="AJ54" s="22">
        <f ca="1">+GETPIVOTDATA("XBC4",'bauchinh (2016)'!$A$3,"MA_HT","TIN","MA_QH","NCK")</f>
        <v>0</v>
      </c>
      <c r="AK54" s="22">
        <f ca="1">+GETPIVOTDATA("XBC4",'bauchinh (2016)'!$A$3,"MA_HT","TIN","MA_QH","DXH")</f>
        <v>0</v>
      </c>
      <c r="AL54" s="22">
        <f ca="1">+GETPIVOTDATA("XBC4",'bauchinh (2016)'!$A$3,"MA_HT","TIN","MA_QH","DCH")</f>
        <v>0</v>
      </c>
      <c r="AM54" s="22">
        <f ca="1">+GETPIVOTDATA("XBC4",'bauchinh (2016)'!$A$3,"MA_HT","TIN","MA_QH","DKG")</f>
        <v>0</v>
      </c>
      <c r="AN54" s="22">
        <f ca="1">+GETPIVOTDATA("XBC4",'bauchinh (2016)'!$A$3,"MA_HT","TIN","MA_QH","DDT")</f>
        <v>0</v>
      </c>
      <c r="AO54" s="22">
        <f ca="1">+GETPIVOTDATA("XBC4",'bauchinh (2016)'!$A$3,"MA_HT","TIN","MA_QH","DDL")</f>
        <v>0</v>
      </c>
      <c r="AP54" s="22">
        <f ca="1">+GETPIVOTDATA("XBC4",'bauchinh (2016)'!$A$3,"MA_HT","TIN","MA_QH","DRA")</f>
        <v>0</v>
      </c>
      <c r="AQ54" s="22">
        <f ca="1">+GETPIVOTDATA("XBC4",'bauchinh (2016)'!$A$3,"MA_HT","TIN","MA_QH","ONT")</f>
        <v>0</v>
      </c>
      <c r="AR54" s="22">
        <f ca="1">+GETPIVOTDATA("XBC4",'bauchinh (2016)'!$A$3,"MA_HT","TIN","MA_QH","ODT")</f>
        <v>0</v>
      </c>
      <c r="AS54" s="22">
        <f ca="1">+GETPIVOTDATA("XBC4",'bauchinh (2016)'!$A$3,"MA_HT","TIN","MA_QH","TSC")</f>
        <v>0</v>
      </c>
      <c r="AT54" s="22">
        <f ca="1">+GETPIVOTDATA("XBC4",'bauchinh (2016)'!$A$3,"MA_HT","TIN","MA_QH","DTS")</f>
        <v>0</v>
      </c>
      <c r="AU54" s="22">
        <f ca="1">+GETPIVOTDATA("XBC4",'bauchinh (2016)'!$A$3,"MA_HT","TIN","MA_QH","DNG")</f>
        <v>0</v>
      </c>
      <c r="AV54" s="22">
        <f ca="1">+GETPIVOTDATA("XBC4",'bauchinh (2016)'!$A$3,"MA_HT","TIN","MA_QH","TON")</f>
        <v>0</v>
      </c>
      <c r="AW54" s="22">
        <f ca="1">+GETPIVOTDATA("XBC4",'bauchinh (2016)'!$A$3,"MA_HT","TIN","MA_QH","NTD")</f>
        <v>0</v>
      </c>
      <c r="AX54" s="22">
        <f ca="1">+GETPIVOTDATA("XBC4",'bauchinh (2016)'!$A$3,"MA_HT","TIN","MA_QH","SKX")</f>
        <v>0</v>
      </c>
      <c r="AY54" s="22">
        <f ca="1">+GETPIVOTDATA("XBC4",'bauchinh (2016)'!$A$3,"MA_HT","TIN","MA_QH","DSH")</f>
        <v>0</v>
      </c>
      <c r="AZ54" s="22">
        <f ca="1">+GETPIVOTDATA("XBC4",'bauchinh (2016)'!$A$3,"MA_HT","TIN","MA_QH","DKV")</f>
        <v>0</v>
      </c>
      <c r="BA54" s="43" t="e">
        <f ca="1">$D54-$BF54</f>
        <v>#REF!</v>
      </c>
      <c r="BB54" s="22">
        <f ca="1">+GETPIVOTDATA("XBC4",'bauchinh (2016)'!$A$3,"MA_HT","TIN","MA_QH","SON")</f>
        <v>0</v>
      </c>
      <c r="BC54" s="22">
        <f ca="1">+GETPIVOTDATA("XBC4",'bauchinh (2016)'!$A$3,"MA_HT","TIN","MA_QH","MNC")</f>
        <v>0</v>
      </c>
      <c r="BD54" s="22">
        <f ca="1">+GETPIVOTDATA("XBC4",'bauchinh (2016)'!$A$3,"MA_HT","TIN","MA_QH","PNK")</f>
        <v>0</v>
      </c>
      <c r="BE54" s="71">
        <f ca="1">+GETPIVOTDATA("XBC4",'bauchinh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+GETPIVOTDATA("XBC4",'bauchinh (2016)'!$A$3,"MA_HT","SON","MA_QH","LUC")</f>
        <v>0</v>
      </c>
      <c r="H55" s="22">
        <f ca="1">+GETPIVOTDATA("XBC4",'bauchinh (2016)'!$A$3,"MA_HT","SON","MA_QH","LUK")</f>
        <v>0</v>
      </c>
      <c r="I55" s="22">
        <f ca="1">+GETPIVOTDATA("XBC4",'bauchinh (2016)'!$A$3,"MA_HT","SON","MA_QH","LUN")</f>
        <v>0</v>
      </c>
      <c r="J55" s="22">
        <f ca="1">+GETPIVOTDATA("XBC4",'bauchinh (2016)'!$A$3,"MA_HT","SON","MA_QH","HNK")</f>
        <v>0</v>
      </c>
      <c r="K55" s="22">
        <f ca="1">+GETPIVOTDATA("XBC4",'bauchinh (2016)'!$A$3,"MA_HT","SON","MA_QH","CLN")</f>
        <v>0</v>
      </c>
      <c r="L55" s="22">
        <f ca="1">+GETPIVOTDATA("XBC4",'bauchinh (2016)'!$A$3,"MA_HT","SON","MA_QH","RSX")</f>
        <v>0</v>
      </c>
      <c r="M55" s="22">
        <f ca="1">+GETPIVOTDATA("XBC4",'bauchinh (2016)'!$A$3,"MA_HT","SON","MA_QH","RPH")</f>
        <v>0</v>
      </c>
      <c r="N55" s="22">
        <f ca="1">+GETPIVOTDATA("XBC4",'bauchinh (2016)'!$A$3,"MA_HT","SON","MA_QH","RDD")</f>
        <v>0</v>
      </c>
      <c r="O55" s="22">
        <f ca="1">+GETPIVOTDATA("XBC4",'bauchinh (2016)'!$A$3,"MA_HT","SON","MA_QH","NTS")</f>
        <v>0</v>
      </c>
      <c r="P55" s="22">
        <f ca="1">+GETPIVOTDATA("XBC4",'bauchinh (2016)'!$A$3,"MA_HT","SON","MA_QH","LMU")</f>
        <v>0</v>
      </c>
      <c r="Q55" s="22">
        <f ca="1">+GETPIVOTDATA("XBC4",'bauchinh (2016)'!$A$3,"MA_HT","SON","MA_QH","NKH")</f>
        <v>0</v>
      </c>
      <c r="R55" s="79">
        <f ca="1">SUM(S55:AA55,AN55:AZ55,BC55:BD55)</f>
        <v>0</v>
      </c>
      <c r="S55" s="22">
        <f ca="1">+GETPIVOTDATA("XBC4",'bauchinh (2016)'!$A$3,"MA_HT","SON","MA_QH","CQP")</f>
        <v>0</v>
      </c>
      <c r="T55" s="22">
        <f ca="1">+GETPIVOTDATA("XBC4",'bauchinh (2016)'!$A$3,"MA_HT","SON","MA_QH","CAN")</f>
        <v>0</v>
      </c>
      <c r="U55" s="22">
        <f ca="1">+GETPIVOTDATA("XBC4",'bauchinh (2016)'!$A$3,"MA_HT","SON","MA_QH","SKK")</f>
        <v>0</v>
      </c>
      <c r="V55" s="22">
        <f ca="1">+GETPIVOTDATA("XBC4",'bauchinh (2016)'!$A$3,"MA_HT","SON","MA_QH","SKT")</f>
        <v>0</v>
      </c>
      <c r="W55" s="22">
        <f ca="1">+GETPIVOTDATA("XBC4",'bauchinh (2016)'!$A$3,"MA_HT","SON","MA_QH","SKN")</f>
        <v>0</v>
      </c>
      <c r="X55" s="22">
        <f ca="1">+GETPIVOTDATA("XBC4",'bauchinh (2016)'!$A$3,"MA_HT","SON","MA_QH","TMD")</f>
        <v>0</v>
      </c>
      <c r="Y55" s="22">
        <f ca="1">+GETPIVOTDATA("XBC4",'bauchinh (2016)'!$A$3,"MA_HT","SON","MA_QH","SKC")</f>
        <v>0</v>
      </c>
      <c r="Z55" s="22">
        <f ca="1">+GETPIVOTDATA("XBC4",'bauchinh (2016)'!$A$3,"MA_HT","SON","MA_QH","SKS")</f>
        <v>0</v>
      </c>
      <c r="AA55" s="52">
        <f ca="1" t="shared" si="21"/>
        <v>0</v>
      </c>
      <c r="AB55" s="22">
        <f ca="1">+GETPIVOTDATA("XBC4",'bauchinh (2016)'!$A$3,"MA_HT","SON","MA_QH","DGT")</f>
        <v>0</v>
      </c>
      <c r="AC55" s="22">
        <f ca="1">+GETPIVOTDATA("XBC4",'bauchinh (2016)'!$A$3,"MA_HT","SON","MA_QH","DTL")</f>
        <v>0</v>
      </c>
      <c r="AD55" s="22">
        <f ca="1">+GETPIVOTDATA("XBC4",'bauchinh (2016)'!$A$3,"MA_HT","SON","MA_QH","DNL")</f>
        <v>0</v>
      </c>
      <c r="AE55" s="22">
        <f ca="1">+GETPIVOTDATA("XBC4",'bauchinh (2016)'!$A$3,"MA_HT","SON","MA_QH","DBV")</f>
        <v>0</v>
      </c>
      <c r="AF55" s="22">
        <f ca="1">+GETPIVOTDATA("XBC4",'bauchinh (2016)'!$A$3,"MA_HT","SON","MA_QH","DVH")</f>
        <v>0</v>
      </c>
      <c r="AG55" s="22">
        <f ca="1">+GETPIVOTDATA("XBC4",'bauchinh (2016)'!$A$3,"MA_HT","SON","MA_QH","DYT")</f>
        <v>0</v>
      </c>
      <c r="AH55" s="22">
        <f ca="1">+GETPIVOTDATA("XBC4",'bauchinh (2016)'!$A$3,"MA_HT","SON","MA_QH","DGD")</f>
        <v>0</v>
      </c>
      <c r="AI55" s="22">
        <f ca="1">+GETPIVOTDATA("XBC4",'bauchinh (2016)'!$A$3,"MA_HT","SON","MA_QH","DTT")</f>
        <v>0</v>
      </c>
      <c r="AJ55" s="22">
        <f ca="1">+GETPIVOTDATA("XBC4",'bauchinh (2016)'!$A$3,"MA_HT","SON","MA_QH","NCK")</f>
        <v>0</v>
      </c>
      <c r="AK55" s="22">
        <f ca="1">+GETPIVOTDATA("XBC4",'bauchinh (2016)'!$A$3,"MA_HT","SON","MA_QH","DXH")</f>
        <v>0</v>
      </c>
      <c r="AL55" s="22">
        <f ca="1">+GETPIVOTDATA("XBC4",'bauchinh (2016)'!$A$3,"MA_HT","SON","MA_QH","DCH")</f>
        <v>0</v>
      </c>
      <c r="AM55" s="22">
        <f ca="1">+GETPIVOTDATA("XBC4",'bauchinh (2016)'!$A$3,"MA_HT","SON","MA_QH","DKG")</f>
        <v>0</v>
      </c>
      <c r="AN55" s="22">
        <f ca="1">+GETPIVOTDATA("XBC4",'bauchinh (2016)'!$A$3,"MA_HT","SON","MA_QH","DDT")</f>
        <v>0</v>
      </c>
      <c r="AO55" s="22">
        <f ca="1">+GETPIVOTDATA("XBC4",'bauchinh (2016)'!$A$3,"MA_HT","SON","MA_QH","DDL")</f>
        <v>0</v>
      </c>
      <c r="AP55" s="22">
        <f ca="1">+GETPIVOTDATA("XBC4",'bauchinh (2016)'!$A$3,"MA_HT","SON","MA_QH","DRA")</f>
        <v>0</v>
      </c>
      <c r="AQ55" s="22">
        <f ca="1">+GETPIVOTDATA("XBC4",'bauchinh (2016)'!$A$3,"MA_HT","SON","MA_QH","ONT")</f>
        <v>0</v>
      </c>
      <c r="AR55" s="22">
        <f ca="1">+GETPIVOTDATA("XBC4",'bauchinh (2016)'!$A$3,"MA_HT","SON","MA_QH","ODT")</f>
        <v>0</v>
      </c>
      <c r="AS55" s="22">
        <f ca="1">+GETPIVOTDATA("XBC4",'bauchinh (2016)'!$A$3,"MA_HT","SON","MA_QH","TSC")</f>
        <v>0</v>
      </c>
      <c r="AT55" s="22">
        <f ca="1">+GETPIVOTDATA("XBC4",'bauchinh (2016)'!$A$3,"MA_HT","SON","MA_QH","DTS")</f>
        <v>0</v>
      </c>
      <c r="AU55" s="22">
        <f ca="1">+GETPIVOTDATA("XBC4",'bauchinh (2016)'!$A$3,"MA_HT","SON","MA_QH","DNG")</f>
        <v>0</v>
      </c>
      <c r="AV55" s="22">
        <f ca="1">+GETPIVOTDATA("XBC4",'bauchinh (2016)'!$A$3,"MA_HT","SON","MA_QH","TON")</f>
        <v>0</v>
      </c>
      <c r="AW55" s="22">
        <f ca="1">+GETPIVOTDATA("XBC4",'bauchinh (2016)'!$A$3,"MA_HT","SON","MA_QH","NTD")</f>
        <v>0</v>
      </c>
      <c r="AX55" s="22">
        <f ca="1">+GETPIVOTDATA("XBC4",'bauchinh (2016)'!$A$3,"MA_HT","SON","MA_QH","SKX")</f>
        <v>0</v>
      </c>
      <c r="AY55" s="22">
        <f ca="1">+GETPIVOTDATA("XBC4",'bauchinh (2016)'!$A$3,"MA_HT","SON","MA_QH","DSH")</f>
        <v>0</v>
      </c>
      <c r="AZ55" s="22">
        <f ca="1">+GETPIVOTDATA("XBC4",'bauchinh (2016)'!$A$3,"MA_HT","SON","MA_QH","DKV")</f>
        <v>0</v>
      </c>
      <c r="BA55" s="89">
        <f ca="1">+GETPIVOTDATA("XBC4",'bauchinh (2016)'!$A$3,"MA_HT","SON","MA_QH","TIN")</f>
        <v>0</v>
      </c>
      <c r="BB55" s="43" t="e">
        <f ca="1">$D55-$BF55</f>
        <v>#REF!</v>
      </c>
      <c r="BC55" s="50">
        <f ca="1">+GETPIVOTDATA("XBC4",'bauchinh (2016)'!$A$3,"MA_HT","SON","MA_QH","MNC")</f>
        <v>0</v>
      </c>
      <c r="BD55" s="22">
        <f ca="1">+GETPIVOTDATA("XBC4",'bauchinh (2016)'!$A$3,"MA_HT","SON","MA_QH","PNK")</f>
        <v>0</v>
      </c>
      <c r="BE55" s="71">
        <f ca="1">+GETPIVOTDATA("XBC4",'bauchinh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+GETPIVOTDATA("XBC4",'bauchinh (2016)'!$A$3,"MA_HT","MNC","MA_QH","LUC")</f>
        <v>0</v>
      </c>
      <c r="H56" s="22">
        <f ca="1">+GETPIVOTDATA("XBC4",'bauchinh (2016)'!$A$3,"MA_HT","MNC","MA_QH","LUK")</f>
        <v>0</v>
      </c>
      <c r="I56" s="22">
        <f ca="1">+GETPIVOTDATA("XBC4",'bauchinh (2016)'!$A$3,"MA_HT","MNC","MA_QH","LUN")</f>
        <v>0</v>
      </c>
      <c r="J56" s="22">
        <f ca="1">+GETPIVOTDATA("XBC4",'bauchinh (2016)'!$A$3,"MA_HT","MNC","MA_QH","HNK")</f>
        <v>0</v>
      </c>
      <c r="K56" s="22">
        <f ca="1">+GETPIVOTDATA("XBC4",'bauchinh (2016)'!$A$3,"MA_HT","MNC","MA_QH","CLN")</f>
        <v>0</v>
      </c>
      <c r="L56" s="22">
        <f ca="1">+GETPIVOTDATA("XBC4",'bauchinh (2016)'!$A$3,"MA_HT","MNC","MA_QH","RSX")</f>
        <v>0</v>
      </c>
      <c r="M56" s="22">
        <f ca="1">+GETPIVOTDATA("XBC4",'bauchinh (2016)'!$A$3,"MA_HT","MNC","MA_QH","RPH")</f>
        <v>0</v>
      </c>
      <c r="N56" s="22">
        <f ca="1">+GETPIVOTDATA("XBC4",'bauchinh (2016)'!$A$3,"MA_HT","MNC","MA_QH","RDD")</f>
        <v>0</v>
      </c>
      <c r="O56" s="22">
        <f ca="1">+GETPIVOTDATA("XBC4",'bauchinh (2016)'!$A$3,"MA_HT","MNC","MA_QH","NTS")</f>
        <v>0</v>
      </c>
      <c r="P56" s="22">
        <f ca="1">+GETPIVOTDATA("XBC4",'bauchinh (2016)'!$A$3,"MA_HT","MNC","MA_QH","LMU")</f>
        <v>0</v>
      </c>
      <c r="Q56" s="22">
        <f ca="1">+GETPIVOTDATA("XBC4",'bauchinh (2016)'!$A$3,"MA_HT","MNC","MA_QH","NKH")</f>
        <v>0</v>
      </c>
      <c r="R56" s="79">
        <f ca="1">SUM(S56:AA56,AN56:BB56,BD56)</f>
        <v>0</v>
      </c>
      <c r="S56" s="22">
        <f ca="1">+GETPIVOTDATA("XBC4",'bauchinh (2016)'!$A$3,"MA_HT","MNC","MA_QH","CQP")</f>
        <v>0</v>
      </c>
      <c r="T56" s="22">
        <f ca="1">+GETPIVOTDATA("XBC4",'bauchinh (2016)'!$A$3,"MA_HT","MNC","MA_QH","CAN")</f>
        <v>0</v>
      </c>
      <c r="U56" s="22">
        <f ca="1">+GETPIVOTDATA("XBC4",'bauchinh (2016)'!$A$3,"MA_HT","MNC","MA_QH","SKK")</f>
        <v>0</v>
      </c>
      <c r="V56" s="22">
        <f ca="1">+GETPIVOTDATA("XBC4",'bauchinh (2016)'!$A$3,"MA_HT","MNC","MA_QH","SKT")</f>
        <v>0</v>
      </c>
      <c r="W56" s="22">
        <f ca="1">+GETPIVOTDATA("XBC4",'bauchinh (2016)'!$A$3,"MA_HT","MNC","MA_QH","SKN")</f>
        <v>0</v>
      </c>
      <c r="X56" s="22">
        <f ca="1">+GETPIVOTDATA("XBC4",'bauchinh (2016)'!$A$3,"MA_HT","MNC","MA_QH","TMD")</f>
        <v>0</v>
      </c>
      <c r="Y56" s="22">
        <f ca="1">+GETPIVOTDATA("XBC4",'bauchinh (2016)'!$A$3,"MA_HT","MNC","MA_QH","SKC")</f>
        <v>0</v>
      </c>
      <c r="Z56" s="22">
        <f ca="1">+GETPIVOTDATA("XBC4",'bauchinh (2016)'!$A$3,"MA_HT","MNC","MA_QH","SKS")</f>
        <v>0</v>
      </c>
      <c r="AA56" s="52">
        <f ca="1" t="shared" si="21"/>
        <v>0</v>
      </c>
      <c r="AB56" s="22">
        <f ca="1">+GETPIVOTDATA("XBC4",'bauchinh (2016)'!$A$3,"MA_HT","MNC","MA_QH","DGT")</f>
        <v>0</v>
      </c>
      <c r="AC56" s="22">
        <f ca="1">+GETPIVOTDATA("XBC4",'bauchinh (2016)'!$A$3,"MA_HT","MNC","MA_QH","DTL")</f>
        <v>0</v>
      </c>
      <c r="AD56" s="22">
        <f ca="1">+GETPIVOTDATA("XBC4",'bauchinh (2016)'!$A$3,"MA_HT","MNC","MA_QH","DNL")</f>
        <v>0</v>
      </c>
      <c r="AE56" s="22">
        <f ca="1">+GETPIVOTDATA("XBC4",'bauchinh (2016)'!$A$3,"MA_HT","MNC","MA_QH","DBV")</f>
        <v>0</v>
      </c>
      <c r="AF56" s="22">
        <f ca="1">+GETPIVOTDATA("XBC4",'bauchinh (2016)'!$A$3,"MA_HT","MNC","MA_QH","DVH")</f>
        <v>0</v>
      </c>
      <c r="AG56" s="22">
        <f ca="1">+GETPIVOTDATA("XBC4",'bauchinh (2016)'!$A$3,"MA_HT","MNC","MA_QH","DYT")</f>
        <v>0</v>
      </c>
      <c r="AH56" s="22">
        <f ca="1">+GETPIVOTDATA("XBC4",'bauchinh (2016)'!$A$3,"MA_HT","MNC","MA_QH","DGD")</f>
        <v>0</v>
      </c>
      <c r="AI56" s="22">
        <f ca="1">+GETPIVOTDATA("XBC4",'bauchinh (2016)'!$A$3,"MA_HT","MNC","MA_QH","DTT")</f>
        <v>0</v>
      </c>
      <c r="AJ56" s="22">
        <f ca="1">+GETPIVOTDATA("XBC4",'bauchinh (2016)'!$A$3,"MA_HT","MNC","MA_QH","NCK")</f>
        <v>0</v>
      </c>
      <c r="AK56" s="22">
        <f ca="1">+GETPIVOTDATA("XBC4",'bauchinh (2016)'!$A$3,"MA_HT","MNC","MA_QH","DXH")</f>
        <v>0</v>
      </c>
      <c r="AL56" s="22">
        <f ca="1">+GETPIVOTDATA("XBC4",'bauchinh (2016)'!$A$3,"MA_HT","MNC","MA_QH","DCH")</f>
        <v>0</v>
      </c>
      <c r="AM56" s="22">
        <f ca="1">+GETPIVOTDATA("XBC4",'bauchinh (2016)'!$A$3,"MA_HT","MNC","MA_QH","DKG")</f>
        <v>0</v>
      </c>
      <c r="AN56" s="22">
        <f ca="1">+GETPIVOTDATA("XBC4",'bauchinh (2016)'!$A$3,"MA_HT","MNC","MA_QH","DDT")</f>
        <v>0</v>
      </c>
      <c r="AO56" s="22">
        <f ca="1">+GETPIVOTDATA("XBC4",'bauchinh (2016)'!$A$3,"MA_HT","MNC","MA_QH","DDL")</f>
        <v>0</v>
      </c>
      <c r="AP56" s="22">
        <f ca="1">+GETPIVOTDATA("XBC4",'bauchinh (2016)'!$A$3,"MA_HT","MNC","MA_QH","DRA")</f>
        <v>0</v>
      </c>
      <c r="AQ56" s="22">
        <f ca="1">+GETPIVOTDATA("XBC4",'bauchinh (2016)'!$A$3,"MA_HT","MNC","MA_QH","ONT")</f>
        <v>0</v>
      </c>
      <c r="AR56" s="22">
        <f ca="1">+GETPIVOTDATA("XBC4",'bauchinh (2016)'!$A$3,"MA_HT","MNC","MA_QH","ODT")</f>
        <v>0</v>
      </c>
      <c r="AS56" s="22">
        <f ca="1">+GETPIVOTDATA("XBC4",'bauchinh (2016)'!$A$3,"MA_HT","MNC","MA_QH","TSC")</f>
        <v>0</v>
      </c>
      <c r="AT56" s="22">
        <f ca="1">+GETPIVOTDATA("XBC4",'bauchinh (2016)'!$A$3,"MA_HT","MNC","MA_QH","DTS")</f>
        <v>0</v>
      </c>
      <c r="AU56" s="22">
        <f ca="1">+GETPIVOTDATA("XBC4",'bauchinh (2016)'!$A$3,"MA_HT","MNC","MA_QH","DNG")</f>
        <v>0</v>
      </c>
      <c r="AV56" s="22">
        <f ca="1">+GETPIVOTDATA("XBC4",'bauchinh (2016)'!$A$3,"MA_HT","MNC","MA_QH","TON")</f>
        <v>0</v>
      </c>
      <c r="AW56" s="22">
        <f ca="1">+GETPIVOTDATA("XBC4",'bauchinh (2016)'!$A$3,"MA_HT","MNC","MA_QH","NTD")</f>
        <v>0</v>
      </c>
      <c r="AX56" s="22">
        <f ca="1">+GETPIVOTDATA("XBC4",'bauchinh (2016)'!$A$3,"MA_HT","MNC","MA_QH","SKX")</f>
        <v>0</v>
      </c>
      <c r="AY56" s="22">
        <f ca="1">+GETPIVOTDATA("XBC4",'bauchinh (2016)'!$A$3,"MA_HT","MNC","MA_QH","DSH")</f>
        <v>0</v>
      </c>
      <c r="AZ56" s="22">
        <f ca="1">+GETPIVOTDATA("XBC4",'bauchinh (2016)'!$A$3,"MA_HT","MNC","MA_QH","DKV")</f>
        <v>0</v>
      </c>
      <c r="BA56" s="89">
        <f ca="1">+GETPIVOTDATA("XBC4",'bauchinh (2016)'!$A$3,"MA_HT","MNC","MA_QH","TIN")</f>
        <v>0</v>
      </c>
      <c r="BB56" s="50">
        <f ca="1">+GETPIVOTDATA("XBC4",'bauchinh (2016)'!$A$3,"MA_HT","MNC","MA_QH","SON")</f>
        <v>0</v>
      </c>
      <c r="BC56" s="43" t="e">
        <f ca="1">$D56-$BF56</f>
        <v>#REF!</v>
      </c>
      <c r="BD56" s="22">
        <f ca="1">+GETPIVOTDATA("XBC4",'bauchinh (2016)'!$A$3,"MA_HT","MNC","MA_QH","PNK")</f>
        <v>0</v>
      </c>
      <c r="BE56" s="71">
        <f ca="1">+GETPIVOTDATA("XBC4",'bauchinh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+GETPIVOTDATA("XBC4",'bauchinh (2016)'!$A$3,"MA_HT","PNK","MA_QH","LUC")</f>
        <v>0</v>
      </c>
      <c r="H57" s="22">
        <f ca="1">+GETPIVOTDATA("XBC4",'bauchinh (2016)'!$A$3,"MA_HT","PNK","MA_QH","LUK")</f>
        <v>0</v>
      </c>
      <c r="I57" s="22">
        <f ca="1">+GETPIVOTDATA("XBC4",'bauchinh (2016)'!$A$3,"MA_HT","PNK","MA_QH","LUN")</f>
        <v>0</v>
      </c>
      <c r="J57" s="22">
        <f ca="1">+GETPIVOTDATA("XBC4",'bauchinh (2016)'!$A$3,"MA_HT","PNK","MA_QH","HNK")</f>
        <v>0</v>
      </c>
      <c r="K57" s="22">
        <f ca="1">+GETPIVOTDATA("XBC4",'bauchinh (2016)'!$A$3,"MA_HT","PNK","MA_QH","CLN")</f>
        <v>0</v>
      </c>
      <c r="L57" s="22">
        <f ca="1">+GETPIVOTDATA("XBC4",'bauchinh (2016)'!$A$3,"MA_HT","PNK","MA_QH","RSX")</f>
        <v>0</v>
      </c>
      <c r="M57" s="22">
        <f ca="1">+GETPIVOTDATA("XBC4",'bauchinh (2016)'!$A$3,"MA_HT","PNK","MA_QH","RPH")</f>
        <v>0</v>
      </c>
      <c r="N57" s="22">
        <f ca="1">+GETPIVOTDATA("XBC4",'bauchinh (2016)'!$A$3,"MA_HT","PNK","MA_QH","RDD")</f>
        <v>0</v>
      </c>
      <c r="O57" s="22">
        <f ca="1">+GETPIVOTDATA("XBC4",'bauchinh (2016)'!$A$3,"MA_HT","PNK","MA_QH","NTS")</f>
        <v>0</v>
      </c>
      <c r="P57" s="22">
        <f ca="1">+GETPIVOTDATA("XBC4",'bauchinh (2016)'!$A$3,"MA_HT","PNK","MA_QH","LMU")</f>
        <v>0</v>
      </c>
      <c r="Q57" s="22">
        <f ca="1">+GETPIVOTDATA("XBC4",'bauchinh (2016)'!$A$3,"MA_HT","PNK","MA_QH","NKH")</f>
        <v>0</v>
      </c>
      <c r="R57" s="79">
        <f ca="1">SUM(S57:AA57,AN57:BC57)</f>
        <v>0</v>
      </c>
      <c r="S57" s="22">
        <f ca="1">+GETPIVOTDATA("XBC4",'bauchinh (2016)'!$A$3,"MA_HT","PNK","MA_QH","CQP")</f>
        <v>0</v>
      </c>
      <c r="T57" s="22">
        <f ca="1">+GETPIVOTDATA("XBC4",'bauchinh (2016)'!$A$3,"MA_HT","PNK","MA_QH","CAN")</f>
        <v>0</v>
      </c>
      <c r="U57" s="22">
        <f ca="1">+GETPIVOTDATA("XBC4",'bauchinh (2016)'!$A$3,"MA_HT","PNK","MA_QH","SKK")</f>
        <v>0</v>
      </c>
      <c r="V57" s="22">
        <f ca="1">+GETPIVOTDATA("XBC4",'bauchinh (2016)'!$A$3,"MA_HT","PNK","MA_QH","SKT")</f>
        <v>0</v>
      </c>
      <c r="W57" s="22">
        <f ca="1">+GETPIVOTDATA("XBC4",'bauchinh (2016)'!$A$3,"MA_HT","PNK","MA_QH","SKN")</f>
        <v>0</v>
      </c>
      <c r="X57" s="22">
        <f ca="1">+GETPIVOTDATA("XBC4",'bauchinh (2016)'!$A$3,"MA_HT","PNK","MA_QH","TMD")</f>
        <v>0</v>
      </c>
      <c r="Y57" s="22">
        <f ca="1">+GETPIVOTDATA("XBC4",'bauchinh (2016)'!$A$3,"MA_HT","PNK","MA_QH","SKC")</f>
        <v>0</v>
      </c>
      <c r="Z57" s="22">
        <f ca="1">+GETPIVOTDATA("XBC4",'bauchinh (2016)'!$A$3,"MA_HT","PNK","MA_QH","SKS")</f>
        <v>0</v>
      </c>
      <c r="AA57" s="52">
        <f ca="1" t="shared" si="21"/>
        <v>0</v>
      </c>
      <c r="AB57" s="22">
        <f ca="1">+GETPIVOTDATA("XBC4",'bauchinh (2016)'!$A$3,"MA_HT","PNK","MA_QH","DGT")</f>
        <v>0</v>
      </c>
      <c r="AC57" s="22">
        <f ca="1">+GETPIVOTDATA("XBC4",'bauchinh (2016)'!$A$3,"MA_HT","PNK","MA_QH","DTL")</f>
        <v>0</v>
      </c>
      <c r="AD57" s="22">
        <f ca="1">+GETPIVOTDATA("XBC4",'bauchinh (2016)'!$A$3,"MA_HT","PNK","MA_QH","DNL")</f>
        <v>0</v>
      </c>
      <c r="AE57" s="22">
        <f ca="1">+GETPIVOTDATA("XBC4",'bauchinh (2016)'!$A$3,"MA_HT","PNK","MA_QH","DBV")</f>
        <v>0</v>
      </c>
      <c r="AF57" s="22">
        <f ca="1">+GETPIVOTDATA("XBC4",'bauchinh (2016)'!$A$3,"MA_HT","PNK","MA_QH","DVH")</f>
        <v>0</v>
      </c>
      <c r="AG57" s="22">
        <f ca="1">+GETPIVOTDATA("XBC4",'bauchinh (2016)'!$A$3,"MA_HT","PNK","MA_QH","DYT")</f>
        <v>0</v>
      </c>
      <c r="AH57" s="22">
        <f ca="1">+GETPIVOTDATA("XBC4",'bauchinh (2016)'!$A$3,"MA_HT","PNK","MA_QH","DGD")</f>
        <v>0</v>
      </c>
      <c r="AI57" s="22">
        <f ca="1">+GETPIVOTDATA("XBC4",'bauchinh (2016)'!$A$3,"MA_HT","PNK","MA_QH","DTT")</f>
        <v>0</v>
      </c>
      <c r="AJ57" s="22">
        <f ca="1">+GETPIVOTDATA("XBC4",'bauchinh (2016)'!$A$3,"MA_HT","PNK","MA_QH","NCK")</f>
        <v>0</v>
      </c>
      <c r="AK57" s="22">
        <f ca="1">+GETPIVOTDATA("XBC4",'bauchinh (2016)'!$A$3,"MA_HT","PNK","MA_QH","DXH")</f>
        <v>0</v>
      </c>
      <c r="AL57" s="22">
        <f ca="1">+GETPIVOTDATA("XBC4",'bauchinh (2016)'!$A$3,"MA_HT","PNK","MA_QH","DCH")</f>
        <v>0</v>
      </c>
      <c r="AM57" s="22">
        <f ca="1">+GETPIVOTDATA("XBC4",'bauchinh (2016)'!$A$3,"MA_HT","PNK","MA_QH","DKG")</f>
        <v>0</v>
      </c>
      <c r="AN57" s="22">
        <f ca="1">+GETPIVOTDATA("XBC4",'bauchinh (2016)'!$A$3,"MA_HT","PNK","MA_QH","DDT")</f>
        <v>0</v>
      </c>
      <c r="AO57" s="22">
        <f ca="1">+GETPIVOTDATA("XBC4",'bauchinh (2016)'!$A$3,"MA_HT","PNK","MA_QH","DDL")</f>
        <v>0</v>
      </c>
      <c r="AP57" s="22">
        <f ca="1">+GETPIVOTDATA("XBC4",'bauchinh (2016)'!$A$3,"MA_HT","PNK","MA_QH","DRA")</f>
        <v>0</v>
      </c>
      <c r="AQ57" s="22">
        <f ca="1">+GETPIVOTDATA("XBC4",'bauchinh (2016)'!$A$3,"MA_HT","PNK","MA_QH","ONT")</f>
        <v>0</v>
      </c>
      <c r="AR57" s="22">
        <f ca="1">+GETPIVOTDATA("XBC4",'bauchinh (2016)'!$A$3,"MA_HT","PNK","MA_QH","ODT")</f>
        <v>0</v>
      </c>
      <c r="AS57" s="22">
        <f ca="1">+GETPIVOTDATA("XBC4",'bauchinh (2016)'!$A$3,"MA_HT","PNK","MA_QH","TSC")</f>
        <v>0</v>
      </c>
      <c r="AT57" s="22">
        <f ca="1">+GETPIVOTDATA("XBC4",'bauchinh (2016)'!$A$3,"MA_HT","PNK","MA_QH","DTS")</f>
        <v>0</v>
      </c>
      <c r="AU57" s="22">
        <f ca="1">+GETPIVOTDATA("XBC4",'bauchinh (2016)'!$A$3,"MA_HT","PNK","MA_QH","DNG")</f>
        <v>0</v>
      </c>
      <c r="AV57" s="22">
        <f ca="1">+GETPIVOTDATA("XBC4",'bauchinh (2016)'!$A$3,"MA_HT","PNK","MA_QH","TON")</f>
        <v>0</v>
      </c>
      <c r="AW57" s="22">
        <f ca="1">+GETPIVOTDATA("XBC4",'bauchinh (2016)'!$A$3,"MA_HT","PNK","MA_QH","NTD")</f>
        <v>0</v>
      </c>
      <c r="AX57" s="22">
        <f ca="1">+GETPIVOTDATA("XBC4",'bauchinh (2016)'!$A$3,"MA_HT","PNK","MA_QH","SKX")</f>
        <v>0</v>
      </c>
      <c r="AY57" s="22">
        <f ca="1">+GETPIVOTDATA("XBC4",'bauchinh (2016)'!$A$3,"MA_HT","PNK","MA_QH","DSH")</f>
        <v>0</v>
      </c>
      <c r="AZ57" s="22">
        <f ca="1">+GETPIVOTDATA("XBC4",'bauchinh (2016)'!$A$3,"MA_HT","PNK","MA_QH","DKV")</f>
        <v>0</v>
      </c>
      <c r="BA57" s="89">
        <f ca="1">+GETPIVOTDATA("XBC4",'bauchinh (2016)'!$A$3,"MA_HT","PNK","MA_QH","TIN")</f>
        <v>0</v>
      </c>
      <c r="BB57" s="50">
        <f ca="1">+GETPIVOTDATA("XBC4",'bauchinh (2016)'!$A$3,"MA_HT","PNK","MA_QH","SON")</f>
        <v>0</v>
      </c>
      <c r="BC57" s="50">
        <f ca="1">+GETPIVOTDATA("XBC4",'bauchinh (2016)'!$A$3,"MA_HT","PNK","MA_QH","MNC")</f>
        <v>0</v>
      </c>
      <c r="BD57" s="43" t="e">
        <f ca="1">$D57-$BF57</f>
        <v>#REF!</v>
      </c>
      <c r="BE57" s="71">
        <f ca="1">+GETPIVOTDATA("XBC4",'bauchinh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+GETPIVOTDATA("XBC4",'bauchinh (2016)'!$A$3,"MA_HT","CSD","MA_QH","LUC")</f>
        <v>0</v>
      </c>
      <c r="H58" s="71">
        <f ca="1">+GETPIVOTDATA("XBC4",'bauchinh (2016)'!$A$3,"MA_HT","CSD","MA_QH","LUK")</f>
        <v>0</v>
      </c>
      <c r="I58" s="71">
        <f ca="1">+GETPIVOTDATA("XBC4",'bauchinh (2016)'!$A$3,"MA_HT","CSD","MA_QH","LUN")</f>
        <v>0</v>
      </c>
      <c r="J58" s="71">
        <f ca="1">+GETPIVOTDATA("XBC4",'bauchinh (2016)'!$A$3,"MA_HT","CSD","MA_QH","HNK")</f>
        <v>0</v>
      </c>
      <c r="K58" s="71">
        <f ca="1">+GETPIVOTDATA("XBC4",'bauchinh (2016)'!$A$3,"MA_HT","CSD","MA_QH","CLN")</f>
        <v>0</v>
      </c>
      <c r="L58" s="71">
        <f ca="1">+GETPIVOTDATA("XBC4",'bauchinh (2016)'!$A$3,"MA_HT","CSD","MA_QH","RSX")</f>
        <v>0</v>
      </c>
      <c r="M58" s="71">
        <f ca="1">+GETPIVOTDATA("XBC4",'bauchinh (2016)'!$A$3,"MA_HT","CSD","MA_QH","RPH")</f>
        <v>0</v>
      </c>
      <c r="N58" s="71">
        <f ca="1">+GETPIVOTDATA("XBC4",'bauchinh (2016)'!$A$3,"MA_HT","CSD","MA_QH","RDD")</f>
        <v>0</v>
      </c>
      <c r="O58" s="71">
        <f ca="1">+GETPIVOTDATA("XBC4",'bauchinh (2016)'!$A$3,"MA_HT","CSD","MA_QH","NTS")</f>
        <v>0</v>
      </c>
      <c r="P58" s="71">
        <f ca="1">+GETPIVOTDATA("XBC4",'bauchinh (2016)'!$A$3,"MA_HT","CSD","MA_QH","LMU")</f>
        <v>0</v>
      </c>
      <c r="Q58" s="71">
        <f ca="1">+GETPIVOTDATA("XBC4",'bauchinh (2016)'!$A$3,"MA_HT","CSD","MA_QH","NKH")</f>
        <v>0</v>
      </c>
      <c r="R58" s="79">
        <f ca="1">SUM(S58:AA58,AN58:BD58)</f>
        <v>0</v>
      </c>
      <c r="S58" s="80">
        <f ca="1">+GETPIVOTDATA("XBC4",'bauchinh (2016)'!$A$3,"MA_HT","CSD","MA_QH","CQP")</f>
        <v>0</v>
      </c>
      <c r="T58" s="80">
        <f ca="1">+GETPIVOTDATA("XBC4",'bauchinh (2016)'!$A$3,"MA_HT","CSD","MA_QH","CAN")</f>
        <v>0</v>
      </c>
      <c r="U58" s="71">
        <f ca="1">+GETPIVOTDATA("XBC4",'bauchinh (2016)'!$A$3,"MA_HT","CSD","MA_QH","SKK")</f>
        <v>0</v>
      </c>
      <c r="V58" s="71">
        <f ca="1">+GETPIVOTDATA("XBC4",'bauchinh (2016)'!$A$3,"MA_HT","CSD","MA_QH","SKT")</f>
        <v>0</v>
      </c>
      <c r="W58" s="71">
        <f ca="1">+GETPIVOTDATA("XBC4",'bauchinh (2016)'!$A$3,"MA_HT","CSD","MA_QH","SKN")</f>
        <v>0</v>
      </c>
      <c r="X58" s="71">
        <f ca="1">+GETPIVOTDATA("XBC4",'bauchinh (2016)'!$A$3,"MA_HT","CSD","MA_QH","TMD")</f>
        <v>0</v>
      </c>
      <c r="Y58" s="71">
        <f ca="1">+GETPIVOTDATA("XBC4",'bauchinh (2016)'!$A$3,"MA_HT","CSD","MA_QH","SKC")</f>
        <v>0</v>
      </c>
      <c r="Z58" s="71">
        <f ca="1">+GETPIVOTDATA("XBC4",'bauchinh (2016)'!$A$3,"MA_HT","CSD","MA_QH","SKS")</f>
        <v>0</v>
      </c>
      <c r="AA58" s="52">
        <f ca="1" t="shared" si="21"/>
        <v>0</v>
      </c>
      <c r="AB58" s="80">
        <f ca="1">+GETPIVOTDATA("XBC4",'bauchinh (2016)'!$A$3,"MA_HT","CSD","MA_QH","DGT")</f>
        <v>0</v>
      </c>
      <c r="AC58" s="80">
        <f ca="1">+GETPIVOTDATA("XBC4",'bauchinh (2016)'!$A$3,"MA_HT","CSD","MA_QH","DTL")</f>
        <v>0</v>
      </c>
      <c r="AD58" s="80">
        <f ca="1">+GETPIVOTDATA("XBC4",'bauchinh (2016)'!$A$3,"MA_HT","CSD","MA_QH","DNL")</f>
        <v>0</v>
      </c>
      <c r="AE58" s="80">
        <f ca="1">+GETPIVOTDATA("XBC4",'bauchinh (2016)'!$A$3,"MA_HT","CSD","MA_QH","DBV")</f>
        <v>0</v>
      </c>
      <c r="AF58" s="80">
        <f ca="1">+GETPIVOTDATA("XBC4",'bauchinh (2016)'!$A$3,"MA_HT","CSD","MA_QH","DVH")</f>
        <v>0</v>
      </c>
      <c r="AG58" s="80">
        <f ca="1">+GETPIVOTDATA("XBC4",'bauchinh (2016)'!$A$3,"MA_HT","CSD","MA_QH","DYT")</f>
        <v>0</v>
      </c>
      <c r="AH58" s="80">
        <f ca="1">+GETPIVOTDATA("XBC4",'bauchinh (2016)'!$A$3,"MA_HT","CSD","MA_QH","DGD")</f>
        <v>0</v>
      </c>
      <c r="AI58" s="80">
        <f ca="1">+GETPIVOTDATA("XBC4",'bauchinh (2016)'!$A$3,"MA_HT","CSD","MA_QH","DTT")</f>
        <v>0</v>
      </c>
      <c r="AJ58" s="80">
        <f ca="1">+GETPIVOTDATA("XBC4",'bauchinh (2016)'!$A$3,"MA_HT","CSD","MA_QH","NCK")</f>
        <v>0</v>
      </c>
      <c r="AK58" s="80">
        <f ca="1">+GETPIVOTDATA("XBC4",'bauchinh (2016)'!$A$3,"MA_HT","CSD","MA_QH","DXH")</f>
        <v>0</v>
      </c>
      <c r="AL58" s="80">
        <f ca="1">+GETPIVOTDATA("XBC4",'bauchinh (2016)'!$A$3,"MA_HT","CSD","MA_QH","DCH")</f>
        <v>0</v>
      </c>
      <c r="AM58" s="80">
        <f ca="1">+GETPIVOTDATA("XBC4",'bauchinh (2016)'!$A$3,"MA_HT","CSD","MA_QH","DKG")</f>
        <v>0</v>
      </c>
      <c r="AN58" s="71">
        <f ca="1">+GETPIVOTDATA("XBC4",'bauchinh (2016)'!$A$3,"MA_HT","CSD","MA_QH","DDT")</f>
        <v>0</v>
      </c>
      <c r="AO58" s="71">
        <f ca="1">+GETPIVOTDATA("XBC4",'bauchinh (2016)'!$A$3,"MA_HT","CSD","MA_QH","DDL")</f>
        <v>0</v>
      </c>
      <c r="AP58" s="71">
        <f ca="1">+GETPIVOTDATA("XBC4",'bauchinh (2016)'!$A$3,"MA_HT","CSD","MA_QH","DRA")</f>
        <v>0</v>
      </c>
      <c r="AQ58" s="71">
        <f ca="1">+GETPIVOTDATA("XBC4",'bauchinh (2016)'!$A$3,"MA_HT","CSD","MA_QH","ONT")</f>
        <v>0</v>
      </c>
      <c r="AR58" s="71">
        <f ca="1">+GETPIVOTDATA("XBC4",'bauchinh (2016)'!$A$3,"MA_HT","CSD","MA_QH","ODT")</f>
        <v>0</v>
      </c>
      <c r="AS58" s="71">
        <f ca="1">+GETPIVOTDATA("XBC4",'bauchinh (2016)'!$A$3,"MA_HT","CSD","MA_QH","TSC")</f>
        <v>0</v>
      </c>
      <c r="AT58" s="71">
        <f ca="1">+GETPIVOTDATA("XBC4",'bauchinh (2016)'!$A$3,"MA_HT","CSD","MA_QH","DTS")</f>
        <v>0</v>
      </c>
      <c r="AU58" s="71">
        <f ca="1">+GETPIVOTDATA("XBC4",'bauchinh (2016)'!$A$3,"MA_HT","CSD","MA_QH","DNG")</f>
        <v>0</v>
      </c>
      <c r="AV58" s="71">
        <f ca="1">+GETPIVOTDATA("XBC4",'bauchinh (2016)'!$A$3,"MA_HT","CSD","MA_QH","TON")</f>
        <v>0</v>
      </c>
      <c r="AW58" s="71">
        <f ca="1">+GETPIVOTDATA("XBC4",'bauchinh (2016)'!$A$3,"MA_HT","CSD","MA_QH","NTD")</f>
        <v>0</v>
      </c>
      <c r="AX58" s="71">
        <f ca="1">+GETPIVOTDATA("XBC4",'bauchinh (2016)'!$A$3,"MA_HT","CSD","MA_QH","SKX")</f>
        <v>0</v>
      </c>
      <c r="AY58" s="71">
        <f ca="1">+GETPIVOTDATA("XBC4",'bauchinh (2016)'!$A$3,"MA_HT","CSD","MA_QH","DSH")</f>
        <v>0</v>
      </c>
      <c r="AZ58" s="71">
        <f ca="1">+GETPIVOTDATA("XBC4",'bauchinh (2016)'!$A$3,"MA_HT","CSD","MA_QH","DKV")</f>
        <v>0</v>
      </c>
      <c r="BA58" s="89">
        <f ca="1">+GETPIVOTDATA("XBC4",'bauchinh (2016)'!$A$3,"MA_HT","CSD","MA_QH","TIN")</f>
        <v>0</v>
      </c>
      <c r="BB58" s="80">
        <f ca="1">+GETPIVOTDATA("XBC4",'bauchinh (2016)'!$A$3,"MA_HT","CSD","MA_QH","SON")</f>
        <v>0</v>
      </c>
      <c r="BC58" s="80">
        <f ca="1">+GETPIVOTDATA("XBC4",'bauchinh (2016)'!$A$3,"MA_HT","CSD","MA_QH","MNC")</f>
        <v>0</v>
      </c>
      <c r="BD58" s="71">
        <f ca="1">+GETPIVOTDATA("XBC4",'bauchinh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1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+GETPIVOTDATA("XBB4",'binhba (2016)'!$A$3,"MA_HT","LUC","MA_QH","LUK")</f>
        <v>0</v>
      </c>
      <c r="I8" s="50">
        <f ca="1">+GETPIVOTDATA("XBB4",'binhba (2016)'!$A$3,"MA_HT","LUC","MA_QH","LUN")</f>
        <v>0</v>
      </c>
      <c r="J8" s="50">
        <f ca="1">+GETPIVOTDATA("XBB4",'binhba (2016)'!$A$3,"MA_HT","LUC","MA_QH","HNK")</f>
        <v>0</v>
      </c>
      <c r="K8" s="50">
        <f ca="1">+GETPIVOTDATA("XBB4",'binhba (2016)'!$A$3,"MA_HT","LUC","MA_QH","CLN")</f>
        <v>0</v>
      </c>
      <c r="L8" s="50">
        <f ca="1">+GETPIVOTDATA("XBB4",'binhba (2016)'!$A$3,"MA_HT","LUC","MA_QH","RSX")</f>
        <v>0</v>
      </c>
      <c r="M8" s="50">
        <f ca="1">+GETPIVOTDATA("XBB4",'binhba (2016)'!$A$3,"MA_HT","LUC","MA_QH","RPH")</f>
        <v>0</v>
      </c>
      <c r="N8" s="50">
        <f ca="1">+GETPIVOTDATA("XBB4",'binhba (2016)'!$A$3,"MA_HT","LUC","MA_QH","RDD")</f>
        <v>0</v>
      </c>
      <c r="O8" s="50">
        <f ca="1">+GETPIVOTDATA("XBB4",'binhba (2016)'!$A$3,"MA_HT","LUC","MA_QH","NTS")</f>
        <v>0</v>
      </c>
      <c r="P8" s="50">
        <f ca="1">+GETPIVOTDATA("XBB4",'binhba (2016)'!$A$3,"MA_HT","LUC","MA_QH","LMU")</f>
        <v>0</v>
      </c>
      <c r="Q8" s="50">
        <f ca="1">+GETPIVOTDATA("XBB4",'binhba (2016)'!$A$3,"MA_HT","LUC","MA_QH","NKH")</f>
        <v>0</v>
      </c>
      <c r="R8" s="48">
        <f ca="1" t="shared" si="2"/>
        <v>0</v>
      </c>
      <c r="S8" s="50">
        <f ca="1">+GETPIVOTDATA("XBB4",'binhba (2016)'!$A$3,"MA_HT","LUC","MA_QH","CQP")</f>
        <v>0</v>
      </c>
      <c r="T8" s="50">
        <f ca="1">+GETPIVOTDATA("XBB4",'binhba (2016)'!$A$3,"MA_HT","LUC","MA_QH","CAN")</f>
        <v>0</v>
      </c>
      <c r="U8" s="50">
        <f ca="1">+GETPIVOTDATA("XBB4",'binhba (2016)'!$A$3,"MA_HT","LUC","MA_QH","SKK")</f>
        <v>0</v>
      </c>
      <c r="V8" s="50">
        <f ca="1">+GETPIVOTDATA("XBB4",'binhba (2016)'!$A$3,"MA_HT","LUC","MA_QH","SKT")</f>
        <v>0</v>
      </c>
      <c r="W8" s="50">
        <f ca="1">+GETPIVOTDATA("XBB4",'binhba (2016)'!$A$3,"MA_HT","LUC","MA_QH","SKN")</f>
        <v>0</v>
      </c>
      <c r="X8" s="50">
        <f ca="1">+GETPIVOTDATA("XBB4",'binhba (2016)'!$A$3,"MA_HT","LUC","MA_QH","TMD")</f>
        <v>0</v>
      </c>
      <c r="Y8" s="50">
        <f ca="1">+GETPIVOTDATA("XBB4",'binhba (2016)'!$A$3,"MA_HT","LUC","MA_QH","SKC")</f>
        <v>0</v>
      </c>
      <c r="Z8" s="50">
        <f ca="1">+GETPIVOTDATA("XBB4",'binhba (2016)'!$A$3,"MA_HT","LUC","MA_QH","SKS")</f>
        <v>0</v>
      </c>
      <c r="AA8" s="52">
        <f ca="1" t="shared" si="4"/>
        <v>0</v>
      </c>
      <c r="AB8" s="50">
        <f ca="1">+GETPIVOTDATA("XBB4",'binhba (2016)'!$A$3,"MA_HT","LUC","MA_QH","DGT")</f>
        <v>0</v>
      </c>
      <c r="AC8" s="50">
        <f ca="1">+GETPIVOTDATA("XBB4",'binhba (2016)'!$A$3,"MA_HT","LUC","MA_QH","DTL")</f>
        <v>0</v>
      </c>
      <c r="AD8" s="50">
        <f ca="1">+GETPIVOTDATA("XBB4",'binhba (2016)'!$A$3,"MA_HT","LUC","MA_QH","DNL")</f>
        <v>0</v>
      </c>
      <c r="AE8" s="50">
        <f ca="1">+GETPIVOTDATA("XBB4",'binhba (2016)'!$A$3,"MA_HT","LUC","MA_QH","DBV")</f>
        <v>0</v>
      </c>
      <c r="AF8" s="50">
        <f ca="1">+GETPIVOTDATA("XBB4",'binhba (2016)'!$A$3,"MA_HT","LUC","MA_QH","DVH")</f>
        <v>0</v>
      </c>
      <c r="AG8" s="50">
        <f ca="1">+GETPIVOTDATA("XBB4",'binhba (2016)'!$A$3,"MA_HT","LUC","MA_QH","DYT")</f>
        <v>0</v>
      </c>
      <c r="AH8" s="50">
        <f ca="1">+GETPIVOTDATA("XBB4",'binhba (2016)'!$A$3,"MA_HT","LUC","MA_QH","DGD")</f>
        <v>0</v>
      </c>
      <c r="AI8" s="50">
        <f ca="1">+GETPIVOTDATA("XBB4",'binhba (2016)'!$A$3,"MA_HT","LUC","MA_QH","DTT")</f>
        <v>0</v>
      </c>
      <c r="AJ8" s="50">
        <f ca="1">+GETPIVOTDATA("XBB4",'binhba (2016)'!$A$3,"MA_HT","LUC","MA_QH","NCK")</f>
        <v>0</v>
      </c>
      <c r="AK8" s="50">
        <f ca="1">+GETPIVOTDATA("XBB4",'binhba (2016)'!$A$3,"MA_HT","LUC","MA_QH","DXH")</f>
        <v>0</v>
      </c>
      <c r="AL8" s="50">
        <f ca="1">+GETPIVOTDATA("XBB4",'binhba (2016)'!$A$3,"MA_HT","LUC","MA_QH","DCH")</f>
        <v>0</v>
      </c>
      <c r="AM8" s="50">
        <f ca="1">+GETPIVOTDATA("XBB4",'binhba (2016)'!$A$3,"MA_HT","LUC","MA_QH","DKG")</f>
        <v>0</v>
      </c>
      <c r="AN8" s="50">
        <f ca="1">+GETPIVOTDATA("XBB4",'binhba (2016)'!$A$3,"MA_HT","LUC","MA_QH","DDT")</f>
        <v>0</v>
      </c>
      <c r="AO8" s="50">
        <f ca="1">+GETPIVOTDATA("XBB4",'binhba (2016)'!$A$3,"MA_HT","LUC","MA_QH","DDL")</f>
        <v>0</v>
      </c>
      <c r="AP8" s="50">
        <f ca="1">+GETPIVOTDATA("XBB4",'binhba (2016)'!$A$3,"MA_HT","LUC","MA_QH","DRA")</f>
        <v>0</v>
      </c>
      <c r="AQ8" s="50">
        <f ca="1">+GETPIVOTDATA("XBB4",'binhba (2016)'!$A$3,"MA_HT","LUC","MA_QH","ONT")</f>
        <v>0</v>
      </c>
      <c r="AR8" s="50">
        <f ca="1">+GETPIVOTDATA("XBB4",'binhba (2016)'!$A$3,"MA_HT","LUC","MA_QH","ODT")</f>
        <v>0</v>
      </c>
      <c r="AS8" s="50">
        <f ca="1">+GETPIVOTDATA("XBB4",'binhba (2016)'!$A$3,"MA_HT","LUC","MA_QH","TSC")</f>
        <v>0</v>
      </c>
      <c r="AT8" s="50">
        <f ca="1">+GETPIVOTDATA("XBB4",'binhba (2016)'!$A$3,"MA_HT","LUC","MA_QH","DTS")</f>
        <v>0</v>
      </c>
      <c r="AU8" s="50">
        <f ca="1">+GETPIVOTDATA("XBB4",'binhba (2016)'!$A$3,"MA_HT","LUC","MA_QH","DNG")</f>
        <v>0</v>
      </c>
      <c r="AV8" s="50">
        <f ca="1">+GETPIVOTDATA("XBB4",'binhba (2016)'!$A$3,"MA_HT","LUC","MA_QH","TON")</f>
        <v>0</v>
      </c>
      <c r="AW8" s="50">
        <f ca="1">+GETPIVOTDATA("XBB4",'binhba (2016)'!$A$3,"MA_HT","LUC","MA_QH","NTD")</f>
        <v>0</v>
      </c>
      <c r="AX8" s="50">
        <f ca="1">+GETPIVOTDATA("XBB4",'binhba (2016)'!$A$3,"MA_HT","LUC","MA_QH","SKX")</f>
        <v>0</v>
      </c>
      <c r="AY8" s="50">
        <f ca="1">+GETPIVOTDATA("XBB4",'binhba (2016)'!$A$3,"MA_HT","LUC","MA_QH","DSH")</f>
        <v>0</v>
      </c>
      <c r="AZ8" s="50">
        <f ca="1">+GETPIVOTDATA("XBB4",'binhba (2016)'!$A$3,"MA_HT","LUC","MA_QH","DKV")</f>
        <v>0</v>
      </c>
      <c r="BA8" s="88">
        <f ca="1">+GETPIVOTDATA("XBB4",'binhba (2016)'!$A$3,"MA_HT","LUC","MA_QH","TIN")</f>
        <v>0</v>
      </c>
      <c r="BB8" s="50">
        <f ca="1">+GETPIVOTDATA("XBB4",'binhba (2016)'!$A$3,"MA_HT","LUC","MA_QH","SON")</f>
        <v>0</v>
      </c>
      <c r="BC8" s="50">
        <f ca="1">+GETPIVOTDATA("XBB4",'binhba (2016)'!$A$3,"MA_HT","LUC","MA_QH","MNC")</f>
        <v>0</v>
      </c>
      <c r="BD8" s="50">
        <f ca="1">+GETPIVOTDATA("XBB4",'binhba (2016)'!$A$3,"MA_HT","LUC","MA_QH","PNK")</f>
        <v>0</v>
      </c>
      <c r="BE8" s="80">
        <f ca="1">+GETPIVOTDATA("XBB4",'binhba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+GETPIVOTDATA("XBB4",'binhba (2016)'!$A$3,"MA_HT","LUK","MA_QH","LUC")</f>
        <v>0</v>
      </c>
      <c r="H9" s="49" t="e">
        <f ca="1">$D9-$BF9</f>
        <v>#REF!</v>
      </c>
      <c r="I9" s="50">
        <f ca="1">+GETPIVOTDATA("XBB4",'binhba (2016)'!$A$3,"MA_HT","LUK","MA_QH","LUN")</f>
        <v>0</v>
      </c>
      <c r="J9" s="50">
        <f ca="1">+GETPIVOTDATA("XBB4",'binhba (2016)'!$A$3,"MA_HT","LUK","MA_QH","HNK")</f>
        <v>0</v>
      </c>
      <c r="K9" s="50">
        <f ca="1">+GETPIVOTDATA("XBB4",'binhba (2016)'!$A$3,"MA_HT","LUK","MA_QH","CLN")</f>
        <v>0</v>
      </c>
      <c r="L9" s="50">
        <f ca="1">+GETPIVOTDATA("XBB4",'binhba (2016)'!$A$3,"MA_HT","LUK","MA_QH","RSX")</f>
        <v>0</v>
      </c>
      <c r="M9" s="50">
        <f ca="1">+GETPIVOTDATA("XBB4",'binhba (2016)'!$A$3,"MA_HT","LUK","MA_QH","RPH")</f>
        <v>0</v>
      </c>
      <c r="N9" s="50">
        <f ca="1">+GETPIVOTDATA("XBB4",'binhba (2016)'!$A$3,"MA_HT","LUK","MA_QH","RDD")</f>
        <v>0</v>
      </c>
      <c r="O9" s="50">
        <f ca="1">+GETPIVOTDATA("XBB4",'binhba (2016)'!$A$3,"MA_HT","LUK","MA_QH","NTS")</f>
        <v>0</v>
      </c>
      <c r="P9" s="50">
        <f ca="1">+GETPIVOTDATA("XBB4",'binhba (2016)'!$A$3,"MA_HT","LUK","MA_QH","LMU")</f>
        <v>0</v>
      </c>
      <c r="Q9" s="50">
        <f ca="1">+GETPIVOTDATA("XBB4",'binhba (2016)'!$A$3,"MA_HT","LUK","MA_QH","NKH")</f>
        <v>0</v>
      </c>
      <c r="R9" s="48">
        <f ca="1" t="shared" si="2"/>
        <v>0</v>
      </c>
      <c r="S9" s="50">
        <f ca="1">+GETPIVOTDATA("XBB4",'binhba (2016)'!$A$3,"MA_HT","LUK","MA_QH","CQP")</f>
        <v>0</v>
      </c>
      <c r="T9" s="50">
        <f ca="1">+GETPIVOTDATA("XBB4",'binhba (2016)'!$A$3,"MA_HT","LUK","MA_QH","CAN")</f>
        <v>0</v>
      </c>
      <c r="U9" s="50">
        <f ca="1">+GETPIVOTDATA("XBB4",'binhba (2016)'!$A$3,"MA_HT","LUK","MA_QH","SKK")</f>
        <v>0</v>
      </c>
      <c r="V9" s="50">
        <f ca="1">+GETPIVOTDATA("XBB4",'binhba (2016)'!$A$3,"MA_HT","LUK","MA_QH","SKT")</f>
        <v>0</v>
      </c>
      <c r="W9" s="50">
        <f ca="1">+GETPIVOTDATA("XBB4",'binhba (2016)'!$A$3,"MA_HT","LUK","MA_QH","SKN")</f>
        <v>0</v>
      </c>
      <c r="X9" s="50">
        <f ca="1">+GETPIVOTDATA("XBB4",'binhba (2016)'!$A$3,"MA_HT","LUK","MA_QH","TMD")</f>
        <v>0</v>
      </c>
      <c r="Y9" s="50">
        <f ca="1">+GETPIVOTDATA("XBB4",'binhba (2016)'!$A$3,"MA_HT","LUK","MA_QH","SKC")</f>
        <v>0</v>
      </c>
      <c r="Z9" s="50">
        <f ca="1">+GETPIVOTDATA("XBB4",'binhba (2016)'!$A$3,"MA_HT","LUK","MA_QH","SKS")</f>
        <v>0</v>
      </c>
      <c r="AA9" s="52">
        <f ca="1" t="shared" si="4"/>
        <v>0</v>
      </c>
      <c r="AB9" s="50">
        <f ca="1">+GETPIVOTDATA("XBB4",'binhba (2016)'!$A$3,"MA_HT","LUK","MA_QH","DGT")</f>
        <v>0</v>
      </c>
      <c r="AC9" s="50">
        <f ca="1">+GETPIVOTDATA("XBB4",'binhba (2016)'!$A$3,"MA_HT","LUK","MA_QH","DTL")</f>
        <v>0</v>
      </c>
      <c r="AD9" s="50">
        <f ca="1">+GETPIVOTDATA("XBB4",'binhba (2016)'!$A$3,"MA_HT","LUK","MA_QH","DNL")</f>
        <v>0</v>
      </c>
      <c r="AE9" s="50">
        <f ca="1">+GETPIVOTDATA("XBB4",'binhba (2016)'!$A$3,"MA_HT","LUK","MA_QH","DBV")</f>
        <v>0</v>
      </c>
      <c r="AF9" s="50">
        <f ca="1">+GETPIVOTDATA("XBB4",'binhba (2016)'!$A$3,"MA_HT","LUK","MA_QH","DVH")</f>
        <v>0</v>
      </c>
      <c r="AG9" s="50">
        <f ca="1">+GETPIVOTDATA("XBB4",'binhba (2016)'!$A$3,"MA_HT","LUK","MA_QH","DYT")</f>
        <v>0</v>
      </c>
      <c r="AH9" s="50">
        <f ca="1">+GETPIVOTDATA("XBB4",'binhba (2016)'!$A$3,"MA_HT","LUK","MA_QH","DGD")</f>
        <v>0</v>
      </c>
      <c r="AI9" s="50">
        <f ca="1">+GETPIVOTDATA("XBB4",'binhba (2016)'!$A$3,"MA_HT","LUK","MA_QH","DTT")</f>
        <v>0</v>
      </c>
      <c r="AJ9" s="50">
        <f ca="1">+GETPIVOTDATA("XBB4",'binhba (2016)'!$A$3,"MA_HT","LUK","MA_QH","NCK")</f>
        <v>0</v>
      </c>
      <c r="AK9" s="50">
        <f ca="1">+GETPIVOTDATA("XBB4",'binhba (2016)'!$A$3,"MA_HT","LUK","MA_QH","DXH")</f>
        <v>0</v>
      </c>
      <c r="AL9" s="50">
        <f ca="1">+GETPIVOTDATA("XBB4",'binhba (2016)'!$A$3,"MA_HT","LUK","MA_QH","DCH")</f>
        <v>0</v>
      </c>
      <c r="AM9" s="50">
        <f ca="1">+GETPIVOTDATA("XBB4",'binhba (2016)'!$A$3,"MA_HT","LUK","MA_QH","DKG")</f>
        <v>0</v>
      </c>
      <c r="AN9" s="50">
        <f ca="1">+GETPIVOTDATA("XBB4",'binhba (2016)'!$A$3,"MA_HT","LUK","MA_QH","DDT")</f>
        <v>0</v>
      </c>
      <c r="AO9" s="50">
        <f ca="1">+GETPIVOTDATA("XBB4",'binhba (2016)'!$A$3,"MA_HT","LUK","MA_QH","DDL")</f>
        <v>0</v>
      </c>
      <c r="AP9" s="50">
        <f ca="1">+GETPIVOTDATA("XBB4",'binhba (2016)'!$A$3,"MA_HT","LUK","MA_QH","DRA")</f>
        <v>0</v>
      </c>
      <c r="AQ9" s="50">
        <f ca="1">+GETPIVOTDATA("XBB4",'binhba (2016)'!$A$3,"MA_HT","LUK","MA_QH","ONT")</f>
        <v>0</v>
      </c>
      <c r="AR9" s="50">
        <f ca="1">+GETPIVOTDATA("XBB4",'binhba (2016)'!$A$3,"MA_HT","LUK","MA_QH","ODT")</f>
        <v>0</v>
      </c>
      <c r="AS9" s="50">
        <f ca="1">+GETPIVOTDATA("XBB4",'binhba (2016)'!$A$3,"MA_HT","LUK","MA_QH","TSC")</f>
        <v>0</v>
      </c>
      <c r="AT9" s="50">
        <f ca="1">+GETPIVOTDATA("XBB4",'binhba (2016)'!$A$3,"MA_HT","LUK","MA_QH","DTS")</f>
        <v>0</v>
      </c>
      <c r="AU9" s="50">
        <f ca="1">+GETPIVOTDATA("XBB4",'binhba (2016)'!$A$3,"MA_HT","LUK","MA_QH","DNG")</f>
        <v>0</v>
      </c>
      <c r="AV9" s="50">
        <f ca="1">+GETPIVOTDATA("XBB4",'binhba (2016)'!$A$3,"MA_HT","LUK","MA_QH","TON")</f>
        <v>0</v>
      </c>
      <c r="AW9" s="50">
        <f ca="1">+GETPIVOTDATA("XBB4",'binhba (2016)'!$A$3,"MA_HT","LUK","MA_QH","NTD")</f>
        <v>0</v>
      </c>
      <c r="AX9" s="50">
        <f ca="1">+GETPIVOTDATA("XBB4",'binhba (2016)'!$A$3,"MA_HT","LUK","MA_QH","SKX")</f>
        <v>0</v>
      </c>
      <c r="AY9" s="50">
        <f ca="1">+GETPIVOTDATA("XBB4",'binhba (2016)'!$A$3,"MA_HT","LUK","MA_QH","DSH")</f>
        <v>0</v>
      </c>
      <c r="AZ9" s="50">
        <f ca="1">+GETPIVOTDATA("XBB4",'binhba (2016)'!$A$3,"MA_HT","LUK","MA_QH","DKV")</f>
        <v>0</v>
      </c>
      <c r="BA9" s="88">
        <f ca="1">+GETPIVOTDATA("XBB4",'binhba (2016)'!$A$3,"MA_HT","LUK","MA_QH","TIN")</f>
        <v>0</v>
      </c>
      <c r="BB9" s="50">
        <f ca="1">+GETPIVOTDATA("XBB4",'binhba (2016)'!$A$3,"MA_HT","LUK","MA_QH","SON")</f>
        <v>0</v>
      </c>
      <c r="BC9" s="50">
        <f ca="1">+GETPIVOTDATA("XBB4",'binhba (2016)'!$A$3,"MA_HT","LUK","MA_QH","MNC")</f>
        <v>0</v>
      </c>
      <c r="BD9" s="50">
        <f ca="1">+GETPIVOTDATA("XBB4",'binhba (2016)'!$A$3,"MA_HT","LUK","MA_QH","PNK")</f>
        <v>0</v>
      </c>
      <c r="BE9" s="80">
        <f ca="1">+GETPIVOTDATA("XBB4",'binhba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+GETPIVOTDATA("XBB4",'binhba (2016)'!$A$3,"MA_HT","LUN","MA_QH","LUC")</f>
        <v>0</v>
      </c>
      <c r="H10" s="50">
        <f ca="1">+GETPIVOTDATA("XBB4",'binhba (2016)'!$A$3,"MA_HT","LUN","MA_QH","LUK")</f>
        <v>0</v>
      </c>
      <c r="I10" s="49" t="e">
        <f ca="1">$D10-$BF10</f>
        <v>#REF!</v>
      </c>
      <c r="J10" s="50">
        <f ca="1">+GETPIVOTDATA("XBB4",'binhba (2016)'!$A$3,"MA_HT","LUN","MA_QH","HNK")</f>
        <v>0</v>
      </c>
      <c r="K10" s="50">
        <f ca="1">+GETPIVOTDATA("XBB4",'binhba (2016)'!$A$3,"MA_HT","LUN","MA_QH","CLN")</f>
        <v>0</v>
      </c>
      <c r="L10" s="50">
        <f ca="1">+GETPIVOTDATA("XBB4",'binhba (2016)'!$A$3,"MA_HT","LUN","MA_QH","RSX")</f>
        <v>0</v>
      </c>
      <c r="M10" s="50">
        <f ca="1">+GETPIVOTDATA("XBB4",'binhba (2016)'!$A$3,"MA_HT","LUN","MA_QH","RPH")</f>
        <v>0</v>
      </c>
      <c r="N10" s="50">
        <f ca="1">+GETPIVOTDATA("XBB4",'binhba (2016)'!$A$3,"MA_HT","LUN","MA_QH","RDD")</f>
        <v>0</v>
      </c>
      <c r="O10" s="50">
        <f ca="1">+GETPIVOTDATA("XBB4",'binhba (2016)'!$A$3,"MA_HT","LUN","MA_QH","NTS")</f>
        <v>0</v>
      </c>
      <c r="P10" s="50">
        <f ca="1">+GETPIVOTDATA("XBB4",'binhba (2016)'!$A$3,"MA_HT","LUN","MA_QH","LMU")</f>
        <v>0</v>
      </c>
      <c r="Q10" s="50">
        <f ca="1">+GETPIVOTDATA("XBB4",'binhba (2016)'!$A$3,"MA_HT","LUN","MA_QH","NKH")</f>
        <v>0</v>
      </c>
      <c r="R10" s="48">
        <f ca="1" t="shared" si="2"/>
        <v>0</v>
      </c>
      <c r="S10" s="50">
        <f ca="1">+GETPIVOTDATA("XBB4",'binhba (2016)'!$A$3,"MA_HT","LUN","MA_QH","CQP")</f>
        <v>0</v>
      </c>
      <c r="T10" s="50">
        <f ca="1">+GETPIVOTDATA("XBB4",'binhba (2016)'!$A$3,"MA_HT","LUN","MA_QH","CAN")</f>
        <v>0</v>
      </c>
      <c r="U10" s="50">
        <f ca="1">+GETPIVOTDATA("XBB4",'binhba (2016)'!$A$3,"MA_HT","LUN","MA_QH","SKK")</f>
        <v>0</v>
      </c>
      <c r="V10" s="50">
        <f ca="1">+GETPIVOTDATA("XBB4",'binhba (2016)'!$A$3,"MA_HT","LUN","MA_QH","SKT")</f>
        <v>0</v>
      </c>
      <c r="W10" s="50">
        <f ca="1">+GETPIVOTDATA("XBB4",'binhba (2016)'!$A$3,"MA_HT","LUN","MA_QH","SKN")</f>
        <v>0</v>
      </c>
      <c r="X10" s="50">
        <f ca="1">+GETPIVOTDATA("XBB4",'binhba (2016)'!$A$3,"MA_HT","LUN","MA_QH","TMD")</f>
        <v>0</v>
      </c>
      <c r="Y10" s="50">
        <f ca="1">+GETPIVOTDATA("XBB4",'binhba (2016)'!$A$3,"MA_HT","LUN","MA_QH","SKC")</f>
        <v>0</v>
      </c>
      <c r="Z10" s="50">
        <f ca="1">+GETPIVOTDATA("XBB4",'binhba (2016)'!$A$3,"MA_HT","LUN","MA_QH","SKS")</f>
        <v>0</v>
      </c>
      <c r="AA10" s="52">
        <f ca="1" t="shared" si="4"/>
        <v>0</v>
      </c>
      <c r="AB10" s="50">
        <f ca="1">+GETPIVOTDATA("XBB4",'binhba (2016)'!$A$3,"MA_HT","LUN","MA_QH","DGT")</f>
        <v>0</v>
      </c>
      <c r="AC10" s="50">
        <f ca="1">+GETPIVOTDATA("XBB4",'binhba (2016)'!$A$3,"MA_HT","LUN","MA_QH","DTL")</f>
        <v>0</v>
      </c>
      <c r="AD10" s="50">
        <f ca="1">+GETPIVOTDATA("XBB4",'binhba (2016)'!$A$3,"MA_HT","LUN","MA_QH","DNL")</f>
        <v>0</v>
      </c>
      <c r="AE10" s="50">
        <f ca="1">+GETPIVOTDATA("XBB4",'binhba (2016)'!$A$3,"MA_HT","LUN","MA_QH","DBV")</f>
        <v>0</v>
      </c>
      <c r="AF10" s="50">
        <f ca="1">+GETPIVOTDATA("XBB4",'binhba (2016)'!$A$3,"MA_HT","LUN","MA_QH","DVH")</f>
        <v>0</v>
      </c>
      <c r="AG10" s="50">
        <f ca="1">+GETPIVOTDATA("XBB4",'binhba (2016)'!$A$3,"MA_HT","LUN","MA_QH","DYT")</f>
        <v>0</v>
      </c>
      <c r="AH10" s="50">
        <f ca="1">+GETPIVOTDATA("XBB4",'binhba (2016)'!$A$3,"MA_HT","LUN","MA_QH","DGD")</f>
        <v>0</v>
      </c>
      <c r="AI10" s="50">
        <f ca="1">+GETPIVOTDATA("XBB4",'binhba (2016)'!$A$3,"MA_HT","LUN","MA_QH","DTT")</f>
        <v>0</v>
      </c>
      <c r="AJ10" s="50">
        <f ca="1">+GETPIVOTDATA("XBB4",'binhba (2016)'!$A$3,"MA_HT","LUN","MA_QH","NCK")</f>
        <v>0</v>
      </c>
      <c r="AK10" s="50">
        <f ca="1">+GETPIVOTDATA("XBB4",'binhba (2016)'!$A$3,"MA_HT","LUN","MA_QH","DXH")</f>
        <v>0</v>
      </c>
      <c r="AL10" s="50">
        <f ca="1">+GETPIVOTDATA("XBB4",'binhba (2016)'!$A$3,"MA_HT","LUN","MA_QH","DCH")</f>
        <v>0</v>
      </c>
      <c r="AM10" s="50">
        <f ca="1">+GETPIVOTDATA("XBB4",'binhba (2016)'!$A$3,"MA_HT","LUN","MA_QH","DKG")</f>
        <v>0</v>
      </c>
      <c r="AN10" s="50">
        <f ca="1">+GETPIVOTDATA("XBB4",'binhba (2016)'!$A$3,"MA_HT","LUN","MA_QH","DDT")</f>
        <v>0</v>
      </c>
      <c r="AO10" s="50">
        <f ca="1">+GETPIVOTDATA("XBB4",'binhba (2016)'!$A$3,"MA_HT","LUN","MA_QH","DDL")</f>
        <v>0</v>
      </c>
      <c r="AP10" s="50">
        <f ca="1">+GETPIVOTDATA("XBB4",'binhba (2016)'!$A$3,"MA_HT","LUN","MA_QH","DRA")</f>
        <v>0</v>
      </c>
      <c r="AQ10" s="50">
        <f ca="1">+GETPIVOTDATA("XBB4",'binhba (2016)'!$A$3,"MA_HT","LUN","MA_QH","ONT")</f>
        <v>0</v>
      </c>
      <c r="AR10" s="50">
        <f ca="1">+GETPIVOTDATA("XBB4",'binhba (2016)'!$A$3,"MA_HT","LUN","MA_QH","ODT")</f>
        <v>0</v>
      </c>
      <c r="AS10" s="50">
        <f ca="1">+GETPIVOTDATA("XBB4",'binhba (2016)'!$A$3,"MA_HT","LUN","MA_QH","TSC")</f>
        <v>0</v>
      </c>
      <c r="AT10" s="50">
        <f ca="1">+GETPIVOTDATA("XBB4",'binhba (2016)'!$A$3,"MA_HT","LUN","MA_QH","DTS")</f>
        <v>0</v>
      </c>
      <c r="AU10" s="50">
        <f ca="1">+GETPIVOTDATA("XBB4",'binhba (2016)'!$A$3,"MA_HT","LUN","MA_QH","DNG")</f>
        <v>0</v>
      </c>
      <c r="AV10" s="50">
        <f ca="1">+GETPIVOTDATA("XBB4",'binhba (2016)'!$A$3,"MA_HT","LUN","MA_QH","TON")</f>
        <v>0</v>
      </c>
      <c r="AW10" s="50">
        <f ca="1">+GETPIVOTDATA("XBB4",'binhba (2016)'!$A$3,"MA_HT","LUN","MA_QH","NTD")</f>
        <v>0</v>
      </c>
      <c r="AX10" s="50">
        <f ca="1">+GETPIVOTDATA("XBB4",'binhba (2016)'!$A$3,"MA_HT","LUN","MA_QH","SKX")</f>
        <v>0</v>
      </c>
      <c r="AY10" s="50">
        <f ca="1">+GETPIVOTDATA("XBB4",'binhba (2016)'!$A$3,"MA_HT","LUN","MA_QH","DSH")</f>
        <v>0</v>
      </c>
      <c r="AZ10" s="50">
        <f ca="1">+GETPIVOTDATA("XBB4",'binhba (2016)'!$A$3,"MA_HT","LUN","MA_QH","DKV")</f>
        <v>0</v>
      </c>
      <c r="BA10" s="88">
        <f ca="1">+GETPIVOTDATA("XBB4",'binhba (2016)'!$A$3,"MA_HT","LUN","MA_QH","TIN")</f>
        <v>0</v>
      </c>
      <c r="BB10" s="50">
        <f ca="1">+GETPIVOTDATA("XBB4",'binhba (2016)'!$A$3,"MA_HT","LUN","MA_QH","SON")</f>
        <v>0</v>
      </c>
      <c r="BC10" s="50">
        <f ca="1">+GETPIVOTDATA("XBB4",'binhba (2016)'!$A$3,"MA_HT","LUN","MA_QH","MNC")</f>
        <v>0</v>
      </c>
      <c r="BD10" s="50">
        <f ca="1">+GETPIVOTDATA("XBB4",'binhba (2016)'!$A$3,"MA_HT","LUN","MA_QH","PNK")</f>
        <v>0</v>
      </c>
      <c r="BE10" s="80">
        <f ca="1">+GETPIVOTDATA("XBB4",'binhba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+GETPIVOTDATA("XBB4",'binhba (2016)'!$A$3,"MA_HT","HNK","MA_QH","LUC")</f>
        <v>0</v>
      </c>
      <c r="H11" s="22">
        <f ca="1">+GETPIVOTDATA("XBB4",'binhba (2016)'!$A$3,"MA_HT","HNK","MA_QH","LUK")</f>
        <v>0</v>
      </c>
      <c r="I11" s="22">
        <f ca="1">+GETPIVOTDATA("XBB4",'binhba (2016)'!$A$3,"MA_HT","HNK","MA_QH","LUN")</f>
        <v>0</v>
      </c>
      <c r="J11" s="43" t="e">
        <f ca="1">$D11-$BF11</f>
        <v>#REF!</v>
      </c>
      <c r="K11" s="22">
        <f ca="1">+GETPIVOTDATA("XBB4",'binhba (2016)'!$A$3,"MA_HT","HNK","MA_QH","CLN")</f>
        <v>0</v>
      </c>
      <c r="L11" s="22">
        <f ca="1">+GETPIVOTDATA("XBB4",'binhba (2016)'!$A$3,"MA_HT","HNK","MA_QH","RSX")</f>
        <v>0</v>
      </c>
      <c r="M11" s="22">
        <f ca="1">+GETPIVOTDATA("XBB4",'binhba (2016)'!$A$3,"MA_HT","HNK","MA_QH","RPH")</f>
        <v>0</v>
      </c>
      <c r="N11" s="22">
        <f ca="1">+GETPIVOTDATA("XBB4",'binhba (2016)'!$A$3,"MA_HT","HNK","MA_QH","RDD")</f>
        <v>0</v>
      </c>
      <c r="O11" s="22">
        <f ca="1">+GETPIVOTDATA("XBB4",'binhba (2016)'!$A$3,"MA_HT","HNK","MA_QH","NTS")</f>
        <v>0</v>
      </c>
      <c r="P11" s="22">
        <f ca="1">+GETPIVOTDATA("XBB4",'binhba (2016)'!$A$3,"MA_HT","HNK","MA_QH","LMU")</f>
        <v>0</v>
      </c>
      <c r="Q11" s="22">
        <f ca="1">+GETPIVOTDATA("XBB4",'binhba (2016)'!$A$3,"MA_HT","HNK","MA_QH","NKH")</f>
        <v>0</v>
      </c>
      <c r="R11" s="42">
        <f ca="1" t="shared" si="2"/>
        <v>0</v>
      </c>
      <c r="S11" s="22">
        <f ca="1">+GETPIVOTDATA("XBB4",'binhba (2016)'!$A$3,"MA_HT","HNK","MA_QH","CQP")</f>
        <v>0</v>
      </c>
      <c r="T11" s="22">
        <f ca="1">+GETPIVOTDATA("XBB4",'binhba (2016)'!$A$3,"MA_HT","HNK","MA_QH","CAN")</f>
        <v>0</v>
      </c>
      <c r="U11" s="22">
        <f ca="1">+GETPIVOTDATA("XBB4",'binhba (2016)'!$A$3,"MA_HT","HNK","MA_QH","SKK")</f>
        <v>0</v>
      </c>
      <c r="V11" s="22">
        <f ca="1">+GETPIVOTDATA("XBB4",'binhba (2016)'!$A$3,"MA_HT","HNK","MA_QH","SKT")</f>
        <v>0</v>
      </c>
      <c r="W11" s="22">
        <f ca="1">+GETPIVOTDATA("XBB4",'binhba (2016)'!$A$3,"MA_HT","HNK","MA_QH","SKN")</f>
        <v>0</v>
      </c>
      <c r="X11" s="22">
        <f ca="1">+GETPIVOTDATA("XBB4",'binhba (2016)'!$A$3,"MA_HT","HNK","MA_QH","TMD")</f>
        <v>0</v>
      </c>
      <c r="Y11" s="22">
        <f ca="1">+GETPIVOTDATA("XBB4",'binhba (2016)'!$A$3,"MA_HT","HNK","MA_QH","SKC")</f>
        <v>0</v>
      </c>
      <c r="Z11" s="22">
        <f ca="1">+GETPIVOTDATA("XBB4",'binhba (2016)'!$A$3,"MA_HT","HNK","MA_QH","SKS")</f>
        <v>0</v>
      </c>
      <c r="AA11" s="52">
        <f ca="1" t="shared" si="4"/>
        <v>0</v>
      </c>
      <c r="AB11" s="22">
        <f ca="1">+GETPIVOTDATA("XBB4",'binhba (2016)'!$A$3,"MA_HT","HNK","MA_QH","DGT")</f>
        <v>0</v>
      </c>
      <c r="AC11" s="22">
        <f ca="1">+GETPIVOTDATA("XBB4",'binhba (2016)'!$A$3,"MA_HT","HNK","MA_QH","DTL")</f>
        <v>0</v>
      </c>
      <c r="AD11" s="22">
        <f ca="1">+GETPIVOTDATA("XBB4",'binhba (2016)'!$A$3,"MA_HT","HNK","MA_QH","DNL")</f>
        <v>0</v>
      </c>
      <c r="AE11" s="22">
        <f ca="1">+GETPIVOTDATA("XBB4",'binhba (2016)'!$A$3,"MA_HT","HNK","MA_QH","DBV")</f>
        <v>0</v>
      </c>
      <c r="AF11" s="22">
        <f ca="1">+GETPIVOTDATA("XBB4",'binhba (2016)'!$A$3,"MA_HT","HNK","MA_QH","DVH")</f>
        <v>0</v>
      </c>
      <c r="AG11" s="22">
        <f ca="1">+GETPIVOTDATA("XBB4",'binhba (2016)'!$A$3,"MA_HT","HNK","MA_QH","DYT")</f>
        <v>0</v>
      </c>
      <c r="AH11" s="22">
        <f ca="1">+GETPIVOTDATA("XBB4",'binhba (2016)'!$A$3,"MA_HT","HNK","MA_QH","DGD")</f>
        <v>0</v>
      </c>
      <c r="AI11" s="22">
        <f ca="1">+GETPIVOTDATA("XBB4",'binhba (2016)'!$A$3,"MA_HT","HNK","MA_QH","DTT")</f>
        <v>0</v>
      </c>
      <c r="AJ11" s="22">
        <f ca="1">+GETPIVOTDATA("XBB4",'binhba (2016)'!$A$3,"MA_HT","HNK","MA_QH","NCK")</f>
        <v>0</v>
      </c>
      <c r="AK11" s="22">
        <f ca="1">+GETPIVOTDATA("XBB4",'binhba (2016)'!$A$3,"MA_HT","HNK","MA_QH","DXH")</f>
        <v>0</v>
      </c>
      <c r="AL11" s="22">
        <f ca="1">+GETPIVOTDATA("XBB4",'binhba (2016)'!$A$3,"MA_HT","HNK","MA_QH","DCH")</f>
        <v>0</v>
      </c>
      <c r="AM11" s="22">
        <f ca="1">+GETPIVOTDATA("XBB4",'binhba (2016)'!$A$3,"MA_HT","HNK","MA_QH","DKG")</f>
        <v>0</v>
      </c>
      <c r="AN11" s="22">
        <f ca="1">+GETPIVOTDATA("XBB4",'binhba (2016)'!$A$3,"MA_HT","HNK","MA_QH","DDT")</f>
        <v>0</v>
      </c>
      <c r="AO11" s="22">
        <f ca="1">+GETPIVOTDATA("XBB4",'binhba (2016)'!$A$3,"MA_HT","HNK","MA_QH","DDL")</f>
        <v>0</v>
      </c>
      <c r="AP11" s="22">
        <f ca="1">+GETPIVOTDATA("XBB4",'binhba (2016)'!$A$3,"MA_HT","HNK","MA_QH","DRA")</f>
        <v>0</v>
      </c>
      <c r="AQ11" s="22">
        <f ca="1">+GETPIVOTDATA("XBB4",'binhba (2016)'!$A$3,"MA_HT","HNK","MA_QH","ONT")</f>
        <v>0</v>
      </c>
      <c r="AR11" s="22">
        <f ca="1">+GETPIVOTDATA("XBB4",'binhba (2016)'!$A$3,"MA_HT","HNK","MA_QH","ODT")</f>
        <v>0</v>
      </c>
      <c r="AS11" s="22">
        <f ca="1">+GETPIVOTDATA("XBB4",'binhba (2016)'!$A$3,"MA_HT","HNK","MA_QH","TSC")</f>
        <v>0</v>
      </c>
      <c r="AT11" s="22">
        <f ca="1">+GETPIVOTDATA("XBB4",'binhba (2016)'!$A$3,"MA_HT","HNK","MA_QH","DTS")</f>
        <v>0</v>
      </c>
      <c r="AU11" s="22">
        <f ca="1">+GETPIVOTDATA("XBB4",'binhba (2016)'!$A$3,"MA_HT","HNK","MA_QH","DNG")</f>
        <v>0</v>
      </c>
      <c r="AV11" s="22">
        <f ca="1">+GETPIVOTDATA("XBB4",'binhba (2016)'!$A$3,"MA_HT","HNK","MA_QH","TON")</f>
        <v>0</v>
      </c>
      <c r="AW11" s="22">
        <f ca="1">+GETPIVOTDATA("XBB4",'binhba (2016)'!$A$3,"MA_HT","HNK","MA_QH","NTD")</f>
        <v>0</v>
      </c>
      <c r="AX11" s="22">
        <f ca="1">+GETPIVOTDATA("XBB4",'binhba (2016)'!$A$3,"MA_HT","HNK","MA_QH","SKX")</f>
        <v>0</v>
      </c>
      <c r="AY11" s="22">
        <f ca="1">+GETPIVOTDATA("XBB4",'binhba (2016)'!$A$3,"MA_HT","HNK","MA_QH","DSH")</f>
        <v>0</v>
      </c>
      <c r="AZ11" s="22">
        <f ca="1">+GETPIVOTDATA("XBB4",'binhba (2016)'!$A$3,"MA_HT","HNK","MA_QH","DKV")</f>
        <v>0</v>
      </c>
      <c r="BA11" s="89">
        <f ca="1">+GETPIVOTDATA("XBB4",'binhba (2016)'!$A$3,"MA_HT","HNK","MA_QH","TIN")</f>
        <v>0</v>
      </c>
      <c r="BB11" s="50">
        <f ca="1">+GETPIVOTDATA("XBB4",'binhba (2016)'!$A$3,"MA_HT","HNK","MA_QH","SON")</f>
        <v>0</v>
      </c>
      <c r="BC11" s="50">
        <f ca="1">+GETPIVOTDATA("XBB4",'binhba (2016)'!$A$3,"MA_HT","HNK","MA_QH","MNC")</f>
        <v>0</v>
      </c>
      <c r="BD11" s="22">
        <f ca="1">+GETPIVOTDATA("XBB4",'binhba (2016)'!$A$3,"MA_HT","HNK","MA_QH","PNK")</f>
        <v>0</v>
      </c>
      <c r="BE11" s="71">
        <f ca="1">+GETPIVOTDATA("XBB4",'binhba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+GETPIVOTDATA("XBB4",'binhba (2016)'!$A$3,"MA_HT","CLN","MA_QH","LUC")</f>
        <v>0</v>
      </c>
      <c r="H12" s="22">
        <f ca="1">+GETPIVOTDATA("XBB4",'binhba (2016)'!$A$3,"MA_HT","CLN","MA_QH","LUK")</f>
        <v>0</v>
      </c>
      <c r="I12" s="22">
        <f ca="1">+GETPIVOTDATA("XBB4",'binhba (2016)'!$A$3,"MA_HT","CLN","MA_QH","LUN")</f>
        <v>0</v>
      </c>
      <c r="J12" s="22">
        <f ca="1">+GETPIVOTDATA("XBB4",'binhba (2016)'!$A$3,"MA_HT","CLN","MA_QH","HNK")</f>
        <v>0</v>
      </c>
      <c r="K12" s="43" t="e">
        <f ca="1">$D12-$BF12</f>
        <v>#REF!</v>
      </c>
      <c r="L12" s="22">
        <f ca="1">+GETPIVOTDATA("XBB4",'binhba (2016)'!$A$3,"MA_HT","CLN","MA_QH","RSX")</f>
        <v>0</v>
      </c>
      <c r="M12" s="22">
        <f ca="1">+GETPIVOTDATA("XBB4",'binhba (2016)'!$A$3,"MA_HT","CLN","MA_QH","RPH")</f>
        <v>0</v>
      </c>
      <c r="N12" s="22">
        <f ca="1">+GETPIVOTDATA("XBB4",'binhba (2016)'!$A$3,"MA_HT","CLN","MA_QH","RDD")</f>
        <v>0</v>
      </c>
      <c r="O12" s="22">
        <f ca="1">+GETPIVOTDATA("XBB4",'binhba (2016)'!$A$3,"MA_HT","CLN","MA_QH","NTS")</f>
        <v>0</v>
      </c>
      <c r="P12" s="22">
        <f ca="1">+GETPIVOTDATA("XBB4",'binhba (2016)'!$A$3,"MA_HT","CLN","MA_QH","LMU")</f>
        <v>0</v>
      </c>
      <c r="Q12" s="22">
        <f ca="1">+GETPIVOTDATA("XBB4",'binhba (2016)'!$A$3,"MA_HT","CLN","MA_QH","NKH")</f>
        <v>0</v>
      </c>
      <c r="R12" s="42">
        <f ca="1" t="shared" si="2"/>
        <v>0</v>
      </c>
      <c r="S12" s="22">
        <f ca="1">+GETPIVOTDATA("XBB4",'binhba (2016)'!$A$3,"MA_HT","CLN","MA_QH","CQP")</f>
        <v>0</v>
      </c>
      <c r="T12" s="22">
        <f ca="1">+GETPIVOTDATA("XBB4",'binhba (2016)'!$A$3,"MA_HT","CLN","MA_QH","CAN")</f>
        <v>0</v>
      </c>
      <c r="U12" s="22">
        <f ca="1">+GETPIVOTDATA("XBB4",'binhba (2016)'!$A$3,"MA_HT","CLN","MA_QH","SKK")</f>
        <v>0</v>
      </c>
      <c r="V12" s="22">
        <f ca="1">+GETPIVOTDATA("XBB4",'binhba (2016)'!$A$3,"MA_HT","CLN","MA_QH","SKT")</f>
        <v>0</v>
      </c>
      <c r="W12" s="22">
        <f ca="1">+GETPIVOTDATA("XBB4",'binhba (2016)'!$A$3,"MA_HT","CLN","MA_QH","SKN")</f>
        <v>0</v>
      </c>
      <c r="X12" s="22">
        <f ca="1">+GETPIVOTDATA("XBB4",'binhba (2016)'!$A$3,"MA_HT","CLN","MA_QH","TMD")</f>
        <v>0</v>
      </c>
      <c r="Y12" s="22">
        <f ca="1">+GETPIVOTDATA("XBB4",'binhba (2016)'!$A$3,"MA_HT","CLN","MA_QH","SKC")</f>
        <v>0</v>
      </c>
      <c r="Z12" s="22">
        <f ca="1">+GETPIVOTDATA("XBB4",'binhba (2016)'!$A$3,"MA_HT","CLN","MA_QH","SKS")</f>
        <v>0</v>
      </c>
      <c r="AA12" s="52">
        <f ca="1" t="shared" si="4"/>
        <v>0</v>
      </c>
      <c r="AB12" s="22">
        <f ca="1">+GETPIVOTDATA("XBB4",'binhba (2016)'!$A$3,"MA_HT","CLN","MA_QH","DGT")</f>
        <v>0</v>
      </c>
      <c r="AC12" s="22">
        <f ca="1">+GETPIVOTDATA("XBB4",'binhba (2016)'!$A$3,"MA_HT","CLN","MA_QH","DTL")</f>
        <v>0</v>
      </c>
      <c r="AD12" s="22">
        <f ca="1">+GETPIVOTDATA("XBB4",'binhba (2016)'!$A$3,"MA_HT","CLN","MA_QH","DNL")</f>
        <v>0</v>
      </c>
      <c r="AE12" s="22">
        <f ca="1">+GETPIVOTDATA("XBB4",'binhba (2016)'!$A$3,"MA_HT","CLN","MA_QH","DBV")</f>
        <v>0</v>
      </c>
      <c r="AF12" s="22">
        <f ca="1">+GETPIVOTDATA("XBB4",'binhba (2016)'!$A$3,"MA_HT","CLN","MA_QH","DVH")</f>
        <v>0</v>
      </c>
      <c r="AG12" s="22">
        <f ca="1">+GETPIVOTDATA("XBB4",'binhba (2016)'!$A$3,"MA_HT","CLN","MA_QH","DYT")</f>
        <v>0</v>
      </c>
      <c r="AH12" s="22">
        <f ca="1">+GETPIVOTDATA("XBB4",'binhba (2016)'!$A$3,"MA_HT","CLN","MA_QH","DGD")</f>
        <v>0</v>
      </c>
      <c r="AI12" s="22">
        <f ca="1">+GETPIVOTDATA("XBB4",'binhba (2016)'!$A$3,"MA_HT","CLN","MA_QH","DTT")</f>
        <v>0</v>
      </c>
      <c r="AJ12" s="22">
        <f ca="1">+GETPIVOTDATA("XBB4",'binhba (2016)'!$A$3,"MA_HT","CLN","MA_QH","NCK")</f>
        <v>0</v>
      </c>
      <c r="AK12" s="22">
        <f ca="1">+GETPIVOTDATA("XBB4",'binhba (2016)'!$A$3,"MA_HT","CLN","MA_QH","DXH")</f>
        <v>0</v>
      </c>
      <c r="AL12" s="22">
        <f ca="1">+GETPIVOTDATA("XBB4",'binhba (2016)'!$A$3,"MA_HT","CLN","MA_QH","DCH")</f>
        <v>0</v>
      </c>
      <c r="AM12" s="22">
        <f ca="1">+GETPIVOTDATA("XBB4",'binhba (2016)'!$A$3,"MA_HT","CLN","MA_QH","DKG")</f>
        <v>0</v>
      </c>
      <c r="AN12" s="22">
        <f ca="1">+GETPIVOTDATA("XBB4",'binhba (2016)'!$A$3,"MA_HT","CLN","MA_QH","DDT")</f>
        <v>0</v>
      </c>
      <c r="AO12" s="22">
        <f ca="1">+GETPIVOTDATA("XBB4",'binhba (2016)'!$A$3,"MA_HT","CLN","MA_QH","DDL")</f>
        <v>0</v>
      </c>
      <c r="AP12" s="22">
        <f ca="1">+GETPIVOTDATA("XBB4",'binhba (2016)'!$A$3,"MA_HT","CLN","MA_QH","DRA")</f>
        <v>0</v>
      </c>
      <c r="AQ12" s="22">
        <f ca="1">+GETPIVOTDATA("XBB4",'binhba (2016)'!$A$3,"MA_HT","CLN","MA_QH","ONT")</f>
        <v>0</v>
      </c>
      <c r="AR12" s="22">
        <f ca="1">+GETPIVOTDATA("XBB4",'binhba (2016)'!$A$3,"MA_HT","CLN","MA_QH","ODT")</f>
        <v>0</v>
      </c>
      <c r="AS12" s="22">
        <f ca="1">+GETPIVOTDATA("XBB4",'binhba (2016)'!$A$3,"MA_HT","CLN","MA_QH","TSC")</f>
        <v>0</v>
      </c>
      <c r="AT12" s="22">
        <f ca="1">+GETPIVOTDATA("XBB4",'binhba (2016)'!$A$3,"MA_HT","CLN","MA_QH","DTS")</f>
        <v>0</v>
      </c>
      <c r="AU12" s="22">
        <f ca="1">+GETPIVOTDATA("XBB4",'binhba (2016)'!$A$3,"MA_HT","CLN","MA_QH","DNG")</f>
        <v>0</v>
      </c>
      <c r="AV12" s="22">
        <f ca="1">+GETPIVOTDATA("XBB4",'binhba (2016)'!$A$3,"MA_HT","CLN","MA_QH","TON")</f>
        <v>0</v>
      </c>
      <c r="AW12" s="22">
        <f ca="1">+GETPIVOTDATA("XBB4",'binhba (2016)'!$A$3,"MA_HT","CLN","MA_QH","NTD")</f>
        <v>0</v>
      </c>
      <c r="AX12" s="22">
        <f ca="1">+GETPIVOTDATA("XBB4",'binhba (2016)'!$A$3,"MA_HT","CLN","MA_QH","SKX")</f>
        <v>0</v>
      </c>
      <c r="AY12" s="22">
        <f ca="1">+GETPIVOTDATA("XBB4",'binhba (2016)'!$A$3,"MA_HT","CLN","MA_QH","DSH")</f>
        <v>0</v>
      </c>
      <c r="AZ12" s="22">
        <f ca="1">+GETPIVOTDATA("XBB4",'binhba (2016)'!$A$3,"MA_HT","CLN","MA_QH","DKV")</f>
        <v>0</v>
      </c>
      <c r="BA12" s="89">
        <f ca="1">+GETPIVOTDATA("XBB4",'binhba (2016)'!$A$3,"MA_HT","CLN","MA_QH","TIN")</f>
        <v>0</v>
      </c>
      <c r="BB12" s="50">
        <f ca="1">+GETPIVOTDATA("XBB4",'binhba (2016)'!$A$3,"MA_HT","CLN","MA_QH","SON")</f>
        <v>0</v>
      </c>
      <c r="BC12" s="50">
        <f ca="1">+GETPIVOTDATA("XBB4",'binhba (2016)'!$A$3,"MA_HT","CLN","MA_QH","MNC")</f>
        <v>0</v>
      </c>
      <c r="BD12" s="22">
        <f ca="1">+GETPIVOTDATA("XBB4",'binhba (2016)'!$A$3,"MA_HT","CLN","MA_QH","PNK")</f>
        <v>0</v>
      </c>
      <c r="BE12" s="71">
        <f ca="1">+GETPIVOTDATA("XBB4",'binhba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+GETPIVOTDATA("XBB4",'binhba (2016)'!$A$3,"MA_HT","RSX","MA_QH","LUC")</f>
        <v>0</v>
      </c>
      <c r="H13" s="22">
        <f ca="1">+GETPIVOTDATA("XBB4",'binhba (2016)'!$A$3,"MA_HT","RSX","MA_QH","LUK")</f>
        <v>0</v>
      </c>
      <c r="I13" s="22">
        <f ca="1">+GETPIVOTDATA("XBB4",'binhba (2016)'!$A$3,"MA_HT","RSX","MA_QH","LUN")</f>
        <v>0</v>
      </c>
      <c r="J13" s="22">
        <f ca="1">+GETPIVOTDATA("XBB4",'binhba (2016)'!$A$3,"MA_HT","RSX","MA_QH","HNK")</f>
        <v>0</v>
      </c>
      <c r="K13" s="22">
        <f ca="1">+GETPIVOTDATA("XBB4",'binhba (2016)'!$A$3,"MA_HT","RSX","MA_QH","CLN")</f>
        <v>0</v>
      </c>
      <c r="L13" s="43" t="e">
        <f ca="1">$D13-$BF13</f>
        <v>#REF!</v>
      </c>
      <c r="M13" s="22">
        <f ca="1">+GETPIVOTDATA("XBB4",'binhba (2016)'!$A$3,"MA_HT","RSX","MA_QH","RPH")</f>
        <v>0</v>
      </c>
      <c r="N13" s="22">
        <f ca="1">+GETPIVOTDATA("XBB4",'binhba (2016)'!$A$3,"MA_HT","RSX","MA_QH","RDD")</f>
        <v>0</v>
      </c>
      <c r="O13" s="22">
        <f ca="1">+GETPIVOTDATA("XBB4",'binhba (2016)'!$A$3,"MA_HT","RSX","MA_QH","NTS")</f>
        <v>0</v>
      </c>
      <c r="P13" s="22">
        <f ca="1">+GETPIVOTDATA("XBB4",'binhba (2016)'!$A$3,"MA_HT","RSX","MA_QH","LMU")</f>
        <v>0</v>
      </c>
      <c r="Q13" s="22">
        <f ca="1">+GETPIVOTDATA("XBB4",'binhba (2016)'!$A$3,"MA_HT","RSX","MA_QH","NKH")</f>
        <v>0</v>
      </c>
      <c r="R13" s="42">
        <f ca="1" t="shared" si="2"/>
        <v>0</v>
      </c>
      <c r="S13" s="22">
        <f ca="1">+GETPIVOTDATA("XBB4",'binhba (2016)'!$A$3,"MA_HT","RSX","MA_QH","CQP")</f>
        <v>0</v>
      </c>
      <c r="T13" s="22">
        <f ca="1">+GETPIVOTDATA("XBB4",'binhba (2016)'!$A$3,"MA_HT","RSX","MA_QH","CAN")</f>
        <v>0</v>
      </c>
      <c r="U13" s="22">
        <f ca="1">+GETPIVOTDATA("XBB4",'binhba (2016)'!$A$3,"MA_HT","RSX","MA_QH","SKK")</f>
        <v>0</v>
      </c>
      <c r="V13" s="22">
        <f ca="1">+GETPIVOTDATA("XBB4",'binhba (2016)'!$A$3,"MA_HT","RSX","MA_QH","SKT")</f>
        <v>0</v>
      </c>
      <c r="W13" s="22">
        <f ca="1">+GETPIVOTDATA("XBB4",'binhba (2016)'!$A$3,"MA_HT","RSX","MA_QH","SKN")</f>
        <v>0</v>
      </c>
      <c r="X13" s="22">
        <f ca="1">+GETPIVOTDATA("XBB4",'binhba (2016)'!$A$3,"MA_HT","RSX","MA_QH","TMD")</f>
        <v>0</v>
      </c>
      <c r="Y13" s="22">
        <f ca="1">+GETPIVOTDATA("XBB4",'binhba (2016)'!$A$3,"MA_HT","RSX","MA_QH","SKC")</f>
        <v>0</v>
      </c>
      <c r="Z13" s="22">
        <f ca="1">+GETPIVOTDATA("XBB4",'binhba (2016)'!$A$3,"MA_HT","RSX","MA_QH","SKS")</f>
        <v>0</v>
      </c>
      <c r="AA13" s="52">
        <f ca="1" t="shared" si="4"/>
        <v>0</v>
      </c>
      <c r="AB13" s="22">
        <f ca="1">+GETPIVOTDATA("XBB4",'binhba (2016)'!$A$3,"MA_HT","RSX","MA_QH","DGT")</f>
        <v>0</v>
      </c>
      <c r="AC13" s="22">
        <f ca="1">+GETPIVOTDATA("XBB4",'binhba (2016)'!$A$3,"MA_HT","RSX","MA_QH","DTL")</f>
        <v>0</v>
      </c>
      <c r="AD13" s="22">
        <f ca="1">+GETPIVOTDATA("XBB4",'binhba (2016)'!$A$3,"MA_HT","RSX","MA_QH","DNL")</f>
        <v>0</v>
      </c>
      <c r="AE13" s="22">
        <f ca="1">+GETPIVOTDATA("XBB4",'binhba (2016)'!$A$3,"MA_HT","RSX","MA_QH","DBV")</f>
        <v>0</v>
      </c>
      <c r="AF13" s="22">
        <f ca="1">+GETPIVOTDATA("XBB4",'binhba (2016)'!$A$3,"MA_HT","RSX","MA_QH","DVH")</f>
        <v>0</v>
      </c>
      <c r="AG13" s="22">
        <f ca="1">+GETPIVOTDATA("XBB4",'binhba (2016)'!$A$3,"MA_HT","RSX","MA_QH","DYT")</f>
        <v>0</v>
      </c>
      <c r="AH13" s="22">
        <f ca="1">+GETPIVOTDATA("XBB4",'binhba (2016)'!$A$3,"MA_HT","RSX","MA_QH","DGD")</f>
        <v>0</v>
      </c>
      <c r="AI13" s="22">
        <f ca="1">+GETPIVOTDATA("XBB4",'binhba (2016)'!$A$3,"MA_HT","RSX","MA_QH","DTT")</f>
        <v>0</v>
      </c>
      <c r="AJ13" s="22">
        <f ca="1">+GETPIVOTDATA("XBB4",'binhba (2016)'!$A$3,"MA_HT","RSX","MA_QH","NCK")</f>
        <v>0</v>
      </c>
      <c r="AK13" s="22">
        <f ca="1">+GETPIVOTDATA("XBB4",'binhba (2016)'!$A$3,"MA_HT","RSX","MA_QH","DXH")</f>
        <v>0</v>
      </c>
      <c r="AL13" s="22">
        <f ca="1">+GETPIVOTDATA("XBB4",'binhba (2016)'!$A$3,"MA_HT","RSX","MA_QH","DCH")</f>
        <v>0</v>
      </c>
      <c r="AM13" s="22">
        <f ca="1">+GETPIVOTDATA("XBB4",'binhba (2016)'!$A$3,"MA_HT","RSX","MA_QH","DKG")</f>
        <v>0</v>
      </c>
      <c r="AN13" s="22">
        <f ca="1">+GETPIVOTDATA("XBB4",'binhba (2016)'!$A$3,"MA_HT","RSX","MA_QH","DDT")</f>
        <v>0</v>
      </c>
      <c r="AO13" s="22">
        <f ca="1">+GETPIVOTDATA("XBB4",'binhba (2016)'!$A$3,"MA_HT","RSX","MA_QH","DDL")</f>
        <v>0</v>
      </c>
      <c r="AP13" s="22">
        <f ca="1">+GETPIVOTDATA("XBB4",'binhba (2016)'!$A$3,"MA_HT","RSX","MA_QH","DRA")</f>
        <v>0</v>
      </c>
      <c r="AQ13" s="22">
        <f ca="1">+GETPIVOTDATA("XBB4",'binhba (2016)'!$A$3,"MA_HT","RSX","MA_QH","ONT")</f>
        <v>0</v>
      </c>
      <c r="AR13" s="22">
        <f ca="1">+GETPIVOTDATA("XBB4",'binhba (2016)'!$A$3,"MA_HT","RSX","MA_QH","ODT")</f>
        <v>0</v>
      </c>
      <c r="AS13" s="22">
        <f ca="1">+GETPIVOTDATA("XBB4",'binhba (2016)'!$A$3,"MA_HT","RSX","MA_QH","TSC")</f>
        <v>0</v>
      </c>
      <c r="AT13" s="22">
        <f ca="1">+GETPIVOTDATA("XBB4",'binhba (2016)'!$A$3,"MA_HT","RSX","MA_QH","DTS")</f>
        <v>0</v>
      </c>
      <c r="AU13" s="22">
        <f ca="1">+GETPIVOTDATA("XBB4",'binhba (2016)'!$A$3,"MA_HT","RSX","MA_QH","DNG")</f>
        <v>0</v>
      </c>
      <c r="AV13" s="22">
        <f ca="1">+GETPIVOTDATA("XBB4",'binhba (2016)'!$A$3,"MA_HT","RSX","MA_QH","TON")</f>
        <v>0</v>
      </c>
      <c r="AW13" s="22">
        <f ca="1">+GETPIVOTDATA("XBB4",'binhba (2016)'!$A$3,"MA_HT","RSX","MA_QH","NTD")</f>
        <v>0</v>
      </c>
      <c r="AX13" s="22">
        <f ca="1">+GETPIVOTDATA("XBB4",'binhba (2016)'!$A$3,"MA_HT","RSX","MA_QH","SKX")</f>
        <v>0</v>
      </c>
      <c r="AY13" s="22">
        <f ca="1">+GETPIVOTDATA("XBB4",'binhba (2016)'!$A$3,"MA_HT","RSX","MA_QH","DSH")</f>
        <v>0</v>
      </c>
      <c r="AZ13" s="22">
        <f ca="1">+GETPIVOTDATA("XBB4",'binhba (2016)'!$A$3,"MA_HT","RSX","MA_QH","DKV")</f>
        <v>0</v>
      </c>
      <c r="BA13" s="89">
        <f ca="1">+GETPIVOTDATA("XBB4",'binhba (2016)'!$A$3,"MA_HT","RSX","MA_QH","TIN")</f>
        <v>0</v>
      </c>
      <c r="BB13" s="50">
        <f ca="1">+GETPIVOTDATA("XBB4",'binhba (2016)'!$A$3,"MA_HT","RSX","MA_QH","SON")</f>
        <v>0</v>
      </c>
      <c r="BC13" s="50">
        <f ca="1">+GETPIVOTDATA("XBB4",'binhba (2016)'!$A$3,"MA_HT","RSX","MA_QH","MNC")</f>
        <v>0</v>
      </c>
      <c r="BD13" s="22">
        <f ca="1">+GETPIVOTDATA("XBB4",'binhba (2016)'!$A$3,"MA_HT","RSX","MA_QH","PNK")</f>
        <v>0</v>
      </c>
      <c r="BE13" s="71">
        <f ca="1">+GETPIVOTDATA("XBB4",'binhba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+GETPIVOTDATA("XBB4",'binhba (2016)'!$A$3,"MA_HT","RPH","MA_QH","LUC")</f>
        <v>0</v>
      </c>
      <c r="H14" s="22">
        <f ca="1">+GETPIVOTDATA("XBB4",'binhba (2016)'!$A$3,"MA_HT","RPH","MA_QH","LUK")</f>
        <v>0</v>
      </c>
      <c r="I14" s="22">
        <f ca="1">+GETPIVOTDATA("XBB4",'binhba (2016)'!$A$3,"MA_HT","RPH","MA_QH","LUN")</f>
        <v>0</v>
      </c>
      <c r="J14" s="22">
        <f ca="1">+GETPIVOTDATA("XBB4",'binhba (2016)'!$A$3,"MA_HT","RPH","MA_QH","HNK")</f>
        <v>0</v>
      </c>
      <c r="K14" s="22">
        <f ca="1">+GETPIVOTDATA("XBB4",'binhba (2016)'!$A$3,"MA_HT","RPH","MA_QH","CLN")</f>
        <v>0</v>
      </c>
      <c r="L14" s="22">
        <f ca="1">+GETPIVOTDATA("XBB4",'binhba (2016)'!$A$3,"MA_HT","RPH","MA_QH","RSX")</f>
        <v>0</v>
      </c>
      <c r="M14" s="43" t="e">
        <f ca="1">$D14-$BF14</f>
        <v>#REF!</v>
      </c>
      <c r="N14" s="22">
        <f ca="1">+GETPIVOTDATA("XBB4",'binhba (2016)'!$A$3,"MA_HT","RPH","MA_QH","RDD")</f>
        <v>0</v>
      </c>
      <c r="O14" s="22">
        <f ca="1">+GETPIVOTDATA("XBB4",'binhba (2016)'!$A$3,"MA_HT","RPH","MA_QH","NTS")</f>
        <v>0</v>
      </c>
      <c r="P14" s="22">
        <f ca="1">+GETPIVOTDATA("XBB4",'binhba (2016)'!$A$3,"MA_HT","RPH","MA_QH","LMU")</f>
        <v>0</v>
      </c>
      <c r="Q14" s="22">
        <f ca="1">+GETPIVOTDATA("XBB4",'binhba (2016)'!$A$3,"MA_HT","RPH","MA_QH","NKH")</f>
        <v>0</v>
      </c>
      <c r="R14" s="42">
        <f ca="1" t="shared" si="2"/>
        <v>0</v>
      </c>
      <c r="S14" s="22">
        <f ca="1">+GETPIVOTDATA("XBB4",'binhba (2016)'!$A$3,"MA_HT","RPH","MA_QH","CQP")</f>
        <v>0</v>
      </c>
      <c r="T14" s="22">
        <f ca="1">+GETPIVOTDATA("XBB4",'binhba (2016)'!$A$3,"MA_HT","RPH","MA_QH","CAN")</f>
        <v>0</v>
      </c>
      <c r="U14" s="22">
        <f ca="1">+GETPIVOTDATA("XBB4",'binhba (2016)'!$A$3,"MA_HT","RPH","MA_QH","SKK")</f>
        <v>0</v>
      </c>
      <c r="V14" s="22">
        <f ca="1">+GETPIVOTDATA("XBB4",'binhba (2016)'!$A$3,"MA_HT","RPH","MA_QH","SKT")</f>
        <v>0</v>
      </c>
      <c r="W14" s="22">
        <f ca="1">+GETPIVOTDATA("XBB4",'binhba (2016)'!$A$3,"MA_HT","RPH","MA_QH","SKN")</f>
        <v>0</v>
      </c>
      <c r="X14" s="22">
        <f ca="1">+GETPIVOTDATA("XBB4",'binhba (2016)'!$A$3,"MA_HT","RPH","MA_QH","TMD")</f>
        <v>0</v>
      </c>
      <c r="Y14" s="22">
        <f ca="1">+GETPIVOTDATA("XBB4",'binhba (2016)'!$A$3,"MA_HT","RPH","MA_QH","SKC")</f>
        <v>0</v>
      </c>
      <c r="Z14" s="22">
        <f ca="1">+GETPIVOTDATA("XBB4",'binhba (2016)'!$A$3,"MA_HT","RPH","MA_QH","SKS")</f>
        <v>0</v>
      </c>
      <c r="AA14" s="52">
        <f ca="1" t="shared" si="4"/>
        <v>0</v>
      </c>
      <c r="AB14" s="22">
        <f ca="1">+GETPIVOTDATA("XBB4",'binhba (2016)'!$A$3,"MA_HT","RPH","MA_QH","DGT")</f>
        <v>0</v>
      </c>
      <c r="AC14" s="22">
        <f ca="1">+GETPIVOTDATA("XBB4",'binhba (2016)'!$A$3,"MA_HT","RPH","MA_QH","DTL")</f>
        <v>0</v>
      </c>
      <c r="AD14" s="22">
        <f ca="1">+GETPIVOTDATA("XBB4",'binhba (2016)'!$A$3,"MA_HT","RPH","MA_QH","DNL")</f>
        <v>0</v>
      </c>
      <c r="AE14" s="22">
        <f ca="1">+GETPIVOTDATA("XBB4",'binhba (2016)'!$A$3,"MA_HT","RPH","MA_QH","DBV")</f>
        <v>0</v>
      </c>
      <c r="AF14" s="22">
        <f ca="1">+GETPIVOTDATA("XBB4",'binhba (2016)'!$A$3,"MA_HT","RPH","MA_QH","DVH")</f>
        <v>0</v>
      </c>
      <c r="AG14" s="22">
        <f ca="1">+GETPIVOTDATA("XBB4",'binhba (2016)'!$A$3,"MA_HT","RPH","MA_QH","DYT")</f>
        <v>0</v>
      </c>
      <c r="AH14" s="22">
        <f ca="1">+GETPIVOTDATA("XBB4",'binhba (2016)'!$A$3,"MA_HT","RPH","MA_QH","DGD")</f>
        <v>0</v>
      </c>
      <c r="AI14" s="22">
        <f ca="1">+GETPIVOTDATA("XBB4",'binhba (2016)'!$A$3,"MA_HT","RPH","MA_QH","DTT")</f>
        <v>0</v>
      </c>
      <c r="AJ14" s="22">
        <f ca="1">+GETPIVOTDATA("XBB4",'binhba (2016)'!$A$3,"MA_HT","RPH","MA_QH","NCK")</f>
        <v>0</v>
      </c>
      <c r="AK14" s="22">
        <f ca="1">+GETPIVOTDATA("XBB4",'binhba (2016)'!$A$3,"MA_HT","RPH","MA_QH","DXH")</f>
        <v>0</v>
      </c>
      <c r="AL14" s="22">
        <f ca="1">+GETPIVOTDATA("XBB4",'binhba (2016)'!$A$3,"MA_HT","RPH","MA_QH","DCH")</f>
        <v>0</v>
      </c>
      <c r="AM14" s="22">
        <f ca="1">+GETPIVOTDATA("XBB4",'binhba (2016)'!$A$3,"MA_HT","RPH","MA_QH","DKG")</f>
        <v>0</v>
      </c>
      <c r="AN14" s="22">
        <f ca="1">+GETPIVOTDATA("XBB4",'binhba (2016)'!$A$3,"MA_HT","RPH","MA_QH","DDT")</f>
        <v>0</v>
      </c>
      <c r="AO14" s="22">
        <f ca="1">+GETPIVOTDATA("XBB4",'binhba (2016)'!$A$3,"MA_HT","RPH","MA_QH","DDL")</f>
        <v>0</v>
      </c>
      <c r="AP14" s="22">
        <f ca="1">+GETPIVOTDATA("XBB4",'binhba (2016)'!$A$3,"MA_HT","RPH","MA_QH","DRA")</f>
        <v>0</v>
      </c>
      <c r="AQ14" s="22">
        <f ca="1">+GETPIVOTDATA("XBB4",'binhba (2016)'!$A$3,"MA_HT","RPH","MA_QH","ONT")</f>
        <v>0</v>
      </c>
      <c r="AR14" s="22">
        <f ca="1">+GETPIVOTDATA("XBB4",'binhba (2016)'!$A$3,"MA_HT","RPH","MA_QH","ODT")</f>
        <v>0</v>
      </c>
      <c r="AS14" s="22">
        <f ca="1">+GETPIVOTDATA("XBB4",'binhba (2016)'!$A$3,"MA_HT","RPH","MA_QH","TSC")</f>
        <v>0</v>
      </c>
      <c r="AT14" s="22">
        <f ca="1">+GETPIVOTDATA("XBB4",'binhba (2016)'!$A$3,"MA_HT","RPH","MA_QH","DTS")</f>
        <v>0</v>
      </c>
      <c r="AU14" s="22">
        <f ca="1">+GETPIVOTDATA("XBB4",'binhba (2016)'!$A$3,"MA_HT","RPH","MA_QH","DNG")</f>
        <v>0</v>
      </c>
      <c r="AV14" s="22">
        <f ca="1">+GETPIVOTDATA("XBB4",'binhba (2016)'!$A$3,"MA_HT","RPH","MA_QH","TON")</f>
        <v>0</v>
      </c>
      <c r="AW14" s="22">
        <f ca="1">+GETPIVOTDATA("XBB4",'binhba (2016)'!$A$3,"MA_HT","RPH","MA_QH","NTD")</f>
        <v>0</v>
      </c>
      <c r="AX14" s="22">
        <f ca="1">+GETPIVOTDATA("XBB4",'binhba (2016)'!$A$3,"MA_HT","RPH","MA_QH","SKX")</f>
        <v>0</v>
      </c>
      <c r="AY14" s="22">
        <f ca="1">+GETPIVOTDATA("XBB4",'binhba (2016)'!$A$3,"MA_HT","RPH","MA_QH","DSH")</f>
        <v>0</v>
      </c>
      <c r="AZ14" s="22">
        <f ca="1">+GETPIVOTDATA("XBB4",'binhba (2016)'!$A$3,"MA_HT","RPH","MA_QH","DKV")</f>
        <v>0</v>
      </c>
      <c r="BA14" s="89">
        <f ca="1">+GETPIVOTDATA("XBB4",'binhba (2016)'!$A$3,"MA_HT","RPH","MA_QH","TIN")</f>
        <v>0</v>
      </c>
      <c r="BB14" s="50">
        <f ca="1">+GETPIVOTDATA("XBB4",'binhba (2016)'!$A$3,"MA_HT","RPH","MA_QH","SON")</f>
        <v>0</v>
      </c>
      <c r="BC14" s="50">
        <f ca="1">+GETPIVOTDATA("XBB4",'binhba (2016)'!$A$3,"MA_HT","RPH","MA_QH","MNC")</f>
        <v>0</v>
      </c>
      <c r="BD14" s="22">
        <f ca="1">+GETPIVOTDATA("XBB4",'binhba (2016)'!$A$3,"MA_HT","RPH","MA_QH","PNK")</f>
        <v>0</v>
      </c>
      <c r="BE14" s="71">
        <f ca="1">+GETPIVOTDATA("XBB4",'binhba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+GETPIVOTDATA("XBB4",'binhba (2016)'!$A$3,"MA_HT","RDD","MA_QH","LUC")</f>
        <v>0</v>
      </c>
      <c r="H15" s="22">
        <f ca="1">+GETPIVOTDATA("XBB4",'binhba (2016)'!$A$3,"MA_HT","RDD","MA_QH","LUK")</f>
        <v>0</v>
      </c>
      <c r="I15" s="22">
        <f ca="1">+GETPIVOTDATA("XBB4",'binhba (2016)'!$A$3,"MA_HT","RDD","MA_QH","LUN")</f>
        <v>0</v>
      </c>
      <c r="J15" s="22">
        <f ca="1">+GETPIVOTDATA("XBB4",'binhba (2016)'!$A$3,"MA_HT","RDD","MA_QH","HNK")</f>
        <v>0</v>
      </c>
      <c r="K15" s="22">
        <f ca="1">+GETPIVOTDATA("XBB4",'binhba (2016)'!$A$3,"MA_HT","RDD","MA_QH","CLN")</f>
        <v>0</v>
      </c>
      <c r="L15" s="22">
        <f ca="1">+GETPIVOTDATA("XBB4",'binhba (2016)'!$A$3,"MA_HT","RDD","MA_QH","RSX")</f>
        <v>0</v>
      </c>
      <c r="M15" s="22">
        <f ca="1">+GETPIVOTDATA("XBB4",'binhba (2016)'!$A$3,"MA_HT","RDD","MA_QH","RPH")</f>
        <v>0</v>
      </c>
      <c r="N15" s="43" t="e">
        <f ca="1">$D15-$BF15</f>
        <v>#REF!</v>
      </c>
      <c r="O15" s="22">
        <f ca="1">+GETPIVOTDATA("XBB4",'binhba (2016)'!$A$3,"MA_HT","RDD","MA_QH","NTS")</f>
        <v>0</v>
      </c>
      <c r="P15" s="22">
        <f ca="1">+GETPIVOTDATA("XBB4",'binhba (2016)'!$A$3,"MA_HT","RDD","MA_QH","LMU")</f>
        <v>0</v>
      </c>
      <c r="Q15" s="22">
        <f ca="1">+GETPIVOTDATA("XBB4",'binhba (2016)'!$A$3,"MA_HT","RDD","MA_QH","NKH")</f>
        <v>0</v>
      </c>
      <c r="R15" s="42">
        <f ca="1" t="shared" si="2"/>
        <v>0</v>
      </c>
      <c r="S15" s="22">
        <f ca="1">+GETPIVOTDATA("XBB4",'binhba (2016)'!$A$3,"MA_HT","RDD","MA_QH","CQP")</f>
        <v>0</v>
      </c>
      <c r="T15" s="22">
        <f ca="1">+GETPIVOTDATA("XBB4",'binhba (2016)'!$A$3,"MA_HT","RDD","MA_QH","CAN")</f>
        <v>0</v>
      </c>
      <c r="U15" s="22">
        <f ca="1">+GETPIVOTDATA("XBB4",'binhba (2016)'!$A$3,"MA_HT","RDD","MA_QH","SKK")</f>
        <v>0</v>
      </c>
      <c r="V15" s="22">
        <f ca="1">+GETPIVOTDATA("XBB4",'binhba (2016)'!$A$3,"MA_HT","RDD","MA_QH","SKT")</f>
        <v>0</v>
      </c>
      <c r="W15" s="22">
        <f ca="1">+GETPIVOTDATA("XBB4",'binhba (2016)'!$A$3,"MA_HT","RDD","MA_QH","SKN")</f>
        <v>0</v>
      </c>
      <c r="X15" s="22">
        <f ca="1">+GETPIVOTDATA("XBB4",'binhba (2016)'!$A$3,"MA_HT","RDD","MA_QH","TMD")</f>
        <v>0</v>
      </c>
      <c r="Y15" s="22">
        <f ca="1">+GETPIVOTDATA("XBB4",'binhba (2016)'!$A$3,"MA_HT","RDD","MA_QH","SKC")</f>
        <v>0</v>
      </c>
      <c r="Z15" s="22">
        <f ca="1">+GETPIVOTDATA("XBB4",'binhba (2016)'!$A$3,"MA_HT","RDD","MA_QH","SKS")</f>
        <v>0</v>
      </c>
      <c r="AA15" s="52">
        <f ca="1" t="shared" si="4"/>
        <v>0</v>
      </c>
      <c r="AB15" s="22">
        <f ca="1">+GETPIVOTDATA("XBB4",'binhba (2016)'!$A$3,"MA_HT","RDD","MA_QH","DGT")</f>
        <v>0</v>
      </c>
      <c r="AC15" s="22">
        <f ca="1">+GETPIVOTDATA("XBB4",'binhba (2016)'!$A$3,"MA_HT","RDD","MA_QH","DTL")</f>
        <v>0</v>
      </c>
      <c r="AD15" s="22">
        <f ca="1">+GETPIVOTDATA("XBB4",'binhba (2016)'!$A$3,"MA_HT","RDD","MA_QH","DNL")</f>
        <v>0</v>
      </c>
      <c r="AE15" s="22">
        <f ca="1">+GETPIVOTDATA("XBB4",'binhba (2016)'!$A$3,"MA_HT","RDD","MA_QH","DBV")</f>
        <v>0</v>
      </c>
      <c r="AF15" s="22">
        <f ca="1">+GETPIVOTDATA("XBB4",'binhba (2016)'!$A$3,"MA_HT","RDD","MA_QH","DVH")</f>
        <v>0</v>
      </c>
      <c r="AG15" s="22">
        <f ca="1">+GETPIVOTDATA("XBB4",'binhba (2016)'!$A$3,"MA_HT","RDD","MA_QH","DYT")</f>
        <v>0</v>
      </c>
      <c r="AH15" s="22">
        <f ca="1">+GETPIVOTDATA("XBB4",'binhba (2016)'!$A$3,"MA_HT","RDD","MA_QH","DGD")</f>
        <v>0</v>
      </c>
      <c r="AI15" s="22">
        <f ca="1">+GETPIVOTDATA("XBB4",'binhba (2016)'!$A$3,"MA_HT","RDD","MA_QH","DTT")</f>
        <v>0</v>
      </c>
      <c r="AJ15" s="22">
        <f ca="1">+GETPIVOTDATA("XBB4",'binhba (2016)'!$A$3,"MA_HT","RDD","MA_QH","NCK")</f>
        <v>0</v>
      </c>
      <c r="AK15" s="22">
        <f ca="1">+GETPIVOTDATA("XBB4",'binhba (2016)'!$A$3,"MA_HT","RDD","MA_QH","DXH")</f>
        <v>0</v>
      </c>
      <c r="AL15" s="22">
        <f ca="1">+GETPIVOTDATA("XBB4",'binhba (2016)'!$A$3,"MA_HT","RDD","MA_QH","DCH")</f>
        <v>0</v>
      </c>
      <c r="AM15" s="22">
        <f ca="1">+GETPIVOTDATA("XBB4",'binhba (2016)'!$A$3,"MA_HT","RDD","MA_QH","DKG")</f>
        <v>0</v>
      </c>
      <c r="AN15" s="22">
        <f ca="1">+GETPIVOTDATA("XBB4",'binhba (2016)'!$A$3,"MA_HT","RDD","MA_QH","DDT")</f>
        <v>0</v>
      </c>
      <c r="AO15" s="22">
        <f ca="1">+GETPIVOTDATA("XBB4",'binhba (2016)'!$A$3,"MA_HT","RDD","MA_QH","DDL")</f>
        <v>0</v>
      </c>
      <c r="AP15" s="22">
        <f ca="1">+GETPIVOTDATA("XBB4",'binhba (2016)'!$A$3,"MA_HT","RDD","MA_QH","DRA")</f>
        <v>0</v>
      </c>
      <c r="AQ15" s="22">
        <f ca="1">+GETPIVOTDATA("XBB4",'binhba (2016)'!$A$3,"MA_HT","RDD","MA_QH","ONT")</f>
        <v>0</v>
      </c>
      <c r="AR15" s="22">
        <f ca="1">+GETPIVOTDATA("XBB4",'binhba (2016)'!$A$3,"MA_HT","RDD","MA_QH","ODT")</f>
        <v>0</v>
      </c>
      <c r="AS15" s="22">
        <f ca="1">+GETPIVOTDATA("XBB4",'binhba (2016)'!$A$3,"MA_HT","RDD","MA_QH","TSC")</f>
        <v>0</v>
      </c>
      <c r="AT15" s="22">
        <f ca="1">+GETPIVOTDATA("XBB4",'binhba (2016)'!$A$3,"MA_HT","RDD","MA_QH","DTS")</f>
        <v>0</v>
      </c>
      <c r="AU15" s="22">
        <f ca="1">+GETPIVOTDATA("XBB4",'binhba (2016)'!$A$3,"MA_HT","RDD","MA_QH","DNG")</f>
        <v>0</v>
      </c>
      <c r="AV15" s="22">
        <f ca="1">+GETPIVOTDATA("XBB4",'binhba (2016)'!$A$3,"MA_HT","RDD","MA_QH","TON")</f>
        <v>0</v>
      </c>
      <c r="AW15" s="22">
        <f ca="1">+GETPIVOTDATA("XBB4",'binhba (2016)'!$A$3,"MA_HT","RDD","MA_QH","NTD")</f>
        <v>0</v>
      </c>
      <c r="AX15" s="22">
        <f ca="1">+GETPIVOTDATA("XBB4",'binhba (2016)'!$A$3,"MA_HT","RDD","MA_QH","SKX")</f>
        <v>0</v>
      </c>
      <c r="AY15" s="22">
        <f ca="1">+GETPIVOTDATA("XBB4",'binhba (2016)'!$A$3,"MA_HT","RDD","MA_QH","DSH")</f>
        <v>0</v>
      </c>
      <c r="AZ15" s="22">
        <f ca="1">+GETPIVOTDATA("XBB4",'binhba (2016)'!$A$3,"MA_HT","RDD","MA_QH","DKV")</f>
        <v>0</v>
      </c>
      <c r="BA15" s="89">
        <f ca="1">+GETPIVOTDATA("XBB4",'binhba (2016)'!$A$3,"MA_HT","RDD","MA_QH","TIN")</f>
        <v>0</v>
      </c>
      <c r="BB15" s="50">
        <f ca="1">+GETPIVOTDATA("XBB4",'binhba (2016)'!$A$3,"MA_HT","RDD","MA_QH","SON")</f>
        <v>0</v>
      </c>
      <c r="BC15" s="50">
        <f ca="1">+GETPIVOTDATA("XBB4",'binhba (2016)'!$A$3,"MA_HT","RDD","MA_QH","MNC")</f>
        <v>0</v>
      </c>
      <c r="BD15" s="22">
        <f ca="1">+GETPIVOTDATA("XBB4",'binhba (2016)'!$A$3,"MA_HT","RDD","MA_QH","PNK")</f>
        <v>0</v>
      </c>
      <c r="BE15" s="71">
        <f ca="1">+GETPIVOTDATA("XBB4",'binhba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+GETPIVOTDATA("XBB4",'binhba (2016)'!$A$3,"MA_HT","NTS","MA_QH","LUC")</f>
        <v>0</v>
      </c>
      <c r="H16" s="22">
        <f ca="1">+GETPIVOTDATA("XBB4",'binhba (2016)'!$A$3,"MA_HT","NTS","MA_QH","LUK")</f>
        <v>0</v>
      </c>
      <c r="I16" s="22">
        <f ca="1">+GETPIVOTDATA("XBB4",'binhba (2016)'!$A$3,"MA_HT","NTS","MA_QH","LUN")</f>
        <v>0</v>
      </c>
      <c r="J16" s="22">
        <f ca="1">+GETPIVOTDATA("XBB4",'binhba (2016)'!$A$3,"MA_HT","NTS","MA_QH","HNK")</f>
        <v>0</v>
      </c>
      <c r="K16" s="22">
        <f ca="1">+GETPIVOTDATA("XBB4",'binhba (2016)'!$A$3,"MA_HT","NTS","MA_QH","CLN")</f>
        <v>0</v>
      </c>
      <c r="L16" s="22">
        <f ca="1">+GETPIVOTDATA("XBB4",'binhba (2016)'!$A$3,"MA_HT","NTS","MA_QH","RSX")</f>
        <v>0</v>
      </c>
      <c r="M16" s="22">
        <f ca="1">+GETPIVOTDATA("XBB4",'binhba (2016)'!$A$3,"MA_HT","NTS","MA_QH","RPH")</f>
        <v>0</v>
      </c>
      <c r="N16" s="22">
        <f ca="1">+GETPIVOTDATA("XBB4",'binhba (2016)'!$A$3,"MA_HT","NTS","MA_QH","RDD")</f>
        <v>0</v>
      </c>
      <c r="O16" s="43" t="e">
        <f ca="1">$D16-$BF16</f>
        <v>#REF!</v>
      </c>
      <c r="P16" s="22">
        <f ca="1">+GETPIVOTDATA("XBB4",'binhba (2016)'!$A$3,"MA_HT","NTS","MA_QH","LMU")</f>
        <v>0</v>
      </c>
      <c r="Q16" s="22">
        <f ca="1">+GETPIVOTDATA("XBB4",'binhba (2016)'!$A$3,"MA_HT","NTS","MA_QH","NKH")</f>
        <v>0</v>
      </c>
      <c r="R16" s="42">
        <f ca="1" t="shared" si="2"/>
        <v>0</v>
      </c>
      <c r="S16" s="22">
        <f ca="1">+GETPIVOTDATA("XBB4",'binhba (2016)'!$A$3,"MA_HT","NTS","MA_QH","CQP")</f>
        <v>0</v>
      </c>
      <c r="T16" s="22">
        <f ca="1">+GETPIVOTDATA("XBB4",'binhba (2016)'!$A$3,"MA_HT","NTS","MA_QH","CAN")</f>
        <v>0</v>
      </c>
      <c r="U16" s="22">
        <f ca="1">+GETPIVOTDATA("XBB4",'binhba (2016)'!$A$3,"MA_HT","NTS","MA_QH","SKK")</f>
        <v>0</v>
      </c>
      <c r="V16" s="22">
        <f ca="1">+GETPIVOTDATA("XBB4",'binhba (2016)'!$A$3,"MA_HT","NTS","MA_QH","SKT")</f>
        <v>0</v>
      </c>
      <c r="W16" s="22">
        <f ca="1">+GETPIVOTDATA("XBB4",'binhba (2016)'!$A$3,"MA_HT","NTS","MA_QH","SKN")</f>
        <v>0</v>
      </c>
      <c r="X16" s="22">
        <f ca="1">+GETPIVOTDATA("XBB4",'binhba (2016)'!$A$3,"MA_HT","NTS","MA_QH","TMD")</f>
        <v>0</v>
      </c>
      <c r="Y16" s="22">
        <f ca="1">+GETPIVOTDATA("XBB4",'binhba (2016)'!$A$3,"MA_HT","NTS","MA_QH","SKC")</f>
        <v>0</v>
      </c>
      <c r="Z16" s="22">
        <f ca="1">+GETPIVOTDATA("XBB4",'binhba (2016)'!$A$3,"MA_HT","NTS","MA_QH","SKS")</f>
        <v>0</v>
      </c>
      <c r="AA16" s="52">
        <f ca="1" t="shared" si="4"/>
        <v>0</v>
      </c>
      <c r="AB16" s="22">
        <f ca="1">+GETPIVOTDATA("XBB4",'binhba (2016)'!$A$3,"MA_HT","NTS","MA_QH","DGT")</f>
        <v>0</v>
      </c>
      <c r="AC16" s="22">
        <f ca="1">+GETPIVOTDATA("XBB4",'binhba (2016)'!$A$3,"MA_HT","NTS","MA_QH","DTL")</f>
        <v>0</v>
      </c>
      <c r="AD16" s="22">
        <f ca="1">+GETPIVOTDATA("XBB4",'binhba (2016)'!$A$3,"MA_HT","NTS","MA_QH","DNL")</f>
        <v>0</v>
      </c>
      <c r="AE16" s="22">
        <f ca="1">+GETPIVOTDATA("XBB4",'binhba (2016)'!$A$3,"MA_HT","NTS","MA_QH","DBV")</f>
        <v>0</v>
      </c>
      <c r="AF16" s="22">
        <f ca="1">+GETPIVOTDATA("XBB4",'binhba (2016)'!$A$3,"MA_HT","NTS","MA_QH","DVH")</f>
        <v>0</v>
      </c>
      <c r="AG16" s="22">
        <f ca="1">+GETPIVOTDATA("XBB4",'binhba (2016)'!$A$3,"MA_HT","NTS","MA_QH","DYT")</f>
        <v>0</v>
      </c>
      <c r="AH16" s="22">
        <f ca="1">+GETPIVOTDATA("XBB4",'binhba (2016)'!$A$3,"MA_HT","NTS","MA_QH","DGD")</f>
        <v>0</v>
      </c>
      <c r="AI16" s="22">
        <f ca="1">+GETPIVOTDATA("XBB4",'binhba (2016)'!$A$3,"MA_HT","NTS","MA_QH","DTT")</f>
        <v>0</v>
      </c>
      <c r="AJ16" s="22">
        <f ca="1">+GETPIVOTDATA("XBB4",'binhba (2016)'!$A$3,"MA_HT","NTS","MA_QH","NCK")</f>
        <v>0</v>
      </c>
      <c r="AK16" s="22">
        <f ca="1">+GETPIVOTDATA("XBB4",'binhba (2016)'!$A$3,"MA_HT","NTS","MA_QH","DXH")</f>
        <v>0</v>
      </c>
      <c r="AL16" s="22">
        <f ca="1">+GETPIVOTDATA("XBB4",'binhba (2016)'!$A$3,"MA_HT","NTS","MA_QH","DCH")</f>
        <v>0</v>
      </c>
      <c r="AM16" s="22">
        <f ca="1">+GETPIVOTDATA("XBB4",'binhba (2016)'!$A$3,"MA_HT","NTS","MA_QH","DKG")</f>
        <v>0</v>
      </c>
      <c r="AN16" s="22">
        <f ca="1">+GETPIVOTDATA("XBB4",'binhba (2016)'!$A$3,"MA_HT","NTS","MA_QH","DDT")</f>
        <v>0</v>
      </c>
      <c r="AO16" s="22">
        <f ca="1">+GETPIVOTDATA("XBB4",'binhba (2016)'!$A$3,"MA_HT","NTS","MA_QH","DDL")</f>
        <v>0</v>
      </c>
      <c r="AP16" s="22">
        <f ca="1">+GETPIVOTDATA("XBB4",'binhba (2016)'!$A$3,"MA_HT","NTS","MA_QH","DRA")</f>
        <v>0</v>
      </c>
      <c r="AQ16" s="22">
        <f ca="1">+GETPIVOTDATA("XBB4",'binhba (2016)'!$A$3,"MA_HT","NTS","MA_QH","ONT")</f>
        <v>0</v>
      </c>
      <c r="AR16" s="22">
        <f ca="1">+GETPIVOTDATA("XBB4",'binhba (2016)'!$A$3,"MA_HT","NTS","MA_QH","ODT")</f>
        <v>0</v>
      </c>
      <c r="AS16" s="22">
        <f ca="1">+GETPIVOTDATA("XBB4",'binhba (2016)'!$A$3,"MA_HT","NTS","MA_QH","TSC")</f>
        <v>0</v>
      </c>
      <c r="AT16" s="22">
        <f ca="1">+GETPIVOTDATA("XBB4",'binhba (2016)'!$A$3,"MA_HT","NTS","MA_QH","DTS")</f>
        <v>0</v>
      </c>
      <c r="AU16" s="22">
        <f ca="1">+GETPIVOTDATA("XBB4",'binhba (2016)'!$A$3,"MA_HT","NTS","MA_QH","DNG")</f>
        <v>0</v>
      </c>
      <c r="AV16" s="22">
        <f ca="1">+GETPIVOTDATA("XBB4",'binhba (2016)'!$A$3,"MA_HT","NTS","MA_QH","TON")</f>
        <v>0</v>
      </c>
      <c r="AW16" s="22">
        <f ca="1">+GETPIVOTDATA("XBB4",'binhba (2016)'!$A$3,"MA_HT","NTS","MA_QH","NTD")</f>
        <v>0</v>
      </c>
      <c r="AX16" s="22">
        <f ca="1">+GETPIVOTDATA("XBB4",'binhba (2016)'!$A$3,"MA_HT","NTS","MA_QH","SKX")</f>
        <v>0</v>
      </c>
      <c r="AY16" s="22">
        <f ca="1">+GETPIVOTDATA("XBB4",'binhba (2016)'!$A$3,"MA_HT","NTS","MA_QH","DSH")</f>
        <v>0</v>
      </c>
      <c r="AZ16" s="22">
        <f ca="1">+GETPIVOTDATA("XBB4",'binhba (2016)'!$A$3,"MA_HT","NTS","MA_QH","DKV")</f>
        <v>0</v>
      </c>
      <c r="BA16" s="89">
        <f ca="1">+GETPIVOTDATA("XBB4",'binhba (2016)'!$A$3,"MA_HT","NTS","MA_QH","TIN")</f>
        <v>0</v>
      </c>
      <c r="BB16" s="50">
        <f ca="1">+GETPIVOTDATA("XBB4",'binhba (2016)'!$A$3,"MA_HT","NTS","MA_QH","SON")</f>
        <v>0</v>
      </c>
      <c r="BC16" s="50">
        <f ca="1">+GETPIVOTDATA("XBB4",'binhba (2016)'!$A$3,"MA_HT","NTS","MA_QH","MNC")</f>
        <v>0</v>
      </c>
      <c r="BD16" s="22">
        <f ca="1">+GETPIVOTDATA("XBB4",'binhba (2016)'!$A$3,"MA_HT","NTS","MA_QH","PNK")</f>
        <v>0</v>
      </c>
      <c r="BE16" s="71">
        <f ca="1">+GETPIVOTDATA("XBB4",'binhba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+GETPIVOTDATA("XBB4",'binhba (2016)'!$A$3,"MA_HT","LMU","MA_QH","LUC")</f>
        <v>0</v>
      </c>
      <c r="H17" s="22">
        <f ca="1">+GETPIVOTDATA("XBB4",'binhba (2016)'!$A$3,"MA_HT","LMU","MA_QH","LUK")</f>
        <v>0</v>
      </c>
      <c r="I17" s="22">
        <f ca="1">+GETPIVOTDATA("XBB4",'binhba (2016)'!$A$3,"MA_HT","LMU","MA_QH","LUN")</f>
        <v>0</v>
      </c>
      <c r="J17" s="22">
        <f ca="1">+GETPIVOTDATA("XBB4",'binhba (2016)'!$A$3,"MA_HT","LMU","MA_QH","HNK")</f>
        <v>0</v>
      </c>
      <c r="K17" s="22">
        <f ca="1">+GETPIVOTDATA("XBB4",'binhba (2016)'!$A$3,"MA_HT","LMU","MA_QH","CLN")</f>
        <v>0</v>
      </c>
      <c r="L17" s="22">
        <f ca="1">+GETPIVOTDATA("XBB4",'binhba (2016)'!$A$3,"MA_HT","LMU","MA_QH","RSX")</f>
        <v>0</v>
      </c>
      <c r="M17" s="22">
        <f ca="1">+GETPIVOTDATA("XBB4",'binhba (2016)'!$A$3,"MA_HT","LMU","MA_QH","RPH")</f>
        <v>0</v>
      </c>
      <c r="N17" s="22">
        <f ca="1">+GETPIVOTDATA("XBB4",'binhba (2016)'!$A$3,"MA_HT","LMU","MA_QH","RDD")</f>
        <v>0</v>
      </c>
      <c r="O17" s="22">
        <f ca="1">+GETPIVOTDATA("XBB4",'binhba (2016)'!$A$3,"MA_HT","LMU","MA_QH","NTS")</f>
        <v>0</v>
      </c>
      <c r="P17" s="43" t="e">
        <f ca="1">$D17-$BF17</f>
        <v>#REF!</v>
      </c>
      <c r="Q17" s="22">
        <f ca="1">+GETPIVOTDATA("XBB4",'binhba (2016)'!$A$3,"MA_HT","LMU","MA_QH","NKH")</f>
        <v>0</v>
      </c>
      <c r="R17" s="42">
        <f ca="1" t="shared" si="2"/>
        <v>0</v>
      </c>
      <c r="S17" s="22">
        <f ca="1">+GETPIVOTDATA("XBB4",'binhba (2016)'!$A$3,"MA_HT","LMU","MA_QH","CQP")</f>
        <v>0</v>
      </c>
      <c r="T17" s="22">
        <f ca="1">+GETPIVOTDATA("XBB4",'binhba (2016)'!$A$3,"MA_HT","LMU","MA_QH","CAN")</f>
        <v>0</v>
      </c>
      <c r="U17" s="22">
        <f ca="1">+GETPIVOTDATA("XBB4",'binhba (2016)'!$A$3,"MA_HT","LMU","MA_QH","SKK")</f>
        <v>0</v>
      </c>
      <c r="V17" s="22">
        <f ca="1">+GETPIVOTDATA("XBB4",'binhba (2016)'!$A$3,"MA_HT","LMU","MA_QH","SKT")</f>
        <v>0</v>
      </c>
      <c r="W17" s="22">
        <f ca="1">+GETPIVOTDATA("XBB4",'binhba (2016)'!$A$3,"MA_HT","LMU","MA_QH","SKN")</f>
        <v>0</v>
      </c>
      <c r="X17" s="22">
        <f ca="1">+GETPIVOTDATA("XBB4",'binhba (2016)'!$A$3,"MA_HT","LMU","MA_QH","TMD")</f>
        <v>0</v>
      </c>
      <c r="Y17" s="22">
        <f ca="1">+GETPIVOTDATA("XBB4",'binhba (2016)'!$A$3,"MA_HT","LMU","MA_QH","SKC")</f>
        <v>0</v>
      </c>
      <c r="Z17" s="22">
        <f ca="1">+GETPIVOTDATA("XBB4",'binhba (2016)'!$A$3,"MA_HT","LMU","MA_QH","SKS")</f>
        <v>0</v>
      </c>
      <c r="AA17" s="52">
        <f ca="1" t="shared" si="4"/>
        <v>0</v>
      </c>
      <c r="AB17" s="22">
        <f ca="1">+GETPIVOTDATA("XBB4",'binhba (2016)'!$A$3,"MA_HT","LMU","MA_QH","DGT")</f>
        <v>0</v>
      </c>
      <c r="AC17" s="22">
        <f ca="1">+GETPIVOTDATA("XBB4",'binhba (2016)'!$A$3,"MA_HT","LMU","MA_QH","DTL")</f>
        <v>0</v>
      </c>
      <c r="AD17" s="22">
        <f ca="1">+GETPIVOTDATA("XBB4",'binhba (2016)'!$A$3,"MA_HT","LMU","MA_QH","DNL")</f>
        <v>0</v>
      </c>
      <c r="AE17" s="22">
        <f ca="1">+GETPIVOTDATA("XBB4",'binhba (2016)'!$A$3,"MA_HT","LMU","MA_QH","DBV")</f>
        <v>0</v>
      </c>
      <c r="AF17" s="22">
        <f ca="1">+GETPIVOTDATA("XBB4",'binhba (2016)'!$A$3,"MA_HT","LMU","MA_QH","DVH")</f>
        <v>0</v>
      </c>
      <c r="AG17" s="22">
        <f ca="1">+GETPIVOTDATA("XBB4",'binhba (2016)'!$A$3,"MA_HT","LMU","MA_QH","DYT")</f>
        <v>0</v>
      </c>
      <c r="AH17" s="22">
        <f ca="1">+GETPIVOTDATA("XBB4",'binhba (2016)'!$A$3,"MA_HT","LMU","MA_QH","DGD")</f>
        <v>0</v>
      </c>
      <c r="AI17" s="22">
        <f ca="1">+GETPIVOTDATA("XBB4",'binhba (2016)'!$A$3,"MA_HT","LMU","MA_QH","DTT")</f>
        <v>0</v>
      </c>
      <c r="AJ17" s="22">
        <f ca="1">+GETPIVOTDATA("XBB4",'binhba (2016)'!$A$3,"MA_HT","LMU","MA_QH","NCK")</f>
        <v>0</v>
      </c>
      <c r="AK17" s="22">
        <f ca="1">+GETPIVOTDATA("XBB4",'binhba (2016)'!$A$3,"MA_HT","LMU","MA_QH","DXH")</f>
        <v>0</v>
      </c>
      <c r="AL17" s="22">
        <f ca="1">+GETPIVOTDATA("XBB4",'binhba (2016)'!$A$3,"MA_HT","LMU","MA_QH","DCH")</f>
        <v>0</v>
      </c>
      <c r="AM17" s="22">
        <f ca="1">+GETPIVOTDATA("XBB4",'binhba (2016)'!$A$3,"MA_HT","LMU","MA_QH","DKG")</f>
        <v>0</v>
      </c>
      <c r="AN17" s="22">
        <f ca="1">+GETPIVOTDATA("XBB4",'binhba (2016)'!$A$3,"MA_HT","LMU","MA_QH","DDT")</f>
        <v>0</v>
      </c>
      <c r="AO17" s="22">
        <f ca="1">+GETPIVOTDATA("XBB4",'binhba (2016)'!$A$3,"MA_HT","LMU","MA_QH","DDL")</f>
        <v>0</v>
      </c>
      <c r="AP17" s="22">
        <f ca="1">+GETPIVOTDATA("XBB4",'binhba (2016)'!$A$3,"MA_HT","LMU","MA_QH","DRA")</f>
        <v>0</v>
      </c>
      <c r="AQ17" s="22">
        <f ca="1">+GETPIVOTDATA("XBB4",'binhba (2016)'!$A$3,"MA_HT","LMU","MA_QH","ONT")</f>
        <v>0</v>
      </c>
      <c r="AR17" s="22">
        <f ca="1">+GETPIVOTDATA("XBB4",'binhba (2016)'!$A$3,"MA_HT","LMU","MA_QH","ODT")</f>
        <v>0</v>
      </c>
      <c r="AS17" s="22">
        <f ca="1">+GETPIVOTDATA("XBB4",'binhba (2016)'!$A$3,"MA_HT","LMU","MA_QH","TSC")</f>
        <v>0</v>
      </c>
      <c r="AT17" s="22">
        <f ca="1">+GETPIVOTDATA("XBB4",'binhba (2016)'!$A$3,"MA_HT","LMU","MA_QH","DTS")</f>
        <v>0</v>
      </c>
      <c r="AU17" s="22">
        <f ca="1">+GETPIVOTDATA("XBB4",'binhba (2016)'!$A$3,"MA_HT","LMU","MA_QH","DNG")</f>
        <v>0</v>
      </c>
      <c r="AV17" s="22">
        <f ca="1">+GETPIVOTDATA("XBB4",'binhba (2016)'!$A$3,"MA_HT","LMU","MA_QH","TON")</f>
        <v>0</v>
      </c>
      <c r="AW17" s="22">
        <f ca="1">+GETPIVOTDATA("XBB4",'binhba (2016)'!$A$3,"MA_HT","LMU","MA_QH","NTD")</f>
        <v>0</v>
      </c>
      <c r="AX17" s="22">
        <f ca="1">+GETPIVOTDATA("XBB4",'binhba (2016)'!$A$3,"MA_HT","LMU","MA_QH","SKX")</f>
        <v>0</v>
      </c>
      <c r="AY17" s="22">
        <f ca="1">+GETPIVOTDATA("XBB4",'binhba (2016)'!$A$3,"MA_HT","LMU","MA_QH","DSH")</f>
        <v>0</v>
      </c>
      <c r="AZ17" s="22">
        <f ca="1">+GETPIVOTDATA("XBB4",'binhba (2016)'!$A$3,"MA_HT","LMU","MA_QH","DKV")</f>
        <v>0</v>
      </c>
      <c r="BA17" s="89">
        <f ca="1">+GETPIVOTDATA("XBB4",'binhba (2016)'!$A$3,"MA_HT","LMU","MA_QH","TIN")</f>
        <v>0</v>
      </c>
      <c r="BB17" s="50">
        <f ca="1">+GETPIVOTDATA("XBB4",'binhba (2016)'!$A$3,"MA_HT","LMU","MA_QH","SON")</f>
        <v>0</v>
      </c>
      <c r="BC17" s="50">
        <f ca="1">+GETPIVOTDATA("XBB4",'binhba (2016)'!$A$3,"MA_HT","LMU","MA_QH","MNC")</f>
        <v>0</v>
      </c>
      <c r="BD17" s="22">
        <f ca="1">+GETPIVOTDATA("XBB4",'binhba (2016)'!$A$3,"MA_HT","LMU","MA_QH","PNK")</f>
        <v>0</v>
      </c>
      <c r="BE17" s="71">
        <f ca="1">+GETPIVOTDATA("XBB4",'binhba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+GETPIVOTDATA("XBB4",'binhba (2016)'!$A$3,"MA_HT","NKH","MA_QH","LUC")</f>
        <v>0</v>
      </c>
      <c r="H18" s="22">
        <f ca="1">+GETPIVOTDATA("XBB4",'binhba (2016)'!$A$3,"MA_HT","NKH","MA_QH","LUK")</f>
        <v>0</v>
      </c>
      <c r="I18" s="22">
        <f ca="1">+GETPIVOTDATA("XBB4",'binhba (2016)'!$A$3,"MA_HT","NKH","MA_QH","LUN")</f>
        <v>0</v>
      </c>
      <c r="J18" s="22">
        <f ca="1">+GETPIVOTDATA("XBB4",'binhba (2016)'!$A$3,"MA_HT","NKH","MA_QH","HNK")</f>
        <v>0</v>
      </c>
      <c r="K18" s="22">
        <f ca="1">+GETPIVOTDATA("XBB4",'binhba (2016)'!$A$3,"MA_HT","NKH","MA_QH","CLN")</f>
        <v>0</v>
      </c>
      <c r="L18" s="22">
        <f ca="1">+GETPIVOTDATA("XBB4",'binhba (2016)'!$A$3,"MA_HT","NKH","MA_QH","RSX")</f>
        <v>0</v>
      </c>
      <c r="M18" s="22">
        <f ca="1">+GETPIVOTDATA("XBB4",'binhba (2016)'!$A$3,"MA_HT","NKH","MA_QH","RPH")</f>
        <v>0</v>
      </c>
      <c r="N18" s="22">
        <f ca="1">+GETPIVOTDATA("XBB4",'binhba (2016)'!$A$3,"MA_HT","NKH","MA_QH","RDD")</f>
        <v>0</v>
      </c>
      <c r="O18" s="22">
        <f ca="1">+GETPIVOTDATA("XBB4",'binhba (2016)'!$A$3,"MA_HT","NKH","MA_QH","NTS")</f>
        <v>0</v>
      </c>
      <c r="P18" s="22">
        <f ca="1">+GETPIVOTDATA("XBB4",'binhba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+GETPIVOTDATA("XBB4",'binhba (2016)'!$A$3,"MA_HT","NKH","MA_QH","CQP")</f>
        <v>0</v>
      </c>
      <c r="T18" s="22">
        <f ca="1">+GETPIVOTDATA("XBB4",'binhba (2016)'!$A$3,"MA_HT","NKH","MA_QH","CAN")</f>
        <v>0</v>
      </c>
      <c r="U18" s="22">
        <f ca="1">+GETPIVOTDATA("XBB4",'binhba (2016)'!$A$3,"MA_HT","NKH","MA_QH","SKK")</f>
        <v>0</v>
      </c>
      <c r="V18" s="22">
        <f ca="1">+GETPIVOTDATA("XBB4",'binhba (2016)'!$A$3,"MA_HT","NKH","MA_QH","SKT")</f>
        <v>0</v>
      </c>
      <c r="W18" s="22">
        <f ca="1">+GETPIVOTDATA("XBB4",'binhba (2016)'!$A$3,"MA_HT","NKH","MA_QH","SKN")</f>
        <v>0</v>
      </c>
      <c r="X18" s="22">
        <f ca="1">+GETPIVOTDATA("XBB4",'binhba (2016)'!$A$3,"MA_HT","NKH","MA_QH","TMD")</f>
        <v>0</v>
      </c>
      <c r="Y18" s="22">
        <f ca="1">+GETPIVOTDATA("XBB4",'binhba (2016)'!$A$3,"MA_HT","NKH","MA_QH","SKC")</f>
        <v>0</v>
      </c>
      <c r="Z18" s="22">
        <f ca="1">+GETPIVOTDATA("XBB4",'binhba (2016)'!$A$3,"MA_HT","NKH","MA_QH","SKS")</f>
        <v>0</v>
      </c>
      <c r="AA18" s="52">
        <f ca="1" t="shared" si="4"/>
        <v>0</v>
      </c>
      <c r="AB18" s="22">
        <f ca="1">+GETPIVOTDATA("XBB4",'binhba (2016)'!$A$3,"MA_HT","NKH","MA_QH","DGT")</f>
        <v>0</v>
      </c>
      <c r="AC18" s="22">
        <f ca="1">+GETPIVOTDATA("XBB4",'binhba (2016)'!$A$3,"MA_HT","NKH","MA_QH","DTL")</f>
        <v>0</v>
      </c>
      <c r="AD18" s="22">
        <f ca="1">+GETPIVOTDATA("XBB4",'binhba (2016)'!$A$3,"MA_HT","NKH","MA_QH","DNL")</f>
        <v>0</v>
      </c>
      <c r="AE18" s="22">
        <f ca="1">+GETPIVOTDATA("XBB4",'binhba (2016)'!$A$3,"MA_HT","NKH","MA_QH","DBV")</f>
        <v>0</v>
      </c>
      <c r="AF18" s="22">
        <f ca="1">+GETPIVOTDATA("XBB4",'binhba (2016)'!$A$3,"MA_HT","NKH","MA_QH","DVH")</f>
        <v>0</v>
      </c>
      <c r="AG18" s="22">
        <f ca="1">+GETPIVOTDATA("XBB4",'binhba (2016)'!$A$3,"MA_HT","NKH","MA_QH","DYT")</f>
        <v>0</v>
      </c>
      <c r="AH18" s="22">
        <f ca="1">+GETPIVOTDATA("XBB4",'binhba (2016)'!$A$3,"MA_HT","NKH","MA_QH","DGD")</f>
        <v>0</v>
      </c>
      <c r="AI18" s="22">
        <f ca="1">+GETPIVOTDATA("XBB4",'binhba (2016)'!$A$3,"MA_HT","NKH","MA_QH","DTT")</f>
        <v>0</v>
      </c>
      <c r="AJ18" s="22">
        <f ca="1">+GETPIVOTDATA("XBB4",'binhba (2016)'!$A$3,"MA_HT","NKH","MA_QH","NCK")</f>
        <v>0</v>
      </c>
      <c r="AK18" s="22">
        <f ca="1">+GETPIVOTDATA("XBB4",'binhba (2016)'!$A$3,"MA_HT","NKH","MA_QH","DXH")</f>
        <v>0</v>
      </c>
      <c r="AL18" s="22">
        <f ca="1">+GETPIVOTDATA("XBB4",'binhba (2016)'!$A$3,"MA_HT","NKH","MA_QH","DCH")</f>
        <v>0</v>
      </c>
      <c r="AM18" s="22">
        <f ca="1">+GETPIVOTDATA("XBB4",'binhba (2016)'!$A$3,"MA_HT","NKH","MA_QH","DKG")</f>
        <v>0</v>
      </c>
      <c r="AN18" s="22">
        <f ca="1">+GETPIVOTDATA("XBB4",'binhba (2016)'!$A$3,"MA_HT","NKH","MA_QH","DDT")</f>
        <v>0</v>
      </c>
      <c r="AO18" s="22">
        <f ca="1">+GETPIVOTDATA("XBB4",'binhba (2016)'!$A$3,"MA_HT","NKH","MA_QH","DDL")</f>
        <v>0</v>
      </c>
      <c r="AP18" s="22">
        <f ca="1">+GETPIVOTDATA("XBB4",'binhba (2016)'!$A$3,"MA_HT","NKH","MA_QH","DRA")</f>
        <v>0</v>
      </c>
      <c r="AQ18" s="22">
        <f ca="1">+GETPIVOTDATA("XBB4",'binhba (2016)'!$A$3,"MA_HT","NKH","MA_QH","ONT")</f>
        <v>0</v>
      </c>
      <c r="AR18" s="22">
        <f ca="1">+GETPIVOTDATA("XBB4",'binhba (2016)'!$A$3,"MA_HT","NKH","MA_QH","ODT")</f>
        <v>0</v>
      </c>
      <c r="AS18" s="22">
        <f ca="1">+GETPIVOTDATA("XBB4",'binhba (2016)'!$A$3,"MA_HT","NKH","MA_QH","TSC")</f>
        <v>0</v>
      </c>
      <c r="AT18" s="22">
        <f ca="1">+GETPIVOTDATA("XBB4",'binhba (2016)'!$A$3,"MA_HT","NKH","MA_QH","DTS")</f>
        <v>0</v>
      </c>
      <c r="AU18" s="22">
        <f ca="1">+GETPIVOTDATA("XBB4",'binhba (2016)'!$A$3,"MA_HT","NKH","MA_QH","DNG")</f>
        <v>0</v>
      </c>
      <c r="AV18" s="22">
        <f ca="1">+GETPIVOTDATA("XBB4",'binhba (2016)'!$A$3,"MA_HT","NKH","MA_QH","TON")</f>
        <v>0</v>
      </c>
      <c r="AW18" s="22">
        <f ca="1">+GETPIVOTDATA("XBB4",'binhba (2016)'!$A$3,"MA_HT","NKH","MA_QH","NTD")</f>
        <v>0</v>
      </c>
      <c r="AX18" s="22">
        <f ca="1">+GETPIVOTDATA("XBB4",'binhba (2016)'!$A$3,"MA_HT","NKH","MA_QH","SKX")</f>
        <v>0</v>
      </c>
      <c r="AY18" s="22">
        <f ca="1">+GETPIVOTDATA("XBB4",'binhba (2016)'!$A$3,"MA_HT","NKH","MA_QH","DSH")</f>
        <v>0</v>
      </c>
      <c r="AZ18" s="22">
        <f ca="1">+GETPIVOTDATA("XBB4",'binhba (2016)'!$A$3,"MA_HT","NKH","MA_QH","DKV")</f>
        <v>0</v>
      </c>
      <c r="BA18" s="89">
        <f ca="1">+GETPIVOTDATA("XBB4",'binhba (2016)'!$A$3,"MA_HT","NKH","MA_QH","TIN")</f>
        <v>0</v>
      </c>
      <c r="BB18" s="50">
        <f ca="1">+GETPIVOTDATA("XBB4",'binhba (2016)'!$A$3,"MA_HT","NKH","MA_QH","SON")</f>
        <v>0</v>
      </c>
      <c r="BC18" s="50">
        <f ca="1">+GETPIVOTDATA("XBB4",'binhba (2016)'!$A$3,"MA_HT","NKH","MA_QH","MNC")</f>
        <v>0</v>
      </c>
      <c r="BD18" s="22">
        <f ca="1">+GETPIVOTDATA("XBB4",'binhba (2016)'!$A$3,"MA_HT","NKH","MA_QH","PNK")</f>
        <v>0</v>
      </c>
      <c r="BE18" s="71">
        <f ca="1">+GETPIVOTDATA("XBB4",'binhba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+GETPIVOTDATA("XBB4",'binhba (2016)'!$A$3,"MA_HT","CQP","MA_QH","LUC")</f>
        <v>0</v>
      </c>
      <c r="H20" s="22">
        <f ca="1">+GETPIVOTDATA("XBB4",'binhba (2016)'!$A$3,"MA_HT","CQP","MA_QH","LUK")</f>
        <v>0</v>
      </c>
      <c r="I20" s="22">
        <f ca="1">+GETPIVOTDATA("XBB4",'binhba (2016)'!$A$3,"MA_HT","CQP","MA_QH","LUN")</f>
        <v>0</v>
      </c>
      <c r="J20" s="22">
        <f ca="1">+GETPIVOTDATA("XBB4",'binhba (2016)'!$A$3,"MA_HT","CQP","MA_QH","HNK")</f>
        <v>0</v>
      </c>
      <c r="K20" s="22">
        <f ca="1">+GETPIVOTDATA("XBB4",'binhba (2016)'!$A$3,"MA_HT","CQP","MA_QH","CLN")</f>
        <v>0</v>
      </c>
      <c r="L20" s="22">
        <f ca="1">+GETPIVOTDATA("XBB4",'binhba (2016)'!$A$3,"MA_HT","CQP","MA_QH","RSX")</f>
        <v>0</v>
      </c>
      <c r="M20" s="22">
        <f ca="1">+GETPIVOTDATA("XBB4",'binhba (2016)'!$A$3,"MA_HT","CQP","MA_QH","RPH")</f>
        <v>0</v>
      </c>
      <c r="N20" s="22">
        <f ca="1">+GETPIVOTDATA("XBB4",'binhba (2016)'!$A$3,"MA_HT","CQP","MA_QH","RDD")</f>
        <v>0</v>
      </c>
      <c r="O20" s="22">
        <f ca="1">+GETPIVOTDATA("XBB4",'binhba (2016)'!$A$3,"MA_HT","CQP","MA_QH","NTS")</f>
        <v>0</v>
      </c>
      <c r="P20" s="22">
        <f ca="1">+GETPIVOTDATA("XBB4",'binhba (2016)'!$A$3,"MA_HT","CQP","MA_QH","LMU")</f>
        <v>0</v>
      </c>
      <c r="Q20" s="22">
        <f ca="1">+GETPIVOTDATA("XBB4",'binhba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+GETPIVOTDATA("XBB4",'binhba (2016)'!$A$3,"MA_HT","CQP","MA_QH","CAN")</f>
        <v>0</v>
      </c>
      <c r="U20" s="22">
        <f ca="1">+GETPIVOTDATA("XBB4",'binhba (2016)'!$A$3,"MA_HT","CQP","MA_QH","SKK")</f>
        <v>0</v>
      </c>
      <c r="V20" s="22">
        <f ca="1">+GETPIVOTDATA("XBB4",'binhba (2016)'!$A$3,"MA_HT","CQP","MA_QH","SKT")</f>
        <v>0</v>
      </c>
      <c r="W20" s="22">
        <f ca="1">+GETPIVOTDATA("XBB4",'binhba (2016)'!$A$3,"MA_HT","CQP","MA_QH","SKN")</f>
        <v>0</v>
      </c>
      <c r="X20" s="22">
        <f ca="1">+GETPIVOTDATA("XBB4",'binhba (2016)'!$A$3,"MA_HT","CQP","MA_QH","TMD")</f>
        <v>0</v>
      </c>
      <c r="Y20" s="22">
        <f ca="1">+GETPIVOTDATA("XBB4",'binhba (2016)'!$A$3,"MA_HT","CQP","MA_QH","SKC")</f>
        <v>0</v>
      </c>
      <c r="Z20" s="22">
        <f ca="1">+GETPIVOTDATA("XBB4",'binhba (2016)'!$A$3,"MA_HT","CQP","MA_QH","SKS")</f>
        <v>0</v>
      </c>
      <c r="AA20" s="52">
        <f ca="1" t="shared" ref="AA20:AA27" si="12">+SUM(AB20:AM20)</f>
        <v>0</v>
      </c>
      <c r="AB20" s="22">
        <f ca="1">+GETPIVOTDATA("XBB4",'binhba (2016)'!$A$3,"MA_HT","CQP","MA_QH","DGT")</f>
        <v>0</v>
      </c>
      <c r="AC20" s="22">
        <f ca="1">+GETPIVOTDATA("XBB4",'binhba (2016)'!$A$3,"MA_HT","CQP","MA_QH","DTL")</f>
        <v>0</v>
      </c>
      <c r="AD20" s="22">
        <f ca="1">+GETPIVOTDATA("XBB4",'binhba (2016)'!$A$3,"MA_HT","CQP","MA_QH","DNL")</f>
        <v>0</v>
      </c>
      <c r="AE20" s="22">
        <f ca="1">+GETPIVOTDATA("XBB4",'binhba (2016)'!$A$3,"MA_HT","CQP","MA_QH","DBV")</f>
        <v>0</v>
      </c>
      <c r="AF20" s="22">
        <f ca="1">+GETPIVOTDATA("XBB4",'binhba (2016)'!$A$3,"MA_HT","CQP","MA_QH","DVH")</f>
        <v>0</v>
      </c>
      <c r="AG20" s="22">
        <f ca="1">+GETPIVOTDATA("XBB4",'binhba (2016)'!$A$3,"MA_HT","CQP","MA_QH","DYT")</f>
        <v>0</v>
      </c>
      <c r="AH20" s="22">
        <f ca="1">+GETPIVOTDATA("XBB4",'binhba (2016)'!$A$3,"MA_HT","CQP","MA_QH","DGD")</f>
        <v>0</v>
      </c>
      <c r="AI20" s="22">
        <f ca="1">+GETPIVOTDATA("XBB4",'binhba (2016)'!$A$3,"MA_HT","CQP","MA_QH","DTT")</f>
        <v>0</v>
      </c>
      <c r="AJ20" s="22">
        <f ca="1">+GETPIVOTDATA("XBB4",'binhba (2016)'!$A$3,"MA_HT","CQP","MA_QH","NCK")</f>
        <v>0</v>
      </c>
      <c r="AK20" s="22">
        <f ca="1">+GETPIVOTDATA("XBB4",'binhba (2016)'!$A$3,"MA_HT","CQP","MA_QH","DXH")</f>
        <v>0</v>
      </c>
      <c r="AL20" s="22">
        <f ca="1">+GETPIVOTDATA("XBB4",'binhba (2016)'!$A$3,"MA_HT","CQP","MA_QH","DCH")</f>
        <v>0</v>
      </c>
      <c r="AM20" s="22">
        <f ca="1">+GETPIVOTDATA("XBB4",'binhba (2016)'!$A$3,"MA_HT","CQP","MA_QH","DKG")</f>
        <v>0</v>
      </c>
      <c r="AN20" s="22">
        <f ca="1">+GETPIVOTDATA("XBB4",'binhba (2016)'!$A$3,"MA_HT","CQP","MA_QH","DDT")</f>
        <v>0</v>
      </c>
      <c r="AO20" s="22">
        <f ca="1">+GETPIVOTDATA("XBB4",'binhba (2016)'!$A$3,"MA_HT","CQP","MA_QH","DDL")</f>
        <v>0</v>
      </c>
      <c r="AP20" s="22">
        <f ca="1">+GETPIVOTDATA("XBB4",'binhba (2016)'!$A$3,"MA_HT","CQP","MA_QH","DRA")</f>
        <v>0</v>
      </c>
      <c r="AQ20" s="22">
        <f ca="1">+GETPIVOTDATA("XBB4",'binhba (2016)'!$A$3,"MA_HT","CQP","MA_QH","ONT")</f>
        <v>0</v>
      </c>
      <c r="AR20" s="22">
        <f ca="1">+GETPIVOTDATA("XBB4",'binhba (2016)'!$A$3,"MA_HT","CQP","MA_QH","ODT")</f>
        <v>0</v>
      </c>
      <c r="AS20" s="22">
        <f ca="1">+GETPIVOTDATA("XBB4",'binhba (2016)'!$A$3,"MA_HT","CQP","MA_QH","TSC")</f>
        <v>0</v>
      </c>
      <c r="AT20" s="22">
        <f ca="1">+GETPIVOTDATA("XBB4",'binhba (2016)'!$A$3,"MA_HT","CQP","MA_QH","DTS")</f>
        <v>0</v>
      </c>
      <c r="AU20" s="22">
        <f ca="1">+GETPIVOTDATA("XBB4",'binhba (2016)'!$A$3,"MA_HT","CQP","MA_QH","DNG")</f>
        <v>0</v>
      </c>
      <c r="AV20" s="22">
        <f ca="1">+GETPIVOTDATA("XBB4",'binhba (2016)'!$A$3,"MA_HT","CQP","MA_QH","TON")</f>
        <v>0</v>
      </c>
      <c r="AW20" s="22">
        <f ca="1">+GETPIVOTDATA("XBB4",'binhba (2016)'!$A$3,"MA_HT","CQP","MA_QH","NTD")</f>
        <v>0</v>
      </c>
      <c r="AX20" s="22">
        <f ca="1">+GETPIVOTDATA("XBB4",'binhba (2016)'!$A$3,"MA_HT","CQP","MA_QH","SKX")</f>
        <v>0</v>
      </c>
      <c r="AY20" s="22">
        <f ca="1">+GETPIVOTDATA("XBB4",'binhba (2016)'!$A$3,"MA_HT","CQP","MA_QH","DSH")</f>
        <v>0</v>
      </c>
      <c r="AZ20" s="22">
        <f ca="1">+GETPIVOTDATA("XBB4",'binhba (2016)'!$A$3,"MA_HT","CQP","MA_QH","DKV")</f>
        <v>0</v>
      </c>
      <c r="BA20" s="89">
        <f ca="1">+GETPIVOTDATA("XBB4",'binhba (2016)'!$A$3,"MA_HT","CQP","MA_QH","TIN")</f>
        <v>0</v>
      </c>
      <c r="BB20" s="50">
        <f ca="1">+GETPIVOTDATA("XBB4",'binhba (2016)'!$A$3,"MA_HT","CQP","MA_QH","SON")</f>
        <v>0</v>
      </c>
      <c r="BC20" s="50">
        <f ca="1">+GETPIVOTDATA("XBB4",'binhba (2016)'!$A$3,"MA_HT","CQP","MA_QH","MNC")</f>
        <v>0</v>
      </c>
      <c r="BD20" s="22">
        <f ca="1">+GETPIVOTDATA("XBB4",'binhba (2016)'!$A$3,"MA_HT","CQP","MA_QH","PNK")</f>
        <v>0</v>
      </c>
      <c r="BE20" s="71">
        <f ca="1">+GETPIVOTDATA("XBB4",'binhba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+GETPIVOTDATA("XBB4",'binhba (2016)'!$A$3,"MA_HT","CAN","MA_QH","LUC")</f>
        <v>0</v>
      </c>
      <c r="H21" s="22">
        <f ca="1">+GETPIVOTDATA("XBB4",'binhba (2016)'!$A$3,"MA_HT","CAN","MA_QH","LUK")</f>
        <v>0</v>
      </c>
      <c r="I21" s="22">
        <f ca="1">+GETPIVOTDATA("XBB4",'binhba (2016)'!$A$3,"MA_HT","CAN","MA_QH","LUN")</f>
        <v>0</v>
      </c>
      <c r="J21" s="22">
        <f ca="1">+GETPIVOTDATA("XBB4",'binhba (2016)'!$A$3,"MA_HT","CAN","MA_QH","HNK")</f>
        <v>0</v>
      </c>
      <c r="K21" s="22">
        <f ca="1">+GETPIVOTDATA("XBB4",'binhba (2016)'!$A$3,"MA_HT","CAN","MA_QH","CLN")</f>
        <v>0</v>
      </c>
      <c r="L21" s="22">
        <f ca="1">+GETPIVOTDATA("XBB4",'binhba (2016)'!$A$3,"MA_HT","CAN","MA_QH","RSX")</f>
        <v>0</v>
      </c>
      <c r="M21" s="22">
        <f ca="1">+GETPIVOTDATA("XBB4",'binhba (2016)'!$A$3,"MA_HT","CAN","MA_QH","RPH")</f>
        <v>0</v>
      </c>
      <c r="N21" s="22">
        <f ca="1">+GETPIVOTDATA("XBB4",'binhba (2016)'!$A$3,"MA_HT","CAN","MA_QH","RDD")</f>
        <v>0</v>
      </c>
      <c r="O21" s="22">
        <f ca="1">+GETPIVOTDATA("XBB4",'binhba (2016)'!$A$3,"MA_HT","CAN","MA_QH","NTS")</f>
        <v>0</v>
      </c>
      <c r="P21" s="22">
        <f ca="1">+GETPIVOTDATA("XBB4",'binhba (2016)'!$A$3,"MA_HT","CAN","MA_QH","LMU")</f>
        <v>0</v>
      </c>
      <c r="Q21" s="22">
        <f ca="1">+GETPIVOTDATA("XBB4",'binhba (2016)'!$A$3,"MA_HT","CAN","MA_QH","NKH")</f>
        <v>0</v>
      </c>
      <c r="R21" s="42">
        <f ca="1">SUM(S21,U21:AA21,AN21:BD21)</f>
        <v>0</v>
      </c>
      <c r="S21" s="22">
        <f ca="1">+GETPIVOTDATA("XBB4",'binhba (2016)'!$A$3,"MA_HT","CAN","MA_QH","CQP")</f>
        <v>0</v>
      </c>
      <c r="T21" s="43" t="e">
        <f ca="1">$D21-$BF21</f>
        <v>#REF!</v>
      </c>
      <c r="U21" s="22">
        <f ca="1">+GETPIVOTDATA("XBB4",'binhba (2016)'!$A$3,"MA_HT","CAN","MA_QH","SKK")</f>
        <v>0</v>
      </c>
      <c r="V21" s="22">
        <f ca="1">+GETPIVOTDATA("XBB4",'binhba (2016)'!$A$3,"MA_HT","CAN","MA_QH","SKT")</f>
        <v>0</v>
      </c>
      <c r="W21" s="22">
        <f ca="1">+GETPIVOTDATA("XBB4",'binhba (2016)'!$A$3,"MA_HT","CAN","MA_QH","SKN")</f>
        <v>0</v>
      </c>
      <c r="X21" s="22">
        <f ca="1">+GETPIVOTDATA("XBB4",'binhba (2016)'!$A$3,"MA_HT","CAN","MA_QH","TMD")</f>
        <v>0</v>
      </c>
      <c r="Y21" s="22">
        <f ca="1">+GETPIVOTDATA("XBB4",'binhba (2016)'!$A$3,"MA_HT","CAN","MA_QH","SKC")</f>
        <v>0</v>
      </c>
      <c r="Z21" s="22">
        <f ca="1">+GETPIVOTDATA("XBB4",'binhba (2016)'!$A$3,"MA_HT","CAN","MA_QH","SKS")</f>
        <v>0</v>
      </c>
      <c r="AA21" s="52">
        <f ca="1" t="shared" si="12"/>
        <v>0</v>
      </c>
      <c r="AB21" s="22">
        <f ca="1">+GETPIVOTDATA("XBB4",'binhba (2016)'!$A$3,"MA_HT","CAN","MA_QH","DGT")</f>
        <v>0</v>
      </c>
      <c r="AC21" s="22">
        <f ca="1">+GETPIVOTDATA("XBB4",'binhba (2016)'!$A$3,"MA_HT","CAN","MA_QH","DTL")</f>
        <v>0</v>
      </c>
      <c r="AD21" s="22">
        <f ca="1">+GETPIVOTDATA("XBB4",'binhba (2016)'!$A$3,"MA_HT","CAN","MA_QH","DNL")</f>
        <v>0</v>
      </c>
      <c r="AE21" s="22">
        <f ca="1">+GETPIVOTDATA("XBB4",'binhba (2016)'!$A$3,"MA_HT","CAN","MA_QH","DBV")</f>
        <v>0</v>
      </c>
      <c r="AF21" s="22">
        <f ca="1">+GETPIVOTDATA("XBB4",'binhba (2016)'!$A$3,"MA_HT","CAN","MA_QH","DVH")</f>
        <v>0</v>
      </c>
      <c r="AG21" s="22">
        <f ca="1">+GETPIVOTDATA("XBB4",'binhba (2016)'!$A$3,"MA_HT","CAN","MA_QH","DYT")</f>
        <v>0</v>
      </c>
      <c r="AH21" s="22">
        <f ca="1">+GETPIVOTDATA("XBB4",'binhba (2016)'!$A$3,"MA_HT","CAN","MA_QH","DGD")</f>
        <v>0</v>
      </c>
      <c r="AI21" s="22">
        <f ca="1">+GETPIVOTDATA("XBB4",'binhba (2016)'!$A$3,"MA_HT","CAN","MA_QH","DTT")</f>
        <v>0</v>
      </c>
      <c r="AJ21" s="22">
        <f ca="1">+GETPIVOTDATA("XBB4",'binhba (2016)'!$A$3,"MA_HT","CAN","MA_QH","NCK")</f>
        <v>0</v>
      </c>
      <c r="AK21" s="22">
        <f ca="1">+GETPIVOTDATA("XBB4",'binhba (2016)'!$A$3,"MA_HT","CAN","MA_QH","DXH")</f>
        <v>0</v>
      </c>
      <c r="AL21" s="22">
        <f ca="1">+GETPIVOTDATA("XBB4",'binhba (2016)'!$A$3,"MA_HT","CAN","MA_QH","DCH")</f>
        <v>0</v>
      </c>
      <c r="AM21" s="22">
        <f ca="1">+GETPIVOTDATA("XBB4",'binhba (2016)'!$A$3,"MA_HT","CAN","MA_QH","DKG")</f>
        <v>0</v>
      </c>
      <c r="AN21" s="22">
        <f ca="1">+GETPIVOTDATA("XBB4",'binhba (2016)'!$A$3,"MA_HT","CAN","MA_QH","DDT")</f>
        <v>0</v>
      </c>
      <c r="AO21" s="22">
        <f ca="1">+GETPIVOTDATA("XBB4",'binhba (2016)'!$A$3,"MA_HT","CAN","MA_QH","DDL")</f>
        <v>0</v>
      </c>
      <c r="AP21" s="22">
        <f ca="1">+GETPIVOTDATA("XBB4",'binhba (2016)'!$A$3,"MA_HT","CAN","MA_QH","DRA")</f>
        <v>0</v>
      </c>
      <c r="AQ21" s="22">
        <f ca="1">+GETPIVOTDATA("XBB4",'binhba (2016)'!$A$3,"MA_HT","CAN","MA_QH","ONT")</f>
        <v>0</v>
      </c>
      <c r="AR21" s="22">
        <f ca="1">+GETPIVOTDATA("XBB4",'binhba (2016)'!$A$3,"MA_HT","CAN","MA_QH","ODT")</f>
        <v>0</v>
      </c>
      <c r="AS21" s="22">
        <f ca="1">+GETPIVOTDATA("XBB4",'binhba (2016)'!$A$3,"MA_HT","CAN","MA_QH","TSC")</f>
        <v>0</v>
      </c>
      <c r="AT21" s="22">
        <f ca="1">+GETPIVOTDATA("XBB4",'binhba (2016)'!$A$3,"MA_HT","CAN","MA_QH","DTS")</f>
        <v>0</v>
      </c>
      <c r="AU21" s="22">
        <f ca="1">+GETPIVOTDATA("XBB4",'binhba (2016)'!$A$3,"MA_HT","CAN","MA_QH","DNG")</f>
        <v>0</v>
      </c>
      <c r="AV21" s="22">
        <f ca="1">+GETPIVOTDATA("XBB4",'binhba (2016)'!$A$3,"MA_HT","CAN","MA_QH","TON")</f>
        <v>0</v>
      </c>
      <c r="AW21" s="22">
        <f ca="1">+GETPIVOTDATA("XBB4",'binhba (2016)'!$A$3,"MA_HT","CAN","MA_QH","NTD")</f>
        <v>0</v>
      </c>
      <c r="AX21" s="22">
        <f ca="1">+GETPIVOTDATA("XBB4",'binhba (2016)'!$A$3,"MA_HT","CAN","MA_QH","SKX")</f>
        <v>0</v>
      </c>
      <c r="AY21" s="22">
        <f ca="1">+GETPIVOTDATA("XBB4",'binhba (2016)'!$A$3,"MA_HT","CAN","MA_QH","DSH")</f>
        <v>0</v>
      </c>
      <c r="AZ21" s="22">
        <f ca="1">+GETPIVOTDATA("XBB4",'binhba (2016)'!$A$3,"MA_HT","CAN","MA_QH","DKV")</f>
        <v>0</v>
      </c>
      <c r="BA21" s="89">
        <f ca="1">+GETPIVOTDATA("XBB4",'binhba (2016)'!$A$3,"MA_HT","CAN","MA_QH","TIN")</f>
        <v>0</v>
      </c>
      <c r="BB21" s="50">
        <f ca="1">+GETPIVOTDATA("XBB4",'binhba (2016)'!$A$3,"MA_HT","CAN","MA_QH","SON")</f>
        <v>0</v>
      </c>
      <c r="BC21" s="50">
        <f ca="1">+GETPIVOTDATA("XBB4",'binhba (2016)'!$A$3,"MA_HT","CAN","MA_QH","MNC")</f>
        <v>0</v>
      </c>
      <c r="BD21" s="22">
        <f ca="1">+GETPIVOTDATA("XBB4",'binhba (2016)'!$A$3,"MA_HT","CAN","MA_QH","PNK")</f>
        <v>0</v>
      </c>
      <c r="BE21" s="71">
        <f ca="1">+GETPIVOTDATA("XBB4",'binhba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+GETPIVOTDATA("XBB4",'binhba (2016)'!$A$3,"MA_HT","SKK","MA_QH","LUC")</f>
        <v>0</v>
      </c>
      <c r="H22" s="22">
        <f ca="1">+GETPIVOTDATA("XBB4",'binhba (2016)'!$A$3,"MA_HT","SKK","MA_QH","LUK")</f>
        <v>0</v>
      </c>
      <c r="I22" s="22">
        <f ca="1">+GETPIVOTDATA("XBB4",'binhba (2016)'!$A$3,"MA_HT","SKK","MA_QH","LUN")</f>
        <v>0</v>
      </c>
      <c r="J22" s="22">
        <f ca="1">+GETPIVOTDATA("XBB4",'binhba (2016)'!$A$3,"MA_HT","SKK","MA_QH","HNK")</f>
        <v>0</v>
      </c>
      <c r="K22" s="22">
        <f ca="1">+GETPIVOTDATA("XBB4",'binhba (2016)'!$A$3,"MA_HT","SKK","MA_QH","CLN")</f>
        <v>0</v>
      </c>
      <c r="L22" s="22">
        <f ca="1">+GETPIVOTDATA("XBB4",'binhba (2016)'!$A$3,"MA_HT","SKK","MA_QH","RSX")</f>
        <v>0</v>
      </c>
      <c r="M22" s="22">
        <f ca="1">+GETPIVOTDATA("XBB4",'binhba (2016)'!$A$3,"MA_HT","SKK","MA_QH","RPH")</f>
        <v>0</v>
      </c>
      <c r="N22" s="22">
        <f ca="1">+GETPIVOTDATA("XBB4",'binhba (2016)'!$A$3,"MA_HT","SKK","MA_QH","RDD")</f>
        <v>0</v>
      </c>
      <c r="O22" s="22">
        <f ca="1">+GETPIVOTDATA("XBB4",'binhba (2016)'!$A$3,"MA_HT","SKK","MA_QH","NTS")</f>
        <v>0</v>
      </c>
      <c r="P22" s="22">
        <f ca="1">+GETPIVOTDATA("XBB4",'binhba (2016)'!$A$3,"MA_HT","SKK","MA_QH","LMU")</f>
        <v>0</v>
      </c>
      <c r="Q22" s="22">
        <f ca="1">+GETPIVOTDATA("XBB4",'binhba (2016)'!$A$3,"MA_HT","SKK","MA_QH","NKH")</f>
        <v>0</v>
      </c>
      <c r="R22" s="42">
        <f ca="1">SUM(S22:T22,V22:AA22,AN22:BD22)</f>
        <v>0</v>
      </c>
      <c r="S22" s="22">
        <f ca="1">+GETPIVOTDATA("XBB4",'binhba (2016)'!$A$3,"MA_HT","SKK","MA_QH","CQP")</f>
        <v>0</v>
      </c>
      <c r="T22" s="22">
        <f ca="1">+GETPIVOTDATA("XBB4",'binhba (2016)'!$A$3,"MA_HT","SKK","MA_QH","CAN")</f>
        <v>0</v>
      </c>
      <c r="U22" s="43" t="e">
        <f ca="1">$D22-$BF22</f>
        <v>#REF!</v>
      </c>
      <c r="V22" s="22">
        <f ca="1">+GETPIVOTDATA("XBB4",'binhba (2016)'!$A$3,"MA_HT","SKK","MA_QH","SKT")</f>
        <v>0</v>
      </c>
      <c r="W22" s="22">
        <f ca="1">+GETPIVOTDATA("XBB4",'binhba (2016)'!$A$3,"MA_HT","SKK","MA_QH","SKN")</f>
        <v>0</v>
      </c>
      <c r="X22" s="22">
        <f ca="1">+GETPIVOTDATA("XBB4",'binhba (2016)'!$A$3,"MA_HT","SKK","MA_QH","TMD")</f>
        <v>0</v>
      </c>
      <c r="Y22" s="22">
        <f ca="1">+GETPIVOTDATA("XBB4",'binhba (2016)'!$A$3,"MA_HT","SKK","MA_QH","SKC")</f>
        <v>0</v>
      </c>
      <c r="Z22" s="22">
        <f ca="1">+GETPIVOTDATA("XBB4",'binhba (2016)'!$A$3,"MA_HT","SKK","MA_QH","SKS")</f>
        <v>0</v>
      </c>
      <c r="AA22" s="52">
        <f ca="1" t="shared" si="12"/>
        <v>0</v>
      </c>
      <c r="AB22" s="22">
        <f ca="1">+GETPIVOTDATA("XBB4",'binhba (2016)'!$A$3,"MA_HT","SKK","MA_QH","DGT")</f>
        <v>0</v>
      </c>
      <c r="AC22" s="22">
        <f ca="1">+GETPIVOTDATA("XBB4",'binhba (2016)'!$A$3,"MA_HT","SKK","MA_QH","DTL")</f>
        <v>0</v>
      </c>
      <c r="AD22" s="22">
        <f ca="1">+GETPIVOTDATA("XBB4",'binhba (2016)'!$A$3,"MA_HT","SKK","MA_QH","DNL")</f>
        <v>0</v>
      </c>
      <c r="AE22" s="22">
        <f ca="1">+GETPIVOTDATA("XBB4",'binhba (2016)'!$A$3,"MA_HT","SKK","MA_QH","DBV")</f>
        <v>0</v>
      </c>
      <c r="AF22" s="22">
        <f ca="1">+GETPIVOTDATA("XBB4",'binhba (2016)'!$A$3,"MA_HT","SKK","MA_QH","DVH")</f>
        <v>0</v>
      </c>
      <c r="AG22" s="22">
        <f ca="1">+GETPIVOTDATA("XBB4",'binhba (2016)'!$A$3,"MA_HT","SKK","MA_QH","DYT")</f>
        <v>0</v>
      </c>
      <c r="AH22" s="22">
        <f ca="1">+GETPIVOTDATA("XBB4",'binhba (2016)'!$A$3,"MA_HT","SKK","MA_QH","DGD")</f>
        <v>0</v>
      </c>
      <c r="AI22" s="22">
        <f ca="1">+GETPIVOTDATA("XBB4",'binhba (2016)'!$A$3,"MA_HT","SKK","MA_QH","DTT")</f>
        <v>0</v>
      </c>
      <c r="AJ22" s="22">
        <f ca="1">+GETPIVOTDATA("XBB4",'binhba (2016)'!$A$3,"MA_HT","SKK","MA_QH","NCK")</f>
        <v>0</v>
      </c>
      <c r="AK22" s="22">
        <f ca="1">+GETPIVOTDATA("XBB4",'binhba (2016)'!$A$3,"MA_HT","SKK","MA_QH","DXH")</f>
        <v>0</v>
      </c>
      <c r="AL22" s="22">
        <f ca="1">+GETPIVOTDATA("XBB4",'binhba (2016)'!$A$3,"MA_HT","SKK","MA_QH","DCH")</f>
        <v>0</v>
      </c>
      <c r="AM22" s="22">
        <f ca="1">+GETPIVOTDATA("XBB4",'binhba (2016)'!$A$3,"MA_HT","SKK","MA_QH","DKG")</f>
        <v>0</v>
      </c>
      <c r="AN22" s="22">
        <f ca="1">+GETPIVOTDATA("XBB4",'binhba (2016)'!$A$3,"MA_HT","SKK","MA_QH","DDT")</f>
        <v>0</v>
      </c>
      <c r="AO22" s="22">
        <f ca="1">+GETPIVOTDATA("XBB4",'binhba (2016)'!$A$3,"MA_HT","SKK","MA_QH","DDL")</f>
        <v>0</v>
      </c>
      <c r="AP22" s="22">
        <f ca="1">+GETPIVOTDATA("XBB4",'binhba (2016)'!$A$3,"MA_HT","SKK","MA_QH","DRA")</f>
        <v>0</v>
      </c>
      <c r="AQ22" s="22">
        <f ca="1">+GETPIVOTDATA("XBB4",'binhba (2016)'!$A$3,"MA_HT","SKK","MA_QH","ONT")</f>
        <v>0</v>
      </c>
      <c r="AR22" s="22">
        <f ca="1">+GETPIVOTDATA("XBB4",'binhba (2016)'!$A$3,"MA_HT","SKK","MA_QH","ODT")</f>
        <v>0</v>
      </c>
      <c r="AS22" s="22">
        <f ca="1">+GETPIVOTDATA("XBB4",'binhba (2016)'!$A$3,"MA_HT","SKK","MA_QH","TSC")</f>
        <v>0</v>
      </c>
      <c r="AT22" s="22">
        <f ca="1">+GETPIVOTDATA("XBB4",'binhba (2016)'!$A$3,"MA_HT","SKK","MA_QH","DTS")</f>
        <v>0</v>
      </c>
      <c r="AU22" s="22">
        <f ca="1">+GETPIVOTDATA("XBB4",'binhba (2016)'!$A$3,"MA_HT","SKK","MA_QH","DNG")</f>
        <v>0</v>
      </c>
      <c r="AV22" s="22">
        <f ca="1">+GETPIVOTDATA("XBB4",'binhba (2016)'!$A$3,"MA_HT","SKK","MA_QH","TON")</f>
        <v>0</v>
      </c>
      <c r="AW22" s="22">
        <f ca="1">+GETPIVOTDATA("XBB4",'binhba (2016)'!$A$3,"MA_HT","SKK","MA_QH","NTD")</f>
        <v>0</v>
      </c>
      <c r="AX22" s="22">
        <f ca="1">+GETPIVOTDATA("XBB4",'binhba (2016)'!$A$3,"MA_HT","SKK","MA_QH","SKX")</f>
        <v>0</v>
      </c>
      <c r="AY22" s="22">
        <f ca="1">+GETPIVOTDATA("XBB4",'binhba (2016)'!$A$3,"MA_HT","SKK","MA_QH","DSH")</f>
        <v>0</v>
      </c>
      <c r="AZ22" s="22">
        <f ca="1">+GETPIVOTDATA("XBB4",'binhba (2016)'!$A$3,"MA_HT","SKK","MA_QH","DKV")</f>
        <v>0</v>
      </c>
      <c r="BA22" s="89">
        <f ca="1">+GETPIVOTDATA("XBB4",'binhba (2016)'!$A$3,"MA_HT","SKK","MA_QH","TIN")</f>
        <v>0</v>
      </c>
      <c r="BB22" s="50">
        <f ca="1">+GETPIVOTDATA("XBB4",'binhba (2016)'!$A$3,"MA_HT","SKK","MA_QH","SON")</f>
        <v>0</v>
      </c>
      <c r="BC22" s="50">
        <f ca="1">+GETPIVOTDATA("XBB4",'binhba (2016)'!$A$3,"MA_HT","SKK","MA_QH","MNC")</f>
        <v>0</v>
      </c>
      <c r="BD22" s="22">
        <f ca="1">+GETPIVOTDATA("XBB4",'binhba (2016)'!$A$3,"MA_HT","SKK","MA_QH","PNK")</f>
        <v>0</v>
      </c>
      <c r="BE22" s="71">
        <f ca="1">+GETPIVOTDATA("XBB4",'binhba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+GETPIVOTDATA("XBB4",'binhba (2016)'!$A$3,"MA_HT","SKT","MA_QH","LUC")</f>
        <v>0</v>
      </c>
      <c r="H23" s="22">
        <f ca="1">+GETPIVOTDATA("XBB4",'binhba (2016)'!$A$3,"MA_HT","SKT","MA_QH","LUK")</f>
        <v>0</v>
      </c>
      <c r="I23" s="22">
        <f ca="1">+GETPIVOTDATA("XBB4",'binhba (2016)'!$A$3,"MA_HT","SKT","MA_QH","LUN")</f>
        <v>0</v>
      </c>
      <c r="J23" s="22">
        <f ca="1">+GETPIVOTDATA("XBB4",'binhba (2016)'!$A$3,"MA_HT","SKT","MA_QH","HNK")</f>
        <v>0</v>
      </c>
      <c r="K23" s="22">
        <f ca="1">+GETPIVOTDATA("XBB4",'binhba (2016)'!$A$3,"MA_HT","SKT","MA_QH","CLN")</f>
        <v>0</v>
      </c>
      <c r="L23" s="22">
        <f ca="1">+GETPIVOTDATA("XBB4",'binhba (2016)'!$A$3,"MA_HT","SKT","MA_QH","RSX")</f>
        <v>0</v>
      </c>
      <c r="M23" s="22">
        <f ca="1">+GETPIVOTDATA("XBB4",'binhba (2016)'!$A$3,"MA_HT","SKT","MA_QH","RPH")</f>
        <v>0</v>
      </c>
      <c r="N23" s="22">
        <f ca="1">+GETPIVOTDATA("XBB4",'binhba (2016)'!$A$3,"MA_HT","SKT","MA_QH","RDD")</f>
        <v>0</v>
      </c>
      <c r="O23" s="22">
        <f ca="1">+GETPIVOTDATA("XBB4",'binhba (2016)'!$A$3,"MA_HT","SKT","MA_QH","NTS")</f>
        <v>0</v>
      </c>
      <c r="P23" s="22">
        <f ca="1">+GETPIVOTDATA("XBB4",'binhba (2016)'!$A$3,"MA_HT","SKT","MA_QH","LMU")</f>
        <v>0</v>
      </c>
      <c r="Q23" s="22">
        <f ca="1">+GETPIVOTDATA("XBB4",'binhba (2016)'!$A$3,"MA_HT","SKT","MA_QH","NKH")</f>
        <v>0</v>
      </c>
      <c r="R23" s="42">
        <f ca="1">SUM(S23:U23,W23:AA23,AN23:BD23)</f>
        <v>0</v>
      </c>
      <c r="S23" s="22">
        <f ca="1">+GETPIVOTDATA("XBB4",'binhba (2016)'!$A$3,"MA_HT","SKT","MA_QH","CQP")</f>
        <v>0</v>
      </c>
      <c r="T23" s="22">
        <f ca="1">+GETPIVOTDATA("XBB4",'binhba (2016)'!$A$3,"MA_HT","SKT","MA_QH","CAN")</f>
        <v>0</v>
      </c>
      <c r="U23" s="22">
        <f ca="1">+GETPIVOTDATA("XBB4",'binhba (2016)'!$A$3,"MA_HT","SKT","MA_QH","SKK")</f>
        <v>0</v>
      </c>
      <c r="V23" s="43" t="e">
        <f ca="1">$D23-$BF23</f>
        <v>#REF!</v>
      </c>
      <c r="W23" s="22">
        <f ca="1">+GETPIVOTDATA("XBB4",'binhba (2016)'!$A$3,"MA_HT","SKT","MA_QH","SKN")</f>
        <v>0</v>
      </c>
      <c r="X23" s="22">
        <f ca="1">+GETPIVOTDATA("XBB4",'binhba (2016)'!$A$3,"MA_HT","SKT","MA_QH","TMD")</f>
        <v>0</v>
      </c>
      <c r="Y23" s="22">
        <f ca="1">+GETPIVOTDATA("XBB4",'binhba (2016)'!$A$3,"MA_HT","SKT","MA_QH","SKC")</f>
        <v>0</v>
      </c>
      <c r="Z23" s="22">
        <f ca="1">+GETPIVOTDATA("XBB4",'binhba (2016)'!$A$3,"MA_HT","SKT","MA_QH","SKS")</f>
        <v>0</v>
      </c>
      <c r="AA23" s="52">
        <f ca="1" t="shared" si="12"/>
        <v>0</v>
      </c>
      <c r="AB23" s="22">
        <f ca="1">+GETPIVOTDATA("XBB4",'binhba (2016)'!$A$3,"MA_HT","SKT","MA_QH","DGT")</f>
        <v>0</v>
      </c>
      <c r="AC23" s="22">
        <f ca="1">+GETPIVOTDATA("XBB4",'binhba (2016)'!$A$3,"MA_HT","SKT","MA_QH","DTL")</f>
        <v>0</v>
      </c>
      <c r="AD23" s="22">
        <f ca="1">+GETPIVOTDATA("XBB4",'binhba (2016)'!$A$3,"MA_HT","SKT","MA_QH","DNL")</f>
        <v>0</v>
      </c>
      <c r="AE23" s="22">
        <f ca="1">+GETPIVOTDATA("XBB4",'binhba (2016)'!$A$3,"MA_HT","SKT","MA_QH","DBV")</f>
        <v>0</v>
      </c>
      <c r="AF23" s="22">
        <f ca="1">+GETPIVOTDATA("XBB4",'binhba (2016)'!$A$3,"MA_HT","SKT","MA_QH","DVH")</f>
        <v>0</v>
      </c>
      <c r="AG23" s="22">
        <f ca="1">+GETPIVOTDATA("XBB4",'binhba (2016)'!$A$3,"MA_HT","SKT","MA_QH","DYT")</f>
        <v>0</v>
      </c>
      <c r="AH23" s="22">
        <f ca="1">+GETPIVOTDATA("XBB4",'binhba (2016)'!$A$3,"MA_HT","SKT","MA_QH","DGD")</f>
        <v>0</v>
      </c>
      <c r="AI23" s="22">
        <f ca="1">+GETPIVOTDATA("XBB4",'binhba (2016)'!$A$3,"MA_HT","SKT","MA_QH","DTT")</f>
        <v>0</v>
      </c>
      <c r="AJ23" s="22">
        <f ca="1">+GETPIVOTDATA("XBB4",'binhba (2016)'!$A$3,"MA_HT","SKT","MA_QH","NCK")</f>
        <v>0</v>
      </c>
      <c r="AK23" s="22">
        <f ca="1">+GETPIVOTDATA("XBB4",'binhba (2016)'!$A$3,"MA_HT","SKT","MA_QH","DXH")</f>
        <v>0</v>
      </c>
      <c r="AL23" s="22">
        <f ca="1">+GETPIVOTDATA("XBB4",'binhba (2016)'!$A$3,"MA_HT","SKT","MA_QH","DCH")</f>
        <v>0</v>
      </c>
      <c r="AM23" s="22">
        <f ca="1">+GETPIVOTDATA("XBB4",'binhba (2016)'!$A$3,"MA_HT","SKT","MA_QH","DKG")</f>
        <v>0</v>
      </c>
      <c r="AN23" s="22">
        <f ca="1">+GETPIVOTDATA("XBB4",'binhba (2016)'!$A$3,"MA_HT","SKT","MA_QH","DDT")</f>
        <v>0</v>
      </c>
      <c r="AO23" s="22">
        <f ca="1">+GETPIVOTDATA("XBB4",'binhba (2016)'!$A$3,"MA_HT","SKT","MA_QH","DDL")</f>
        <v>0</v>
      </c>
      <c r="AP23" s="22">
        <f ca="1">+GETPIVOTDATA("XBB4",'binhba (2016)'!$A$3,"MA_HT","SKT","MA_QH","DRA")</f>
        <v>0</v>
      </c>
      <c r="AQ23" s="22">
        <f ca="1">+GETPIVOTDATA("XBB4",'binhba (2016)'!$A$3,"MA_HT","SKT","MA_QH","ONT")</f>
        <v>0</v>
      </c>
      <c r="AR23" s="22">
        <f ca="1">+GETPIVOTDATA("XBB4",'binhba (2016)'!$A$3,"MA_HT","SKT","MA_QH","ODT")</f>
        <v>0</v>
      </c>
      <c r="AS23" s="22">
        <f ca="1">+GETPIVOTDATA("XBB4",'binhba (2016)'!$A$3,"MA_HT","SKT","MA_QH","TSC")</f>
        <v>0</v>
      </c>
      <c r="AT23" s="22">
        <f ca="1">+GETPIVOTDATA("XBB4",'binhba (2016)'!$A$3,"MA_HT","SKT","MA_QH","DTS")</f>
        <v>0</v>
      </c>
      <c r="AU23" s="22">
        <f ca="1">+GETPIVOTDATA("XBB4",'binhba (2016)'!$A$3,"MA_HT","SKT","MA_QH","DNG")</f>
        <v>0</v>
      </c>
      <c r="AV23" s="22">
        <f ca="1">+GETPIVOTDATA("XBB4",'binhba (2016)'!$A$3,"MA_HT","SKT","MA_QH","TON")</f>
        <v>0</v>
      </c>
      <c r="AW23" s="22">
        <f ca="1">+GETPIVOTDATA("XBB4",'binhba (2016)'!$A$3,"MA_HT","SKT","MA_QH","NTD")</f>
        <v>0</v>
      </c>
      <c r="AX23" s="22">
        <f ca="1">+GETPIVOTDATA("XBB4",'binhba (2016)'!$A$3,"MA_HT","SKT","MA_QH","SKX")</f>
        <v>0</v>
      </c>
      <c r="AY23" s="22">
        <f ca="1">+GETPIVOTDATA("XBB4",'binhba (2016)'!$A$3,"MA_HT","SKT","MA_QH","DSH")</f>
        <v>0</v>
      </c>
      <c r="AZ23" s="22">
        <f ca="1">+GETPIVOTDATA("XBB4",'binhba (2016)'!$A$3,"MA_HT","SKT","MA_QH","DKV")</f>
        <v>0</v>
      </c>
      <c r="BA23" s="89">
        <f ca="1">+GETPIVOTDATA("XBB4",'binhba (2016)'!$A$3,"MA_HT","SKT","MA_QH","TIN")</f>
        <v>0</v>
      </c>
      <c r="BB23" s="50">
        <f ca="1">+GETPIVOTDATA("XBB4",'binhba (2016)'!$A$3,"MA_HT","SKT","MA_QH","SON")</f>
        <v>0</v>
      </c>
      <c r="BC23" s="50">
        <f ca="1">+GETPIVOTDATA("XBB4",'binhba (2016)'!$A$3,"MA_HT","SKT","MA_QH","MNC")</f>
        <v>0</v>
      </c>
      <c r="BD23" s="22">
        <f ca="1">+GETPIVOTDATA("XBB4",'binhba (2016)'!$A$3,"MA_HT","SKT","MA_QH","PNK")</f>
        <v>0</v>
      </c>
      <c r="BE23" s="71">
        <f ca="1">+GETPIVOTDATA("XBB4",'binhba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+GETPIVOTDATA("XBB4",'binhba (2016)'!$A$3,"MA_HT","SKN","MA_QH","LUC")</f>
        <v>0</v>
      </c>
      <c r="H24" s="22">
        <f ca="1">+GETPIVOTDATA("XBB4",'binhba (2016)'!$A$3,"MA_HT","SKN","MA_QH","LUK")</f>
        <v>0</v>
      </c>
      <c r="I24" s="22">
        <f ca="1">+GETPIVOTDATA("XBB4",'binhba (2016)'!$A$3,"MA_HT","SKN","MA_QH","LUN")</f>
        <v>0</v>
      </c>
      <c r="J24" s="22">
        <f ca="1">+GETPIVOTDATA("XBB4",'binhba (2016)'!$A$3,"MA_HT","SKN","MA_QH","HNK")</f>
        <v>0</v>
      </c>
      <c r="K24" s="22">
        <f ca="1">+GETPIVOTDATA("XBB4",'binhba (2016)'!$A$3,"MA_HT","SKN","MA_QH","CLN")</f>
        <v>0</v>
      </c>
      <c r="L24" s="22">
        <f ca="1">+GETPIVOTDATA("XBB4",'binhba (2016)'!$A$3,"MA_HT","SKN","MA_QH","RSX")</f>
        <v>0</v>
      </c>
      <c r="M24" s="22">
        <f ca="1">+GETPIVOTDATA("XBB4",'binhba (2016)'!$A$3,"MA_HT","SKN","MA_QH","RPH")</f>
        <v>0</v>
      </c>
      <c r="N24" s="22">
        <f ca="1">+GETPIVOTDATA("XBB4",'binhba (2016)'!$A$3,"MA_HT","SKN","MA_QH","RDD")</f>
        <v>0</v>
      </c>
      <c r="O24" s="22">
        <f ca="1">+GETPIVOTDATA("XBB4",'binhba (2016)'!$A$3,"MA_HT","SKN","MA_QH","NTS")</f>
        <v>0</v>
      </c>
      <c r="P24" s="22">
        <f ca="1">+GETPIVOTDATA("XBB4",'binhba (2016)'!$A$3,"MA_HT","SKN","MA_QH","LMU")</f>
        <v>0</v>
      </c>
      <c r="Q24" s="22">
        <f ca="1">+GETPIVOTDATA("XBB4",'binhba (2016)'!$A$3,"MA_HT","SKN","MA_QH","NKH")</f>
        <v>0</v>
      </c>
      <c r="R24" s="42">
        <f ca="1">SUM(S24:V24,X24:AA24,AN24:BD24)</f>
        <v>0</v>
      </c>
      <c r="S24" s="22">
        <f ca="1">+GETPIVOTDATA("XBB4",'binhba (2016)'!$A$3,"MA_HT","SKN","MA_QH","CQP")</f>
        <v>0</v>
      </c>
      <c r="T24" s="22">
        <f ca="1">+GETPIVOTDATA("XBB4",'binhba (2016)'!$A$3,"MA_HT","SKN","MA_QH","CAN")</f>
        <v>0</v>
      </c>
      <c r="U24" s="22">
        <f ca="1">+GETPIVOTDATA("XBB4",'binhba (2016)'!$A$3,"MA_HT","SKN","MA_QH","SKK")</f>
        <v>0</v>
      </c>
      <c r="V24" s="22">
        <f ca="1">+GETPIVOTDATA("XBB4",'binhba (2016)'!$A$3,"MA_HT","SKN","MA_QH","SKT")</f>
        <v>0</v>
      </c>
      <c r="W24" s="43" t="e">
        <f ca="1">$D24-$BF24</f>
        <v>#REF!</v>
      </c>
      <c r="X24" s="22">
        <f ca="1">+GETPIVOTDATA("XBB4",'binhba (2016)'!$A$3,"MA_HT","SKN","MA_QH","TMD")</f>
        <v>0</v>
      </c>
      <c r="Y24" s="22">
        <f ca="1">+GETPIVOTDATA("XBB4",'binhba (2016)'!$A$3,"MA_HT","SKN","MA_QH","SKC")</f>
        <v>0</v>
      </c>
      <c r="Z24" s="22">
        <f ca="1">+GETPIVOTDATA("XBB4",'binhba (2016)'!$A$3,"MA_HT","SKN","MA_QH","SKS")</f>
        <v>0</v>
      </c>
      <c r="AA24" s="52">
        <f ca="1" t="shared" si="12"/>
        <v>0</v>
      </c>
      <c r="AB24" s="22">
        <f ca="1">+GETPIVOTDATA("XBB4",'binhba (2016)'!$A$3,"MA_HT","SKN","MA_QH","DGT")</f>
        <v>0</v>
      </c>
      <c r="AC24" s="22">
        <f ca="1">+GETPIVOTDATA("XBB4",'binhba (2016)'!$A$3,"MA_HT","SKN","MA_QH","DTL")</f>
        <v>0</v>
      </c>
      <c r="AD24" s="22">
        <f ca="1">+GETPIVOTDATA("XBB4",'binhba (2016)'!$A$3,"MA_HT","SKN","MA_QH","DNL")</f>
        <v>0</v>
      </c>
      <c r="AE24" s="22">
        <f ca="1">+GETPIVOTDATA("XBB4",'binhba (2016)'!$A$3,"MA_HT","SKN","MA_QH","DBV")</f>
        <v>0</v>
      </c>
      <c r="AF24" s="22">
        <f ca="1">+GETPIVOTDATA("XBB4",'binhba (2016)'!$A$3,"MA_HT","SKN","MA_QH","DVH")</f>
        <v>0</v>
      </c>
      <c r="AG24" s="22">
        <f ca="1">+GETPIVOTDATA("XBB4",'binhba (2016)'!$A$3,"MA_HT","SKN","MA_QH","DYT")</f>
        <v>0</v>
      </c>
      <c r="AH24" s="22">
        <f ca="1">+GETPIVOTDATA("XBB4",'binhba (2016)'!$A$3,"MA_HT","SKN","MA_QH","DGD")</f>
        <v>0</v>
      </c>
      <c r="AI24" s="22">
        <f ca="1">+GETPIVOTDATA("XBB4",'binhba (2016)'!$A$3,"MA_HT","SKN","MA_QH","DTT")</f>
        <v>0</v>
      </c>
      <c r="AJ24" s="22">
        <f ca="1">+GETPIVOTDATA("XBB4",'binhba (2016)'!$A$3,"MA_HT","SKN","MA_QH","NCK")</f>
        <v>0</v>
      </c>
      <c r="AK24" s="22">
        <f ca="1">+GETPIVOTDATA("XBB4",'binhba (2016)'!$A$3,"MA_HT","SKN","MA_QH","DXH")</f>
        <v>0</v>
      </c>
      <c r="AL24" s="22">
        <f ca="1">+GETPIVOTDATA("XBB4",'binhba (2016)'!$A$3,"MA_HT","SKN","MA_QH","DCH")</f>
        <v>0</v>
      </c>
      <c r="AM24" s="22">
        <f ca="1">+GETPIVOTDATA("XBB4",'binhba (2016)'!$A$3,"MA_HT","SKN","MA_QH","DKG")</f>
        <v>0</v>
      </c>
      <c r="AN24" s="22">
        <f ca="1">+GETPIVOTDATA("XBB4",'binhba (2016)'!$A$3,"MA_HT","SKN","MA_QH","DDT")</f>
        <v>0</v>
      </c>
      <c r="AO24" s="22">
        <f ca="1">+GETPIVOTDATA("XBB4",'binhba (2016)'!$A$3,"MA_HT","SKN","MA_QH","DDL")</f>
        <v>0</v>
      </c>
      <c r="AP24" s="22">
        <f ca="1">+GETPIVOTDATA("XBB4",'binhba (2016)'!$A$3,"MA_HT","SKN","MA_QH","DRA")</f>
        <v>0</v>
      </c>
      <c r="AQ24" s="22">
        <f ca="1">+GETPIVOTDATA("XBB4",'binhba (2016)'!$A$3,"MA_HT","SKN","MA_QH","ONT")</f>
        <v>0</v>
      </c>
      <c r="AR24" s="22">
        <f ca="1">+GETPIVOTDATA("XBB4",'binhba (2016)'!$A$3,"MA_HT","SKN","MA_QH","ODT")</f>
        <v>0</v>
      </c>
      <c r="AS24" s="22">
        <f ca="1">+GETPIVOTDATA("XBB4",'binhba (2016)'!$A$3,"MA_HT","SKN","MA_QH","TSC")</f>
        <v>0</v>
      </c>
      <c r="AT24" s="22">
        <f ca="1">+GETPIVOTDATA("XBB4",'binhba (2016)'!$A$3,"MA_HT","SKN","MA_QH","DTS")</f>
        <v>0</v>
      </c>
      <c r="AU24" s="22">
        <f ca="1">+GETPIVOTDATA("XBB4",'binhba (2016)'!$A$3,"MA_HT","SKN","MA_QH","DNG")</f>
        <v>0</v>
      </c>
      <c r="AV24" s="22">
        <f ca="1">+GETPIVOTDATA("XBB4",'binhba (2016)'!$A$3,"MA_HT","SKN","MA_QH","TON")</f>
        <v>0</v>
      </c>
      <c r="AW24" s="22">
        <f ca="1">+GETPIVOTDATA("XBB4",'binhba (2016)'!$A$3,"MA_HT","SKN","MA_QH","NTD")</f>
        <v>0</v>
      </c>
      <c r="AX24" s="22">
        <f ca="1">+GETPIVOTDATA("XBB4",'binhba (2016)'!$A$3,"MA_HT","SKN","MA_QH","SKX")</f>
        <v>0</v>
      </c>
      <c r="AY24" s="22">
        <f ca="1">+GETPIVOTDATA("XBB4",'binhba (2016)'!$A$3,"MA_HT","SKN","MA_QH","DSH")</f>
        <v>0</v>
      </c>
      <c r="AZ24" s="22">
        <f ca="1">+GETPIVOTDATA("XBB4",'binhba (2016)'!$A$3,"MA_HT","SKN","MA_QH","DKV")</f>
        <v>0</v>
      </c>
      <c r="BA24" s="89">
        <f ca="1">+GETPIVOTDATA("XBB4",'binhba (2016)'!$A$3,"MA_HT","SKN","MA_QH","TIN")</f>
        <v>0</v>
      </c>
      <c r="BB24" s="50">
        <f ca="1">+GETPIVOTDATA("XBB4",'binhba (2016)'!$A$3,"MA_HT","SKN","MA_QH","SON")</f>
        <v>0</v>
      </c>
      <c r="BC24" s="50">
        <f ca="1">+GETPIVOTDATA("XBB4",'binhba (2016)'!$A$3,"MA_HT","SKN","MA_QH","MNC")</f>
        <v>0</v>
      </c>
      <c r="BD24" s="22">
        <f ca="1">+GETPIVOTDATA("XBB4",'binhba (2016)'!$A$3,"MA_HT","SKN","MA_QH","PNK")</f>
        <v>0</v>
      </c>
      <c r="BE24" s="71">
        <f ca="1">+GETPIVOTDATA("XBB4",'binhba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+GETPIVOTDATA("XBB4",'binhba (2016)'!$A$3,"MA_HT","TMD","MA_QH","LUC")</f>
        <v>0</v>
      </c>
      <c r="H25" s="22">
        <f ca="1">+GETPIVOTDATA("XBB4",'binhba (2016)'!$A$3,"MA_HT","TMD","MA_QH","LUK")</f>
        <v>0</v>
      </c>
      <c r="I25" s="22">
        <f ca="1">+GETPIVOTDATA("XBB4",'binhba (2016)'!$A$3,"MA_HT","TMD","MA_QH","LUN")</f>
        <v>0</v>
      </c>
      <c r="J25" s="22">
        <f ca="1">+GETPIVOTDATA("XBB4",'binhba (2016)'!$A$3,"MA_HT","TMD","MA_QH","HNK")</f>
        <v>0</v>
      </c>
      <c r="K25" s="22">
        <f ca="1">+GETPIVOTDATA("XBB4",'binhba (2016)'!$A$3,"MA_HT","TMD","MA_QH","CLN")</f>
        <v>0</v>
      </c>
      <c r="L25" s="22">
        <f ca="1">+GETPIVOTDATA("XBB4",'binhba (2016)'!$A$3,"MA_HT","TMD","MA_QH","RSX")</f>
        <v>0</v>
      </c>
      <c r="M25" s="22">
        <f ca="1">+GETPIVOTDATA("XBB4",'binhba (2016)'!$A$3,"MA_HT","TMD","MA_QH","RPH")</f>
        <v>0</v>
      </c>
      <c r="N25" s="22">
        <f ca="1">+GETPIVOTDATA("XBB4",'binhba (2016)'!$A$3,"MA_HT","TMD","MA_QH","RDD")</f>
        <v>0</v>
      </c>
      <c r="O25" s="22">
        <f ca="1">+GETPIVOTDATA("XBB4",'binhba (2016)'!$A$3,"MA_HT","TMD","MA_QH","NTS")</f>
        <v>0</v>
      </c>
      <c r="P25" s="22">
        <f ca="1">+GETPIVOTDATA("XBB4",'binhba (2016)'!$A$3,"MA_HT","TMD","MA_QH","LMU")</f>
        <v>0</v>
      </c>
      <c r="Q25" s="22">
        <f ca="1">+GETPIVOTDATA("XBB4",'binhba (2016)'!$A$3,"MA_HT","TMD","MA_QH","NKH")</f>
        <v>0</v>
      </c>
      <c r="R25" s="42">
        <f ca="1">SUM(S25:W25,Y25:AA25,AN25:BD25)</f>
        <v>0</v>
      </c>
      <c r="S25" s="22">
        <f ca="1">+GETPIVOTDATA("XBB4",'binhba (2016)'!$A$3,"MA_HT","TMD","MA_QH","CQP")</f>
        <v>0</v>
      </c>
      <c r="T25" s="22">
        <f ca="1">+GETPIVOTDATA("XBB4",'binhba (2016)'!$A$3,"MA_HT","TMD","MA_QH","CAN")</f>
        <v>0</v>
      </c>
      <c r="U25" s="22">
        <f ca="1">+GETPIVOTDATA("XBB4",'binhba (2016)'!$A$3,"MA_HT","TMD","MA_QH","SKK")</f>
        <v>0</v>
      </c>
      <c r="V25" s="22">
        <f ca="1">+GETPIVOTDATA("XBB4",'binhba (2016)'!$A$3,"MA_HT","TMD","MA_QH","SKT")</f>
        <v>0</v>
      </c>
      <c r="W25" s="22">
        <f ca="1">+GETPIVOTDATA("XBB4",'binhba (2016)'!$A$3,"MA_HT","TMD","MA_QH","SKN")</f>
        <v>0</v>
      </c>
      <c r="X25" s="43" t="e">
        <f ca="1">$D25-$BF25</f>
        <v>#REF!</v>
      </c>
      <c r="Y25" s="22">
        <f ca="1">+GETPIVOTDATA("XBB4",'binhba (2016)'!$A$3,"MA_HT","TMD","MA_QH","SKC")</f>
        <v>0</v>
      </c>
      <c r="Z25" s="22">
        <f ca="1">+GETPIVOTDATA("XBB4",'binhba (2016)'!$A$3,"MA_HT","TMD","MA_QH","SKS")</f>
        <v>0</v>
      </c>
      <c r="AA25" s="52">
        <f ca="1" t="shared" si="12"/>
        <v>0</v>
      </c>
      <c r="AB25" s="22">
        <f ca="1">+GETPIVOTDATA("XBB4",'binhba (2016)'!$A$3,"MA_HT","TMD","MA_QH","DGT")</f>
        <v>0</v>
      </c>
      <c r="AC25" s="22">
        <f ca="1">+GETPIVOTDATA("XBB4",'binhba (2016)'!$A$3,"MA_HT","TMD","MA_QH","DTL")</f>
        <v>0</v>
      </c>
      <c r="AD25" s="22">
        <f ca="1">+GETPIVOTDATA("XBB4",'binhba (2016)'!$A$3,"MA_HT","TMD","MA_QH","DNL")</f>
        <v>0</v>
      </c>
      <c r="AE25" s="22">
        <f ca="1">+GETPIVOTDATA("XBB4",'binhba (2016)'!$A$3,"MA_HT","TMD","MA_QH","DBV")</f>
        <v>0</v>
      </c>
      <c r="AF25" s="22">
        <f ca="1">+GETPIVOTDATA("XBB4",'binhba (2016)'!$A$3,"MA_HT","TMD","MA_QH","DVH")</f>
        <v>0</v>
      </c>
      <c r="AG25" s="22">
        <f ca="1">+GETPIVOTDATA("XBB4",'binhba (2016)'!$A$3,"MA_HT","TMD","MA_QH","DYT")</f>
        <v>0</v>
      </c>
      <c r="AH25" s="22">
        <f ca="1">+GETPIVOTDATA("XBB4",'binhba (2016)'!$A$3,"MA_HT","TMD","MA_QH","DGD")</f>
        <v>0</v>
      </c>
      <c r="AI25" s="22">
        <f ca="1">+GETPIVOTDATA("XBB4",'binhba (2016)'!$A$3,"MA_HT","TMD","MA_QH","DTT")</f>
        <v>0</v>
      </c>
      <c r="AJ25" s="22">
        <f ca="1">+GETPIVOTDATA("XBB4",'binhba (2016)'!$A$3,"MA_HT","TMD","MA_QH","NCK")</f>
        <v>0</v>
      </c>
      <c r="AK25" s="22">
        <f ca="1">+GETPIVOTDATA("XBB4",'binhba (2016)'!$A$3,"MA_HT","TMD","MA_QH","DXH")</f>
        <v>0</v>
      </c>
      <c r="AL25" s="22">
        <f ca="1">+GETPIVOTDATA("XBB4",'binhba (2016)'!$A$3,"MA_HT","TMD","MA_QH","DCH")</f>
        <v>0</v>
      </c>
      <c r="AM25" s="22">
        <f ca="1">+GETPIVOTDATA("XBB4",'binhba (2016)'!$A$3,"MA_HT","TMD","MA_QH","DKG")</f>
        <v>0</v>
      </c>
      <c r="AN25" s="22">
        <f ca="1">+GETPIVOTDATA("XBB4",'binhba (2016)'!$A$3,"MA_HT","TMD","MA_QH","DDT")</f>
        <v>0</v>
      </c>
      <c r="AO25" s="22">
        <f ca="1">+GETPIVOTDATA("XBB4",'binhba (2016)'!$A$3,"MA_HT","TMD","MA_QH","DDL")</f>
        <v>0</v>
      </c>
      <c r="AP25" s="22">
        <f ca="1">+GETPIVOTDATA("XBB4",'binhba (2016)'!$A$3,"MA_HT","TMD","MA_QH","DRA")</f>
        <v>0</v>
      </c>
      <c r="AQ25" s="22">
        <f ca="1">+GETPIVOTDATA("XBB4",'binhba (2016)'!$A$3,"MA_HT","TMD","MA_QH","ONT")</f>
        <v>0</v>
      </c>
      <c r="AR25" s="22">
        <f ca="1">+GETPIVOTDATA("XBB4",'binhba (2016)'!$A$3,"MA_HT","TMD","MA_QH","ODT")</f>
        <v>0</v>
      </c>
      <c r="AS25" s="22">
        <f ca="1">+GETPIVOTDATA("XBB4",'binhba (2016)'!$A$3,"MA_HT","TMD","MA_QH","TSC")</f>
        <v>0</v>
      </c>
      <c r="AT25" s="22">
        <f ca="1">+GETPIVOTDATA("XBB4",'binhba (2016)'!$A$3,"MA_HT","TMD","MA_QH","DTS")</f>
        <v>0</v>
      </c>
      <c r="AU25" s="22">
        <f ca="1">+GETPIVOTDATA("XBB4",'binhba (2016)'!$A$3,"MA_HT","TMD","MA_QH","DNG")</f>
        <v>0</v>
      </c>
      <c r="AV25" s="22">
        <f ca="1">+GETPIVOTDATA("XBB4",'binhba (2016)'!$A$3,"MA_HT","TMD","MA_QH","TON")</f>
        <v>0</v>
      </c>
      <c r="AW25" s="22">
        <f ca="1">+GETPIVOTDATA("XBB4",'binhba (2016)'!$A$3,"MA_HT","TMD","MA_QH","NTD")</f>
        <v>0</v>
      </c>
      <c r="AX25" s="22">
        <f ca="1">+GETPIVOTDATA("XBB4",'binhba (2016)'!$A$3,"MA_HT","TMD","MA_QH","SKX")</f>
        <v>0</v>
      </c>
      <c r="AY25" s="22">
        <f ca="1">+GETPIVOTDATA("XBB4",'binhba (2016)'!$A$3,"MA_HT","TMD","MA_QH","DSH")</f>
        <v>0</v>
      </c>
      <c r="AZ25" s="22">
        <f ca="1">+GETPIVOTDATA("XBB4",'binhba (2016)'!$A$3,"MA_HT","TMD","MA_QH","DKV")</f>
        <v>0</v>
      </c>
      <c r="BA25" s="89">
        <f ca="1">+GETPIVOTDATA("XBB4",'binhba (2016)'!$A$3,"MA_HT","TMD","MA_QH","TIN")</f>
        <v>0</v>
      </c>
      <c r="BB25" s="50">
        <f ca="1">+GETPIVOTDATA("XBB4",'binhba (2016)'!$A$3,"MA_HT","TMD","MA_QH","SON")</f>
        <v>0</v>
      </c>
      <c r="BC25" s="50">
        <f ca="1">+GETPIVOTDATA("XBB4",'binhba (2016)'!$A$3,"MA_HT","TMD","MA_QH","MNC")</f>
        <v>0</v>
      </c>
      <c r="BD25" s="22">
        <f ca="1">+GETPIVOTDATA("XBB4",'binhba (2016)'!$A$3,"MA_HT","TMD","MA_QH","PNK")</f>
        <v>0</v>
      </c>
      <c r="BE25" s="71">
        <f ca="1">+GETPIVOTDATA("XBB4",'binhba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+GETPIVOTDATA("XBB4",'binhba (2016)'!$A$3,"MA_HT","SKC","MA_QH","LUC")</f>
        <v>0</v>
      </c>
      <c r="H26" s="22">
        <f ca="1">+GETPIVOTDATA("XBB4",'binhba (2016)'!$A$3,"MA_HT","SKC","MA_QH","LUK")</f>
        <v>0</v>
      </c>
      <c r="I26" s="22">
        <f ca="1">+GETPIVOTDATA("XBB4",'binhba (2016)'!$A$3,"MA_HT","SKC","MA_QH","LUN")</f>
        <v>0</v>
      </c>
      <c r="J26" s="22">
        <f ca="1">+GETPIVOTDATA("XBB4",'binhba (2016)'!$A$3,"MA_HT","SKC","MA_QH","HNK")</f>
        <v>0</v>
      </c>
      <c r="K26" s="22">
        <f ca="1">+GETPIVOTDATA("XBB4",'binhba (2016)'!$A$3,"MA_HT","SKC","MA_QH","CLN")</f>
        <v>0</v>
      </c>
      <c r="L26" s="22">
        <f ca="1">+GETPIVOTDATA("XBB4",'binhba (2016)'!$A$3,"MA_HT","SKC","MA_QH","RSX")</f>
        <v>0</v>
      </c>
      <c r="M26" s="22">
        <f ca="1">+GETPIVOTDATA("XBB4",'binhba (2016)'!$A$3,"MA_HT","SKC","MA_QH","RPH")</f>
        <v>0</v>
      </c>
      <c r="N26" s="22">
        <f ca="1">+GETPIVOTDATA("XBB4",'binhba (2016)'!$A$3,"MA_HT","SKC","MA_QH","RDD")</f>
        <v>0</v>
      </c>
      <c r="O26" s="22">
        <f ca="1">+GETPIVOTDATA("XBB4",'binhba (2016)'!$A$3,"MA_HT","SKC","MA_QH","NTS")</f>
        <v>0</v>
      </c>
      <c r="P26" s="22">
        <f ca="1">+GETPIVOTDATA("XBB4",'binhba (2016)'!$A$3,"MA_HT","SKC","MA_QH","LMU")</f>
        <v>0</v>
      </c>
      <c r="Q26" s="22">
        <f ca="1">+GETPIVOTDATA("XBB4",'binhba (2016)'!$A$3,"MA_HT","SKC","MA_QH","NKH")</f>
        <v>0</v>
      </c>
      <c r="R26" s="42">
        <f ca="1">SUM(S26:X26,Z26,AN26:BD26)</f>
        <v>0</v>
      </c>
      <c r="S26" s="22">
        <f ca="1">+GETPIVOTDATA("XBB4",'binhba (2016)'!$A$3,"MA_HT","SKC","MA_QH","CQP")</f>
        <v>0</v>
      </c>
      <c r="T26" s="22">
        <f ca="1">+GETPIVOTDATA("XBB4",'binhba (2016)'!$A$3,"MA_HT","SKC","MA_QH","CAN")</f>
        <v>0</v>
      </c>
      <c r="U26" s="22">
        <f ca="1">+GETPIVOTDATA("XBB4",'binhba (2016)'!$A$3,"MA_HT","SKC","MA_QH","SKK")</f>
        <v>0</v>
      </c>
      <c r="V26" s="22">
        <f ca="1">+GETPIVOTDATA("XBB4",'binhba (2016)'!$A$3,"MA_HT","SKC","MA_QH","SKT")</f>
        <v>0</v>
      </c>
      <c r="W26" s="22">
        <f ca="1">+GETPIVOTDATA("XBB4",'binhba (2016)'!$A$3,"MA_HT","SKC","MA_QH","SKN")</f>
        <v>0</v>
      </c>
      <c r="X26" s="22">
        <f ca="1">+GETPIVOTDATA("XBB4",'binhba (2016)'!$A$3,"MA_HT","SKC","MA_QH","TMD")</f>
        <v>0</v>
      </c>
      <c r="Y26" s="43" t="e">
        <f ca="1">$D26-$BF26</f>
        <v>#REF!</v>
      </c>
      <c r="Z26" s="22">
        <f ca="1">+GETPIVOTDATA("XBB4",'binhba (2016)'!$A$3,"MA_HT","SKC","MA_QH","SKS")</f>
        <v>0</v>
      </c>
      <c r="AA26" s="52">
        <f ca="1" t="shared" si="12"/>
        <v>0</v>
      </c>
      <c r="AB26" s="22">
        <f ca="1">+GETPIVOTDATA("XBB4",'binhba (2016)'!$A$3,"MA_HT","SKC","MA_QH","DGT")</f>
        <v>0</v>
      </c>
      <c r="AC26" s="22">
        <f ca="1">+GETPIVOTDATA("XBB4",'binhba (2016)'!$A$3,"MA_HT","SKC","MA_QH","DTL")</f>
        <v>0</v>
      </c>
      <c r="AD26" s="22">
        <f ca="1">+GETPIVOTDATA("XBB4",'binhba (2016)'!$A$3,"MA_HT","SKC","MA_QH","DNL")</f>
        <v>0</v>
      </c>
      <c r="AE26" s="22">
        <f ca="1">+GETPIVOTDATA("XBB4",'binhba (2016)'!$A$3,"MA_HT","SKC","MA_QH","DBV")</f>
        <v>0</v>
      </c>
      <c r="AF26" s="22">
        <f ca="1">+GETPIVOTDATA("XBB4",'binhba (2016)'!$A$3,"MA_HT","SKC","MA_QH","DVH")</f>
        <v>0</v>
      </c>
      <c r="AG26" s="22">
        <f ca="1">+GETPIVOTDATA("XBB4",'binhba (2016)'!$A$3,"MA_HT","SKC","MA_QH","DYT")</f>
        <v>0</v>
      </c>
      <c r="AH26" s="22">
        <f ca="1">+GETPIVOTDATA("XBB4",'binhba (2016)'!$A$3,"MA_HT","SKC","MA_QH","DGD")</f>
        <v>0</v>
      </c>
      <c r="AI26" s="22">
        <f ca="1">+GETPIVOTDATA("XBB4",'binhba (2016)'!$A$3,"MA_HT","SKC","MA_QH","DTT")</f>
        <v>0</v>
      </c>
      <c r="AJ26" s="22">
        <f ca="1">+GETPIVOTDATA("XBB4",'binhba (2016)'!$A$3,"MA_HT","SKC","MA_QH","NCK")</f>
        <v>0</v>
      </c>
      <c r="AK26" s="22">
        <f ca="1">+GETPIVOTDATA("XBB4",'binhba (2016)'!$A$3,"MA_HT","SKC","MA_QH","DXH")</f>
        <v>0</v>
      </c>
      <c r="AL26" s="22">
        <f ca="1">+GETPIVOTDATA("XBB4",'binhba (2016)'!$A$3,"MA_HT","SKC","MA_QH","DCH")</f>
        <v>0</v>
      </c>
      <c r="AM26" s="22">
        <f ca="1">+GETPIVOTDATA("XBB4",'binhba (2016)'!$A$3,"MA_HT","SKC","MA_QH","DKG")</f>
        <v>0</v>
      </c>
      <c r="AN26" s="22">
        <f ca="1">+GETPIVOTDATA("XBB4",'binhba (2016)'!$A$3,"MA_HT","SKC","MA_QH","DDT")</f>
        <v>0</v>
      </c>
      <c r="AO26" s="22">
        <f ca="1">+GETPIVOTDATA("XBB4",'binhba (2016)'!$A$3,"MA_HT","SKC","MA_QH","DDL")</f>
        <v>0</v>
      </c>
      <c r="AP26" s="22">
        <f ca="1">+GETPIVOTDATA("XBB4",'binhba (2016)'!$A$3,"MA_HT","SKC","MA_QH","DRA")</f>
        <v>0</v>
      </c>
      <c r="AQ26" s="22">
        <f ca="1">+GETPIVOTDATA("XBB4",'binhba (2016)'!$A$3,"MA_HT","SKC","MA_QH","ONT")</f>
        <v>0</v>
      </c>
      <c r="AR26" s="22">
        <f ca="1">+GETPIVOTDATA("XBB4",'binhba (2016)'!$A$3,"MA_HT","SKC","MA_QH","ODT")</f>
        <v>0</v>
      </c>
      <c r="AS26" s="22">
        <f ca="1">+GETPIVOTDATA("XBB4",'binhba (2016)'!$A$3,"MA_HT","SKC","MA_QH","TSC")</f>
        <v>0</v>
      </c>
      <c r="AT26" s="22">
        <f ca="1">+GETPIVOTDATA("XBB4",'binhba (2016)'!$A$3,"MA_HT","SKC","MA_QH","DTS")</f>
        <v>0</v>
      </c>
      <c r="AU26" s="22">
        <f ca="1">+GETPIVOTDATA("XBB4",'binhba (2016)'!$A$3,"MA_HT","SKC","MA_QH","DNG")</f>
        <v>0</v>
      </c>
      <c r="AV26" s="22">
        <f ca="1">+GETPIVOTDATA("XBB4",'binhba (2016)'!$A$3,"MA_HT","SKC","MA_QH","TON")</f>
        <v>0</v>
      </c>
      <c r="AW26" s="22">
        <f ca="1">+GETPIVOTDATA("XBB4",'binhba (2016)'!$A$3,"MA_HT","SKC","MA_QH","NTD")</f>
        <v>0</v>
      </c>
      <c r="AX26" s="22">
        <f ca="1">+GETPIVOTDATA("XBB4",'binhba (2016)'!$A$3,"MA_HT","SKC","MA_QH","SKX")</f>
        <v>0</v>
      </c>
      <c r="AY26" s="22">
        <f ca="1">+GETPIVOTDATA("XBB4",'binhba (2016)'!$A$3,"MA_HT","SKC","MA_QH","DSH")</f>
        <v>0</v>
      </c>
      <c r="AZ26" s="22">
        <f ca="1">+GETPIVOTDATA("XBB4",'binhba (2016)'!$A$3,"MA_HT","SKC","MA_QH","DKV")</f>
        <v>0</v>
      </c>
      <c r="BA26" s="89">
        <f ca="1">+GETPIVOTDATA("XBB4",'binhba (2016)'!$A$3,"MA_HT","SKC","MA_QH","TIN")</f>
        <v>0</v>
      </c>
      <c r="BB26" s="50">
        <f ca="1">+GETPIVOTDATA("XBB4",'binhba (2016)'!$A$3,"MA_HT","SKC","MA_QH","SON")</f>
        <v>0</v>
      </c>
      <c r="BC26" s="50">
        <f ca="1">+GETPIVOTDATA("XBB4",'binhba (2016)'!$A$3,"MA_HT","SKC","MA_QH","MNC")</f>
        <v>0</v>
      </c>
      <c r="BD26" s="22">
        <f ca="1">+GETPIVOTDATA("XBB4",'binhba (2016)'!$A$3,"MA_HT","SKC","MA_QH","PNK")</f>
        <v>0</v>
      </c>
      <c r="BE26" s="71">
        <f ca="1">+GETPIVOTDATA("XBB4",'binhba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+GETPIVOTDATA("XBB4",'binhba (2016)'!$A$3,"MA_HT","SKS","MA_QH","LUC")</f>
        <v>0</v>
      </c>
      <c r="H27" s="22">
        <f ca="1">+GETPIVOTDATA("XBB4",'binhba (2016)'!$A$3,"MA_HT","SKS","MA_QH","LUK")</f>
        <v>0</v>
      </c>
      <c r="I27" s="22">
        <f ca="1">+GETPIVOTDATA("XBB4",'binhba (2016)'!$A$3,"MA_HT","SKS","MA_QH","LUN")</f>
        <v>0</v>
      </c>
      <c r="J27" s="22">
        <f ca="1">+GETPIVOTDATA("XBB4",'binhba (2016)'!$A$3,"MA_HT","SKS","MA_QH","HNK")</f>
        <v>0</v>
      </c>
      <c r="K27" s="22">
        <f ca="1">+GETPIVOTDATA("XBB4",'binhba (2016)'!$A$3,"MA_HT","SKS","MA_QH","CLN")</f>
        <v>0</v>
      </c>
      <c r="L27" s="22">
        <f ca="1">+GETPIVOTDATA("XBB4",'binhba (2016)'!$A$3,"MA_HT","SKS","MA_QH","RSX")</f>
        <v>0</v>
      </c>
      <c r="M27" s="22">
        <f ca="1">+GETPIVOTDATA("XBB4",'binhba (2016)'!$A$3,"MA_HT","SKS","MA_QH","RPH")</f>
        <v>0</v>
      </c>
      <c r="N27" s="22">
        <f ca="1">+GETPIVOTDATA("XBB4",'binhba (2016)'!$A$3,"MA_HT","SKS","MA_QH","RDD")</f>
        <v>0</v>
      </c>
      <c r="O27" s="22">
        <f ca="1">+GETPIVOTDATA("XBB4",'binhba (2016)'!$A$3,"MA_HT","SKS","MA_QH","NTS")</f>
        <v>0</v>
      </c>
      <c r="P27" s="22">
        <f ca="1">+GETPIVOTDATA("XBB4",'binhba (2016)'!$A$3,"MA_HT","SKS","MA_QH","LMU")</f>
        <v>0</v>
      </c>
      <c r="Q27" s="22">
        <f ca="1">+GETPIVOTDATA("XBB4",'binhba (2016)'!$A$3,"MA_HT","SKS","MA_QH","NKH")</f>
        <v>0</v>
      </c>
      <c r="R27" s="42">
        <f ca="1">SUM(S27:Y27,AA27,AN27:BD27)</f>
        <v>0</v>
      </c>
      <c r="S27" s="22">
        <f ca="1">+GETPIVOTDATA("XBB4",'binhba (2016)'!$A$3,"MA_HT","SKS","MA_QH","CQP")</f>
        <v>0</v>
      </c>
      <c r="T27" s="22">
        <f ca="1">+GETPIVOTDATA("XBB4",'binhba (2016)'!$A$3,"MA_HT","SKS","MA_QH","CAN")</f>
        <v>0</v>
      </c>
      <c r="U27" s="22">
        <f ca="1">+GETPIVOTDATA("XBB4",'binhba (2016)'!$A$3,"MA_HT","SKS","MA_QH","SKK")</f>
        <v>0</v>
      </c>
      <c r="V27" s="22">
        <f ca="1">+GETPIVOTDATA("XBB4",'binhba (2016)'!$A$3,"MA_HT","SKS","MA_QH","SKT")</f>
        <v>0</v>
      </c>
      <c r="W27" s="22">
        <f ca="1">+GETPIVOTDATA("XBB4",'binhba (2016)'!$A$3,"MA_HT","SKS","MA_QH","SKN")</f>
        <v>0</v>
      </c>
      <c r="X27" s="22">
        <f ca="1">+GETPIVOTDATA("XBB4",'binhba (2016)'!$A$3,"MA_HT","SKS","MA_QH","TMD")</f>
        <v>0</v>
      </c>
      <c r="Y27" s="22">
        <f ca="1">+GETPIVOTDATA("XBB4",'binhba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+GETPIVOTDATA("XBB4",'binhba (2016)'!$A$3,"MA_HT","SKS","MA_QH","DGT")</f>
        <v>0</v>
      </c>
      <c r="AC27" s="22">
        <f ca="1">+GETPIVOTDATA("XBB4",'binhba (2016)'!$A$3,"MA_HT","SKS","MA_QH","DTL")</f>
        <v>0</v>
      </c>
      <c r="AD27" s="22">
        <f ca="1">+GETPIVOTDATA("XBB4",'binhba (2016)'!$A$3,"MA_HT","SKS","MA_QH","DNL")</f>
        <v>0</v>
      </c>
      <c r="AE27" s="22">
        <f ca="1">+GETPIVOTDATA("XBB4",'binhba (2016)'!$A$3,"MA_HT","SKS","MA_QH","DBV")</f>
        <v>0</v>
      </c>
      <c r="AF27" s="22">
        <f ca="1">+GETPIVOTDATA("XBB4",'binhba (2016)'!$A$3,"MA_HT","SKS","MA_QH","DVH")</f>
        <v>0</v>
      </c>
      <c r="AG27" s="22">
        <f ca="1">+GETPIVOTDATA("XBB4",'binhba (2016)'!$A$3,"MA_HT","SKS","MA_QH","DYT")</f>
        <v>0</v>
      </c>
      <c r="AH27" s="22">
        <f ca="1">+GETPIVOTDATA("XBB4",'binhba (2016)'!$A$3,"MA_HT","SKS","MA_QH","DGD")</f>
        <v>0</v>
      </c>
      <c r="AI27" s="22">
        <f ca="1">+GETPIVOTDATA("XBB4",'binhba (2016)'!$A$3,"MA_HT","SKS","MA_QH","DTT")</f>
        <v>0</v>
      </c>
      <c r="AJ27" s="22">
        <f ca="1">+GETPIVOTDATA("XBB4",'binhba (2016)'!$A$3,"MA_HT","SKS","MA_QH","NCK")</f>
        <v>0</v>
      </c>
      <c r="AK27" s="22">
        <f ca="1">+GETPIVOTDATA("XBB4",'binhba (2016)'!$A$3,"MA_HT","SKS","MA_QH","DXH")</f>
        <v>0</v>
      </c>
      <c r="AL27" s="22">
        <f ca="1">+GETPIVOTDATA("XBB4",'binhba (2016)'!$A$3,"MA_HT","SKS","MA_QH","DCH")</f>
        <v>0</v>
      </c>
      <c r="AM27" s="22">
        <f ca="1">+GETPIVOTDATA("XBB4",'binhba (2016)'!$A$3,"MA_HT","SKS","MA_QH","DKG")</f>
        <v>0</v>
      </c>
      <c r="AN27" s="22">
        <f ca="1">+GETPIVOTDATA("XBB4",'binhba (2016)'!$A$3,"MA_HT","SKS","MA_QH","DDT")</f>
        <v>0</v>
      </c>
      <c r="AO27" s="22">
        <f ca="1">+GETPIVOTDATA("XBB4",'binhba (2016)'!$A$3,"MA_HT","SKS","MA_QH","DDL")</f>
        <v>0</v>
      </c>
      <c r="AP27" s="22">
        <f ca="1">+GETPIVOTDATA("XBB4",'binhba (2016)'!$A$3,"MA_HT","SKS","MA_QH","DRA")</f>
        <v>0</v>
      </c>
      <c r="AQ27" s="22">
        <f ca="1">+GETPIVOTDATA("XBB4",'binhba (2016)'!$A$3,"MA_HT","SKS","MA_QH","ONT")</f>
        <v>0</v>
      </c>
      <c r="AR27" s="22">
        <f ca="1">+GETPIVOTDATA("XBB4",'binhba (2016)'!$A$3,"MA_HT","SKS","MA_QH","ODT")</f>
        <v>0</v>
      </c>
      <c r="AS27" s="22">
        <f ca="1">+GETPIVOTDATA("XBB4",'binhba (2016)'!$A$3,"MA_HT","SKS","MA_QH","TSC")</f>
        <v>0</v>
      </c>
      <c r="AT27" s="22">
        <f ca="1">+GETPIVOTDATA("XBB4",'binhba (2016)'!$A$3,"MA_HT","SKS","MA_QH","DTS")</f>
        <v>0</v>
      </c>
      <c r="AU27" s="22">
        <f ca="1">+GETPIVOTDATA("XBB4",'binhba (2016)'!$A$3,"MA_HT","SKS","MA_QH","DNG")</f>
        <v>0</v>
      </c>
      <c r="AV27" s="22">
        <f ca="1">+GETPIVOTDATA("XBB4",'binhba (2016)'!$A$3,"MA_HT","SKS","MA_QH","TON")</f>
        <v>0</v>
      </c>
      <c r="AW27" s="22">
        <f ca="1">+GETPIVOTDATA("XBB4",'binhba (2016)'!$A$3,"MA_HT","SKS","MA_QH","NTD")</f>
        <v>0</v>
      </c>
      <c r="AX27" s="22">
        <f ca="1">+GETPIVOTDATA("XBB4",'binhba (2016)'!$A$3,"MA_HT","SKS","MA_QH","SKX")</f>
        <v>0</v>
      </c>
      <c r="AY27" s="22">
        <f ca="1">+GETPIVOTDATA("XBB4",'binhba (2016)'!$A$3,"MA_HT","SKS","MA_QH","DSH")</f>
        <v>0</v>
      </c>
      <c r="AZ27" s="22">
        <f ca="1">+GETPIVOTDATA("XBB4",'binhba (2016)'!$A$3,"MA_HT","SKS","MA_QH","DKV")</f>
        <v>0</v>
      </c>
      <c r="BA27" s="89">
        <f ca="1">+GETPIVOTDATA("XBB4",'binhba (2016)'!$A$3,"MA_HT","SKS","MA_QH","TIN")</f>
        <v>0</v>
      </c>
      <c r="BB27" s="50">
        <f ca="1">+GETPIVOTDATA("XBB4",'binhba (2016)'!$A$3,"MA_HT","SKS","MA_QH","SON")</f>
        <v>0</v>
      </c>
      <c r="BC27" s="50">
        <f ca="1">+GETPIVOTDATA("XBB4",'binhba (2016)'!$A$3,"MA_HT","SKS","MA_QH","MNC")</f>
        <v>0</v>
      </c>
      <c r="BD27" s="22">
        <f ca="1">+GETPIVOTDATA("XBB4",'binhba (2016)'!$A$3,"MA_HT","SKS","MA_QH","PNK")</f>
        <v>0</v>
      </c>
      <c r="BE27" s="71">
        <f ca="1">+GETPIVOTDATA("XBB4",'binhba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+GETPIVOTDATA("XBB4",'binhba (2016)'!$A$3,"MA_HT","DGT","MA_QH","LUC")</f>
        <v>0</v>
      </c>
      <c r="H29" s="50">
        <f ca="1">+GETPIVOTDATA("XBB4",'binhba (2016)'!$A$3,"MA_HT","DGT","MA_QH","LUK")</f>
        <v>0</v>
      </c>
      <c r="I29" s="50">
        <f ca="1">+GETPIVOTDATA("XBB4",'binhba (2016)'!$A$3,"MA_HT","DGT","MA_QH","LUN")</f>
        <v>0</v>
      </c>
      <c r="J29" s="50">
        <f ca="1">+GETPIVOTDATA("XBB4",'binhba (2016)'!$A$3,"MA_HT","DGT","MA_QH","HNK")</f>
        <v>0</v>
      </c>
      <c r="K29" s="50">
        <f ca="1">+GETPIVOTDATA("XBB4",'binhba (2016)'!$A$3,"MA_HT","DGT","MA_QH","CLN")</f>
        <v>0</v>
      </c>
      <c r="L29" s="50">
        <f ca="1">+GETPIVOTDATA("XBB4",'binhba (2016)'!$A$3,"MA_HT","DGT","MA_QH","RSX")</f>
        <v>0</v>
      </c>
      <c r="M29" s="50">
        <f ca="1">+GETPIVOTDATA("XBB4",'binhba (2016)'!$A$3,"MA_HT","DGT","MA_QH","RPH")</f>
        <v>0</v>
      </c>
      <c r="N29" s="50">
        <f ca="1">+GETPIVOTDATA("XBB4",'binhba (2016)'!$A$3,"MA_HT","DGT","MA_QH","RDD")</f>
        <v>0</v>
      </c>
      <c r="O29" s="50">
        <f ca="1">+GETPIVOTDATA("XBB4",'binhba (2016)'!$A$3,"MA_HT","DGT","MA_QH","NTS")</f>
        <v>0</v>
      </c>
      <c r="P29" s="50">
        <f ca="1">+GETPIVOTDATA("XBB4",'binhba (2016)'!$A$3,"MA_HT","DGT","MA_QH","LMU")</f>
        <v>0</v>
      </c>
      <c r="Q29" s="50">
        <f ca="1">+GETPIVOTDATA("XBB4",'binhba (2016)'!$A$3,"MA_HT","DGT","MA_QH","NKH")</f>
        <v>0</v>
      </c>
      <c r="R29" s="48">
        <f ca="1">SUM(S29:AA29,AN29:BD29)</f>
        <v>0</v>
      </c>
      <c r="S29" s="50">
        <f ca="1">+GETPIVOTDATA("XBB4",'binhba (2016)'!$A$3,"MA_HT","DGT","MA_QH","CQP")</f>
        <v>0</v>
      </c>
      <c r="T29" s="50">
        <f ca="1">+GETPIVOTDATA("XBB4",'binhba (2016)'!$A$3,"MA_HT","DGT","MA_QH","CAN")</f>
        <v>0</v>
      </c>
      <c r="U29" s="50">
        <f ca="1">+GETPIVOTDATA("XBB4",'binhba (2016)'!$A$3,"MA_HT","DGT","MA_QH","SKK")</f>
        <v>0</v>
      </c>
      <c r="V29" s="50">
        <f ca="1">+GETPIVOTDATA("XBB4",'binhba (2016)'!$A$3,"MA_HT","DGT","MA_QH","SKT")</f>
        <v>0</v>
      </c>
      <c r="W29" s="50">
        <f ca="1">+GETPIVOTDATA("XBB4",'binhba (2016)'!$A$3,"MA_HT","DGT","MA_QH","SKN")</f>
        <v>0</v>
      </c>
      <c r="X29" s="50">
        <f ca="1">+GETPIVOTDATA("XBB4",'binhba (2016)'!$A$3,"MA_HT","DGT","MA_QH","TMD")</f>
        <v>0</v>
      </c>
      <c r="Y29" s="50">
        <f ca="1">+GETPIVOTDATA("XBB4",'binhba (2016)'!$A$3,"MA_HT","DGT","MA_QH","SKC")</f>
        <v>0</v>
      </c>
      <c r="Z29" s="50">
        <f ca="1">+GETPIVOTDATA("XBB4",'binhba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+GETPIVOTDATA("XBB4",'binhba (2016)'!$A$3,"MA_HT","DGT","MA_QH","DTL")</f>
        <v>0</v>
      </c>
      <c r="AD29" s="50">
        <f ca="1">+GETPIVOTDATA("XBB4",'binhba (2016)'!$A$3,"MA_HT","DGT","MA_QH","DNL")</f>
        <v>0</v>
      </c>
      <c r="AE29" s="50">
        <f ca="1">+GETPIVOTDATA("XBB4",'binhba (2016)'!$A$3,"MA_HT","DGT","MA_QH","DBV")</f>
        <v>0</v>
      </c>
      <c r="AF29" s="50">
        <f ca="1">+GETPIVOTDATA("XBB4",'binhba (2016)'!$A$3,"MA_HT","DGT","MA_QH","DVH")</f>
        <v>0</v>
      </c>
      <c r="AG29" s="50">
        <f ca="1">+GETPIVOTDATA("XBB4",'binhba (2016)'!$A$3,"MA_HT","DGT","MA_QH","DYT")</f>
        <v>0</v>
      </c>
      <c r="AH29" s="50">
        <f ca="1">+GETPIVOTDATA("XBB4",'binhba (2016)'!$A$3,"MA_HT","DGT","MA_QH","DGD")</f>
        <v>0</v>
      </c>
      <c r="AI29" s="50">
        <f ca="1">+GETPIVOTDATA("XBB4",'binhba (2016)'!$A$3,"MA_HT","DGT","MA_QH","DTT")</f>
        <v>0</v>
      </c>
      <c r="AJ29" s="50">
        <f ca="1">+GETPIVOTDATA("XBB4",'binhba (2016)'!$A$3,"MA_HT","DGT","MA_QH","NCK")</f>
        <v>0</v>
      </c>
      <c r="AK29" s="50">
        <f ca="1">+GETPIVOTDATA("XBB4",'binhba (2016)'!$A$3,"MA_HT","DGT","MA_QH","DXH")</f>
        <v>0</v>
      </c>
      <c r="AL29" s="50">
        <f ca="1">+GETPIVOTDATA("XBB4",'binhba (2016)'!$A$3,"MA_HT","DGT","MA_QH","DCH")</f>
        <v>0</v>
      </c>
      <c r="AM29" s="50">
        <f ca="1">+GETPIVOTDATA("XBB4",'binhba (2016)'!$A$3,"MA_HT","DGT","MA_QH","DKG")</f>
        <v>0</v>
      </c>
      <c r="AN29" s="50">
        <f ca="1">+GETPIVOTDATA("XBB4",'binhba (2016)'!$A$3,"MA_HT","DGT","MA_QH","DDT")</f>
        <v>0</v>
      </c>
      <c r="AO29" s="50">
        <f ca="1">+GETPIVOTDATA("XBB4",'binhba (2016)'!$A$3,"MA_HT","DGT","MA_QH","DDL")</f>
        <v>0</v>
      </c>
      <c r="AP29" s="50">
        <f ca="1">+GETPIVOTDATA("XBB4",'binhba (2016)'!$A$3,"MA_HT","DGT","MA_QH","DRA")</f>
        <v>0</v>
      </c>
      <c r="AQ29" s="50">
        <f ca="1">+GETPIVOTDATA("XBB4",'binhba (2016)'!$A$3,"MA_HT","DGT","MA_QH","ONT")</f>
        <v>0</v>
      </c>
      <c r="AR29" s="50">
        <f ca="1">+GETPIVOTDATA("XBB4",'binhba (2016)'!$A$3,"MA_HT","DGT","MA_QH","ODT")</f>
        <v>0</v>
      </c>
      <c r="AS29" s="50">
        <f ca="1">+GETPIVOTDATA("XBB4",'binhba (2016)'!$A$3,"MA_HT","DGT","MA_QH","TSC")</f>
        <v>0</v>
      </c>
      <c r="AT29" s="50">
        <f ca="1">+GETPIVOTDATA("XBB4",'binhba (2016)'!$A$3,"MA_HT","DGT","MA_QH","DTS")</f>
        <v>0</v>
      </c>
      <c r="AU29" s="50">
        <f ca="1">+GETPIVOTDATA("XBB4",'binhba (2016)'!$A$3,"MA_HT","DGT","MA_QH","DNG")</f>
        <v>0</v>
      </c>
      <c r="AV29" s="50">
        <f ca="1">+GETPIVOTDATA("XBB4",'binhba (2016)'!$A$3,"MA_HT","DGT","MA_QH","TON")</f>
        <v>0</v>
      </c>
      <c r="AW29" s="50">
        <f ca="1">+GETPIVOTDATA("XBB4",'binhba (2016)'!$A$3,"MA_HT","DGT","MA_QH","NTD")</f>
        <v>0</v>
      </c>
      <c r="AX29" s="50">
        <f ca="1">+GETPIVOTDATA("XBB4",'binhba (2016)'!$A$3,"MA_HT","DGT","MA_QH","SKX")</f>
        <v>0</v>
      </c>
      <c r="AY29" s="50">
        <f ca="1">+GETPIVOTDATA("XBB4",'binhba (2016)'!$A$3,"MA_HT","DGT","MA_QH","DSH")</f>
        <v>0</v>
      </c>
      <c r="AZ29" s="50">
        <f ca="1">+GETPIVOTDATA("XBB4",'binhba (2016)'!$A$3,"MA_HT","DGT","MA_QH","DKV")</f>
        <v>0</v>
      </c>
      <c r="BA29" s="88">
        <f ca="1">+GETPIVOTDATA("XBB4",'binhba (2016)'!$A$3,"MA_HT","DGT","MA_QH","TIN")</f>
        <v>0</v>
      </c>
      <c r="BB29" s="50">
        <f ca="1">+GETPIVOTDATA("XBB4",'binhba (2016)'!$A$3,"MA_HT","DGT","MA_QH","SON")</f>
        <v>0</v>
      </c>
      <c r="BC29" s="50">
        <f ca="1">+GETPIVOTDATA("XBB4",'binhba (2016)'!$A$3,"MA_HT","DGT","MA_QH","MNC")</f>
        <v>0</v>
      </c>
      <c r="BD29" s="50">
        <f ca="1">+GETPIVOTDATA("XBB4",'binhba (2016)'!$A$3,"MA_HT","DGT","MA_QH","PNK")</f>
        <v>0</v>
      </c>
      <c r="BE29" s="80">
        <f ca="1">+GETPIVOTDATA("XBB4",'binhba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+GETPIVOTDATA("XBB4",'binhba (2016)'!$A$3,"MA_HT","DTL","MA_QH","LUC")</f>
        <v>0</v>
      </c>
      <c r="H30" s="50">
        <f ca="1">+GETPIVOTDATA("XBB4",'binhba (2016)'!$A$3,"MA_HT","DTL","MA_QH","LUK")</f>
        <v>0</v>
      </c>
      <c r="I30" s="50">
        <f ca="1">+GETPIVOTDATA("XBB4",'binhba (2016)'!$A$3,"MA_HT","DTL","MA_QH","LUN")</f>
        <v>0</v>
      </c>
      <c r="J30" s="50">
        <f ca="1">+GETPIVOTDATA("XBB4",'binhba (2016)'!$A$3,"MA_HT","DTL","MA_QH","HNK")</f>
        <v>0</v>
      </c>
      <c r="K30" s="50">
        <f ca="1">+GETPIVOTDATA("XBB4",'binhba (2016)'!$A$3,"MA_HT","DTL","MA_QH","CLN")</f>
        <v>0</v>
      </c>
      <c r="L30" s="50">
        <f ca="1">+GETPIVOTDATA("XBB4",'binhba (2016)'!$A$3,"MA_HT","DTL","MA_QH","RSX")</f>
        <v>0</v>
      </c>
      <c r="M30" s="50">
        <f ca="1">+GETPIVOTDATA("XBB4",'binhba (2016)'!$A$3,"MA_HT","DTL","MA_QH","RPH")</f>
        <v>0</v>
      </c>
      <c r="N30" s="50">
        <f ca="1">+GETPIVOTDATA("XBB4",'binhba (2016)'!$A$3,"MA_HT","DTL","MA_QH","RDD")</f>
        <v>0</v>
      </c>
      <c r="O30" s="50">
        <f ca="1">+GETPIVOTDATA("XBB4",'binhba (2016)'!$A$3,"MA_HT","DTL","MA_QH","NTS")</f>
        <v>0</v>
      </c>
      <c r="P30" s="50">
        <f ca="1">+GETPIVOTDATA("XBB4",'binhba (2016)'!$A$3,"MA_HT","DTL","MA_QH","LMU")</f>
        <v>0</v>
      </c>
      <c r="Q30" s="50">
        <f ca="1">+GETPIVOTDATA("XBB4",'binhba (2016)'!$A$3,"MA_HT","DTL","MA_QH","NKH")</f>
        <v>0</v>
      </c>
      <c r="R30" s="48">
        <f ca="1" t="shared" ref="R30:R40" si="20">SUM(S30:AA30,AN30:BD30)</f>
        <v>0</v>
      </c>
      <c r="S30" s="50">
        <f ca="1">+GETPIVOTDATA("XBB4",'binhba (2016)'!$A$3,"MA_HT","DTL","MA_QH","CQP")</f>
        <v>0</v>
      </c>
      <c r="T30" s="50">
        <f ca="1">+GETPIVOTDATA("XBB4",'binhba (2016)'!$A$3,"MA_HT","DTL","MA_QH","CAN")</f>
        <v>0</v>
      </c>
      <c r="U30" s="50">
        <f ca="1">+GETPIVOTDATA("XBB4",'binhba (2016)'!$A$3,"MA_HT","DTL","MA_QH","SKK")</f>
        <v>0</v>
      </c>
      <c r="V30" s="50">
        <f ca="1">+GETPIVOTDATA("XBB4",'binhba (2016)'!$A$3,"MA_HT","DTL","MA_QH","SKT")</f>
        <v>0</v>
      </c>
      <c r="W30" s="50">
        <f ca="1">+GETPIVOTDATA("XBB4",'binhba (2016)'!$A$3,"MA_HT","DTL","MA_QH","SKN")</f>
        <v>0</v>
      </c>
      <c r="X30" s="50">
        <f ca="1">+GETPIVOTDATA("XBB4",'binhba (2016)'!$A$3,"MA_HT","DTL","MA_QH","TMD")</f>
        <v>0</v>
      </c>
      <c r="Y30" s="50">
        <f ca="1">+GETPIVOTDATA("XBB4",'binhba (2016)'!$A$3,"MA_HT","DTL","MA_QH","SKC")</f>
        <v>0</v>
      </c>
      <c r="Z30" s="50">
        <f ca="1">+GETPIVOTDATA("XBB4",'binhba (2016)'!$A$3,"MA_HT","DTL","MA_QH","SKS")</f>
        <v>0</v>
      </c>
      <c r="AA30" s="52">
        <f ca="1">+SUM(AB30,AD30:AM30)</f>
        <v>0</v>
      </c>
      <c r="AB30" s="50">
        <f ca="1">+GETPIVOTDATA("XBB4",'binhba (2016)'!$A$3,"MA_HT","DTL","MA_QH","DGT")</f>
        <v>0</v>
      </c>
      <c r="AC30" s="49" t="e">
        <f ca="1">$D30-$BF30</f>
        <v>#REF!</v>
      </c>
      <c r="AD30" s="50">
        <f ca="1">+GETPIVOTDATA("XBB4",'binhba (2016)'!$A$3,"MA_HT","DTL","MA_QH","DNL")</f>
        <v>0</v>
      </c>
      <c r="AE30" s="50">
        <f ca="1">+GETPIVOTDATA("XBB4",'binhba (2016)'!$A$3,"MA_HT","DTL","MA_QH","DBV")</f>
        <v>0</v>
      </c>
      <c r="AF30" s="50">
        <f ca="1">+GETPIVOTDATA("XBB4",'binhba (2016)'!$A$3,"MA_HT","DTL","MA_QH","DVH")</f>
        <v>0</v>
      </c>
      <c r="AG30" s="50">
        <f ca="1">+GETPIVOTDATA("XBB4",'binhba (2016)'!$A$3,"MA_HT","DTL","MA_QH","DYT")</f>
        <v>0</v>
      </c>
      <c r="AH30" s="50">
        <f ca="1">+GETPIVOTDATA("XBB4",'binhba (2016)'!$A$3,"MA_HT","DTL","MA_QH","DGD")</f>
        <v>0</v>
      </c>
      <c r="AI30" s="50">
        <f ca="1">+GETPIVOTDATA("XBB4",'binhba (2016)'!$A$3,"MA_HT","DTL","MA_QH","DTT")</f>
        <v>0</v>
      </c>
      <c r="AJ30" s="50">
        <f ca="1">+GETPIVOTDATA("XBB4",'binhba (2016)'!$A$3,"MA_HT","DTL","MA_QH","NCK")</f>
        <v>0</v>
      </c>
      <c r="AK30" s="50">
        <f ca="1">+GETPIVOTDATA("XBB4",'binhba (2016)'!$A$3,"MA_HT","DTL","MA_QH","DXH")</f>
        <v>0</v>
      </c>
      <c r="AL30" s="50">
        <f ca="1">+GETPIVOTDATA("XBB4",'binhba (2016)'!$A$3,"MA_HT","DTL","MA_QH","DCH")</f>
        <v>0</v>
      </c>
      <c r="AM30" s="50">
        <f ca="1">+GETPIVOTDATA("XBB4",'binhba (2016)'!$A$3,"MA_HT","DTL","MA_QH","DKG")</f>
        <v>0</v>
      </c>
      <c r="AN30" s="50">
        <f ca="1">+GETPIVOTDATA("XBB4",'binhba (2016)'!$A$3,"MA_HT","DTL","MA_QH","DDT")</f>
        <v>0</v>
      </c>
      <c r="AO30" s="50">
        <f ca="1">+GETPIVOTDATA("XBB4",'binhba (2016)'!$A$3,"MA_HT","DTL","MA_QH","DDL")</f>
        <v>0</v>
      </c>
      <c r="AP30" s="50">
        <f ca="1">+GETPIVOTDATA("XBB4",'binhba (2016)'!$A$3,"MA_HT","DTL","MA_QH","DRA")</f>
        <v>0</v>
      </c>
      <c r="AQ30" s="50">
        <f ca="1">+GETPIVOTDATA("XBB4",'binhba (2016)'!$A$3,"MA_HT","DTL","MA_QH","ONT")</f>
        <v>0</v>
      </c>
      <c r="AR30" s="50">
        <f ca="1">+GETPIVOTDATA("XBB4",'binhba (2016)'!$A$3,"MA_HT","DTL","MA_QH","ODT")</f>
        <v>0</v>
      </c>
      <c r="AS30" s="50">
        <f ca="1">+GETPIVOTDATA("XBB4",'binhba (2016)'!$A$3,"MA_HT","DTL","MA_QH","TSC")</f>
        <v>0</v>
      </c>
      <c r="AT30" s="50">
        <f ca="1">+GETPIVOTDATA("XBB4",'binhba (2016)'!$A$3,"MA_HT","DTL","MA_QH","DTS")</f>
        <v>0</v>
      </c>
      <c r="AU30" s="50">
        <f ca="1">+GETPIVOTDATA("XBB4",'binhba (2016)'!$A$3,"MA_HT","DTL","MA_QH","DNG")</f>
        <v>0</v>
      </c>
      <c r="AV30" s="50">
        <f ca="1">+GETPIVOTDATA("XBB4",'binhba (2016)'!$A$3,"MA_HT","DTL","MA_QH","TON")</f>
        <v>0</v>
      </c>
      <c r="AW30" s="50">
        <f ca="1">+GETPIVOTDATA("XBB4",'binhba (2016)'!$A$3,"MA_HT","DTL","MA_QH","NTD")</f>
        <v>0</v>
      </c>
      <c r="AX30" s="50">
        <f ca="1">+GETPIVOTDATA("XBB4",'binhba (2016)'!$A$3,"MA_HT","DTL","MA_QH","SKX")</f>
        <v>0</v>
      </c>
      <c r="AY30" s="50">
        <f ca="1">+GETPIVOTDATA("XBB4",'binhba (2016)'!$A$3,"MA_HT","DTL","MA_QH","DSH")</f>
        <v>0</v>
      </c>
      <c r="AZ30" s="50">
        <f ca="1">+GETPIVOTDATA("XBB4",'binhba (2016)'!$A$3,"MA_HT","DTL","MA_QH","DKV")</f>
        <v>0</v>
      </c>
      <c r="BA30" s="88">
        <f ca="1">+GETPIVOTDATA("XBB4",'binhba (2016)'!$A$3,"MA_HT","DTL","MA_QH","TIN")</f>
        <v>0</v>
      </c>
      <c r="BB30" s="50">
        <f ca="1">+GETPIVOTDATA("XBB4",'binhba (2016)'!$A$3,"MA_HT","DTL","MA_QH","SON")</f>
        <v>0</v>
      </c>
      <c r="BC30" s="50">
        <f ca="1">+GETPIVOTDATA("XBB4",'binhba (2016)'!$A$3,"MA_HT","DTL","MA_QH","MNC")</f>
        <v>0</v>
      </c>
      <c r="BD30" s="50">
        <f ca="1">+GETPIVOTDATA("XBB4",'binhba (2016)'!$A$3,"MA_HT","DTL","MA_QH","PNK")</f>
        <v>0</v>
      </c>
      <c r="BE30" s="80">
        <f ca="1">+GETPIVOTDATA("XBB4",'binhba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+GETPIVOTDATA("XBB4",'binhba (2016)'!$A$3,"MA_HT","DNL","MA_QH","LUC")</f>
        <v>0</v>
      </c>
      <c r="H31" s="50">
        <f ca="1">+GETPIVOTDATA("XBB4",'binhba (2016)'!$A$3,"MA_HT","DNL","MA_QH","LUK")</f>
        <v>0</v>
      </c>
      <c r="I31" s="50">
        <f ca="1">+GETPIVOTDATA("XBB4",'binhba (2016)'!$A$3,"MA_HT","DNL","MA_QH","LUN")</f>
        <v>0</v>
      </c>
      <c r="J31" s="50">
        <f ca="1">+GETPIVOTDATA("XBB4",'binhba (2016)'!$A$3,"MA_HT","DNL","MA_QH","HNK")</f>
        <v>0</v>
      </c>
      <c r="K31" s="50">
        <f ca="1">+GETPIVOTDATA("XBB4",'binhba (2016)'!$A$3,"MA_HT","DNL","MA_QH","CLN")</f>
        <v>0</v>
      </c>
      <c r="L31" s="50">
        <f ca="1">+GETPIVOTDATA("XBB4",'binhba (2016)'!$A$3,"MA_HT","DNL","MA_QH","RSX")</f>
        <v>0</v>
      </c>
      <c r="M31" s="50">
        <f ca="1">+GETPIVOTDATA("XBB4",'binhba (2016)'!$A$3,"MA_HT","DNL","MA_QH","RPH")</f>
        <v>0</v>
      </c>
      <c r="N31" s="50">
        <f ca="1">+GETPIVOTDATA("XBB4",'binhba (2016)'!$A$3,"MA_HT","DNL","MA_QH","RDD")</f>
        <v>0</v>
      </c>
      <c r="O31" s="50">
        <f ca="1">+GETPIVOTDATA("XBB4",'binhba (2016)'!$A$3,"MA_HT","DNL","MA_QH","NTS")</f>
        <v>0</v>
      </c>
      <c r="P31" s="50">
        <f ca="1">+GETPIVOTDATA("XBB4",'binhba (2016)'!$A$3,"MA_HT","DNL","MA_QH","LMU")</f>
        <v>0</v>
      </c>
      <c r="Q31" s="50">
        <f ca="1">+GETPIVOTDATA("XBB4",'binhba (2016)'!$A$3,"MA_HT","DNL","MA_QH","NKH")</f>
        <v>0</v>
      </c>
      <c r="R31" s="48">
        <f ca="1" t="shared" si="20"/>
        <v>0</v>
      </c>
      <c r="S31" s="50">
        <f ca="1">+GETPIVOTDATA("XBB4",'binhba (2016)'!$A$3,"MA_HT","DNL","MA_QH","CQP")</f>
        <v>0</v>
      </c>
      <c r="T31" s="50">
        <f ca="1">+GETPIVOTDATA("XBB4",'binhba (2016)'!$A$3,"MA_HT","DNL","MA_QH","CAN")</f>
        <v>0</v>
      </c>
      <c r="U31" s="50">
        <f ca="1">+GETPIVOTDATA("XBB4",'binhba (2016)'!$A$3,"MA_HT","DNL","MA_QH","SKK")</f>
        <v>0</v>
      </c>
      <c r="V31" s="50">
        <f ca="1">+GETPIVOTDATA("XBB4",'binhba (2016)'!$A$3,"MA_HT","DNL","MA_QH","SKT")</f>
        <v>0</v>
      </c>
      <c r="W31" s="50">
        <f ca="1">+GETPIVOTDATA("XBB4",'binhba (2016)'!$A$3,"MA_HT","DNL","MA_QH","SKN")</f>
        <v>0</v>
      </c>
      <c r="X31" s="50">
        <f ca="1">+GETPIVOTDATA("XBB4",'binhba (2016)'!$A$3,"MA_HT","DNL","MA_QH","TMD")</f>
        <v>0</v>
      </c>
      <c r="Y31" s="50">
        <f ca="1">+GETPIVOTDATA("XBB4",'binhba (2016)'!$A$3,"MA_HT","DNL","MA_QH","SKC")</f>
        <v>0</v>
      </c>
      <c r="Z31" s="50">
        <f ca="1">+GETPIVOTDATA("XBB4",'binhba (2016)'!$A$3,"MA_HT","DNL","MA_QH","SKS")</f>
        <v>0</v>
      </c>
      <c r="AA31" s="52">
        <f ca="1">+SUM(AB31:AC31,AE31:AM31)</f>
        <v>0</v>
      </c>
      <c r="AB31" s="50">
        <f ca="1">+GETPIVOTDATA("XBB4",'binhba (2016)'!$A$3,"MA_HT","DNL","MA_QH","DGT")</f>
        <v>0</v>
      </c>
      <c r="AC31" s="50">
        <f ca="1">+GETPIVOTDATA("XBB4",'binhba (2016)'!$A$3,"MA_HT","DNL","MA_QH","DTL")</f>
        <v>0</v>
      </c>
      <c r="AD31" s="49" t="e">
        <f ca="1">$D31-$BF31</f>
        <v>#REF!</v>
      </c>
      <c r="AE31" s="50">
        <f ca="1">+GETPIVOTDATA("XBB4",'binhba (2016)'!$A$3,"MA_HT","DNL","MA_QH","DBV")</f>
        <v>0</v>
      </c>
      <c r="AF31" s="50">
        <f ca="1">+GETPIVOTDATA("XBB4",'binhba (2016)'!$A$3,"MA_HT","DNL","MA_QH","DVH")</f>
        <v>0</v>
      </c>
      <c r="AG31" s="50">
        <f ca="1">+GETPIVOTDATA("XBB4",'binhba (2016)'!$A$3,"MA_HT","DNL","MA_QH","DYT")</f>
        <v>0</v>
      </c>
      <c r="AH31" s="50">
        <f ca="1">+GETPIVOTDATA("XBB4",'binhba (2016)'!$A$3,"MA_HT","DNL","MA_QH","DGD")</f>
        <v>0</v>
      </c>
      <c r="AI31" s="50">
        <f ca="1">+GETPIVOTDATA("XBB4",'binhba (2016)'!$A$3,"MA_HT","DNL","MA_QH","DTT")</f>
        <v>0</v>
      </c>
      <c r="AJ31" s="50">
        <f ca="1">+GETPIVOTDATA("XBB4",'binhba (2016)'!$A$3,"MA_HT","DNL","MA_QH","NCK")</f>
        <v>0</v>
      </c>
      <c r="AK31" s="50">
        <f ca="1">+GETPIVOTDATA("XBB4",'binhba (2016)'!$A$3,"MA_HT","DNL","MA_QH","DXH")</f>
        <v>0</v>
      </c>
      <c r="AL31" s="50">
        <f ca="1">+GETPIVOTDATA("XBB4",'binhba (2016)'!$A$3,"MA_HT","DNL","MA_QH","DCH")</f>
        <v>0</v>
      </c>
      <c r="AM31" s="50">
        <f ca="1">+GETPIVOTDATA("XBB4",'binhba (2016)'!$A$3,"MA_HT","DNL","MA_QH","DKG")</f>
        <v>0</v>
      </c>
      <c r="AN31" s="50">
        <f ca="1">+GETPIVOTDATA("XBB4",'binhba (2016)'!$A$3,"MA_HT","DNL","MA_QH","DDT")</f>
        <v>0</v>
      </c>
      <c r="AO31" s="50">
        <f ca="1">+GETPIVOTDATA("XBB4",'binhba (2016)'!$A$3,"MA_HT","DNL","MA_QH","DDL")</f>
        <v>0</v>
      </c>
      <c r="AP31" s="50">
        <f ca="1">+GETPIVOTDATA("XBB4",'binhba (2016)'!$A$3,"MA_HT","DNL","MA_QH","DRA")</f>
        <v>0</v>
      </c>
      <c r="AQ31" s="50">
        <f ca="1">+GETPIVOTDATA("XBB4",'binhba (2016)'!$A$3,"MA_HT","DNL","MA_QH","ONT")</f>
        <v>0</v>
      </c>
      <c r="AR31" s="50">
        <f ca="1">+GETPIVOTDATA("XBB4",'binhba (2016)'!$A$3,"MA_HT","DNL","MA_QH","ODT")</f>
        <v>0</v>
      </c>
      <c r="AS31" s="50">
        <f ca="1">+GETPIVOTDATA("XBB4",'binhba (2016)'!$A$3,"MA_HT","DNL","MA_QH","TSC")</f>
        <v>0</v>
      </c>
      <c r="AT31" s="50">
        <f ca="1">+GETPIVOTDATA("XBB4",'binhba (2016)'!$A$3,"MA_HT","DNL","MA_QH","DTS")</f>
        <v>0</v>
      </c>
      <c r="AU31" s="50">
        <f ca="1">+GETPIVOTDATA("XBB4",'binhba (2016)'!$A$3,"MA_HT","DNL","MA_QH","DNG")</f>
        <v>0</v>
      </c>
      <c r="AV31" s="50">
        <f ca="1">+GETPIVOTDATA("XBB4",'binhba (2016)'!$A$3,"MA_HT","DNL","MA_QH","TON")</f>
        <v>0</v>
      </c>
      <c r="AW31" s="50">
        <f ca="1">+GETPIVOTDATA("XBB4",'binhba (2016)'!$A$3,"MA_HT","DNL","MA_QH","NTD")</f>
        <v>0</v>
      </c>
      <c r="AX31" s="50">
        <f ca="1">+GETPIVOTDATA("XBB4",'binhba (2016)'!$A$3,"MA_HT","DNL","MA_QH","SKX")</f>
        <v>0</v>
      </c>
      <c r="AY31" s="50">
        <f ca="1">+GETPIVOTDATA("XBB4",'binhba (2016)'!$A$3,"MA_HT","DNL","MA_QH","DSH")</f>
        <v>0</v>
      </c>
      <c r="AZ31" s="50">
        <f ca="1">+GETPIVOTDATA("XBB4",'binhba (2016)'!$A$3,"MA_HT","DNL","MA_QH","DKV")</f>
        <v>0</v>
      </c>
      <c r="BA31" s="88">
        <f ca="1">+GETPIVOTDATA("XBB4",'binhba (2016)'!$A$3,"MA_HT","DNL","MA_QH","TIN")</f>
        <v>0</v>
      </c>
      <c r="BB31" s="50">
        <f ca="1">+GETPIVOTDATA("XBB4",'binhba (2016)'!$A$3,"MA_HT","DNL","MA_QH","SON")</f>
        <v>0</v>
      </c>
      <c r="BC31" s="50">
        <f ca="1">+GETPIVOTDATA("XBB4",'binhba (2016)'!$A$3,"MA_HT","DNL","MA_QH","MNC")</f>
        <v>0</v>
      </c>
      <c r="BD31" s="50">
        <f ca="1">+GETPIVOTDATA("XBB4",'binhba (2016)'!$A$3,"MA_HT","DNL","MA_QH","PNK")</f>
        <v>0</v>
      </c>
      <c r="BE31" s="80">
        <f ca="1">+GETPIVOTDATA("XBB4",'binhba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+GETPIVOTDATA("XBB4",'binhba (2016)'!$A$3,"MA_HT","DBV","MA_QH","LUC")</f>
        <v>0</v>
      </c>
      <c r="H32" s="50">
        <f ca="1">+GETPIVOTDATA("XBB4",'binhba (2016)'!$A$3,"MA_HT","DBV","MA_QH","LUK")</f>
        <v>0</v>
      </c>
      <c r="I32" s="50">
        <f ca="1">+GETPIVOTDATA("XBB4",'binhba (2016)'!$A$3,"MA_HT","DBV","MA_QH","LUN")</f>
        <v>0</v>
      </c>
      <c r="J32" s="50">
        <f ca="1">+GETPIVOTDATA("XBB4",'binhba (2016)'!$A$3,"MA_HT","DBV","MA_QH","HNK")</f>
        <v>0</v>
      </c>
      <c r="K32" s="50">
        <f ca="1">+GETPIVOTDATA("XBB4",'binhba (2016)'!$A$3,"MA_HT","DBV","MA_QH","CLN")</f>
        <v>0</v>
      </c>
      <c r="L32" s="50">
        <f ca="1">+GETPIVOTDATA("XBB4",'binhba (2016)'!$A$3,"MA_HT","DBV","MA_QH","RSX")</f>
        <v>0</v>
      </c>
      <c r="M32" s="50">
        <f ca="1">+GETPIVOTDATA("XBB4",'binhba (2016)'!$A$3,"MA_HT","DBV","MA_QH","RPH")</f>
        <v>0</v>
      </c>
      <c r="N32" s="50">
        <f ca="1">+GETPIVOTDATA("XBB4",'binhba (2016)'!$A$3,"MA_HT","DBV","MA_QH","RDD")</f>
        <v>0</v>
      </c>
      <c r="O32" s="50">
        <f ca="1">+GETPIVOTDATA("XBB4",'binhba (2016)'!$A$3,"MA_HT","DBV","MA_QH","NTS")</f>
        <v>0</v>
      </c>
      <c r="P32" s="50">
        <f ca="1">+GETPIVOTDATA("XBB4",'binhba (2016)'!$A$3,"MA_HT","DBV","MA_QH","LMU")</f>
        <v>0</v>
      </c>
      <c r="Q32" s="50">
        <f ca="1">+GETPIVOTDATA("XBB4",'binhba (2016)'!$A$3,"MA_HT","DBV","MA_QH","NKH")</f>
        <v>0</v>
      </c>
      <c r="R32" s="48">
        <f ca="1" t="shared" si="20"/>
        <v>0</v>
      </c>
      <c r="S32" s="50">
        <f ca="1">+GETPIVOTDATA("XBB4",'binhba (2016)'!$A$3,"MA_HT","DBV","MA_QH","CQP")</f>
        <v>0</v>
      </c>
      <c r="T32" s="50">
        <f ca="1">+GETPIVOTDATA("XBB4",'binhba (2016)'!$A$3,"MA_HT","DBV","MA_QH","CAN")</f>
        <v>0</v>
      </c>
      <c r="U32" s="50">
        <f ca="1">+GETPIVOTDATA("XBB4",'binhba (2016)'!$A$3,"MA_HT","DBV","MA_QH","SKK")</f>
        <v>0</v>
      </c>
      <c r="V32" s="50">
        <f ca="1">+GETPIVOTDATA("XBB4",'binhba (2016)'!$A$3,"MA_HT","DBV","MA_QH","SKT")</f>
        <v>0</v>
      </c>
      <c r="W32" s="50">
        <f ca="1">+GETPIVOTDATA("XBB4",'binhba (2016)'!$A$3,"MA_HT","DBV","MA_QH","SKN")</f>
        <v>0</v>
      </c>
      <c r="X32" s="50">
        <f ca="1">+GETPIVOTDATA("XBB4",'binhba (2016)'!$A$3,"MA_HT","DBV","MA_QH","TMD")</f>
        <v>0</v>
      </c>
      <c r="Y32" s="50">
        <f ca="1">+GETPIVOTDATA("XBB4",'binhba (2016)'!$A$3,"MA_HT","DBV","MA_QH","SKC")</f>
        <v>0</v>
      </c>
      <c r="Z32" s="50">
        <f ca="1">+GETPIVOTDATA("XBB4",'binhba (2016)'!$A$3,"MA_HT","DBV","MA_QH","SKS")</f>
        <v>0</v>
      </c>
      <c r="AA32" s="52">
        <f ca="1">+SUM(AB32:AD32,AF32:AM32)</f>
        <v>0</v>
      </c>
      <c r="AB32" s="50">
        <f ca="1">+GETPIVOTDATA("XBB4",'binhba (2016)'!$A$3,"MA_HT","DBV","MA_QH","DGT")</f>
        <v>0</v>
      </c>
      <c r="AC32" s="50">
        <f ca="1">+GETPIVOTDATA("XBB4",'binhba (2016)'!$A$3,"MA_HT","DBV","MA_QH","DTL")</f>
        <v>0</v>
      </c>
      <c r="AD32" s="50">
        <f ca="1">+GETPIVOTDATA("XBB4",'binhba (2016)'!$A$3,"MA_HT","DBV","MA_QH","DNL")</f>
        <v>0</v>
      </c>
      <c r="AE32" s="49" t="e">
        <f ca="1">$D32-$BF32</f>
        <v>#REF!</v>
      </c>
      <c r="AF32" s="50">
        <f ca="1">+GETPIVOTDATA("XBB4",'binhba (2016)'!$A$3,"MA_HT","DBV","MA_QH","DVH")</f>
        <v>0</v>
      </c>
      <c r="AG32" s="50">
        <f ca="1">+GETPIVOTDATA("XBB4",'binhba (2016)'!$A$3,"MA_HT","DBV","MA_QH","DYT")</f>
        <v>0</v>
      </c>
      <c r="AH32" s="50">
        <f ca="1">+GETPIVOTDATA("XBB4",'binhba (2016)'!$A$3,"MA_HT","DBV","MA_QH","DGD")</f>
        <v>0</v>
      </c>
      <c r="AI32" s="50">
        <f ca="1">+GETPIVOTDATA("XBB4",'binhba (2016)'!$A$3,"MA_HT","DBV","MA_QH","DTT")</f>
        <v>0</v>
      </c>
      <c r="AJ32" s="50">
        <f ca="1">+GETPIVOTDATA("XBB4",'binhba (2016)'!$A$3,"MA_HT","DBV","MA_QH","NCK")</f>
        <v>0</v>
      </c>
      <c r="AK32" s="50">
        <f ca="1">+GETPIVOTDATA("XBB4",'binhba (2016)'!$A$3,"MA_HT","DBV","MA_QH","DXH")</f>
        <v>0</v>
      </c>
      <c r="AL32" s="50">
        <f ca="1">+GETPIVOTDATA("XBB4",'binhba (2016)'!$A$3,"MA_HT","DBV","MA_QH","DCH")</f>
        <v>0</v>
      </c>
      <c r="AM32" s="50">
        <f ca="1">+GETPIVOTDATA("XBB4",'binhba (2016)'!$A$3,"MA_HT","DBV","MA_QH","DKG")</f>
        <v>0</v>
      </c>
      <c r="AN32" s="50">
        <f ca="1">+GETPIVOTDATA("XBB4",'binhba (2016)'!$A$3,"MA_HT","DBV","MA_QH","DDT")</f>
        <v>0</v>
      </c>
      <c r="AO32" s="50">
        <f ca="1">+GETPIVOTDATA("XBB4",'binhba (2016)'!$A$3,"MA_HT","DBV","MA_QH","DDL")</f>
        <v>0</v>
      </c>
      <c r="AP32" s="50">
        <f ca="1">+GETPIVOTDATA("XBB4",'binhba (2016)'!$A$3,"MA_HT","DBV","MA_QH","DRA")</f>
        <v>0</v>
      </c>
      <c r="AQ32" s="50">
        <f ca="1">+GETPIVOTDATA("XBB4",'binhba (2016)'!$A$3,"MA_HT","DBV","MA_QH","ONT")</f>
        <v>0</v>
      </c>
      <c r="AR32" s="50">
        <f ca="1">+GETPIVOTDATA("XBB4",'binhba (2016)'!$A$3,"MA_HT","DBV","MA_QH","ODT")</f>
        <v>0</v>
      </c>
      <c r="AS32" s="50">
        <f ca="1">+GETPIVOTDATA("XBB4",'binhba (2016)'!$A$3,"MA_HT","DBV","MA_QH","TSC")</f>
        <v>0</v>
      </c>
      <c r="AT32" s="50">
        <f ca="1">+GETPIVOTDATA("XBB4",'binhba (2016)'!$A$3,"MA_HT","DBV","MA_QH","DTS")</f>
        <v>0</v>
      </c>
      <c r="AU32" s="50">
        <f ca="1">+GETPIVOTDATA("XBB4",'binhba (2016)'!$A$3,"MA_HT","DBV","MA_QH","DNG")</f>
        <v>0</v>
      </c>
      <c r="AV32" s="50">
        <f ca="1">+GETPIVOTDATA("XBB4",'binhba (2016)'!$A$3,"MA_HT","DBV","MA_QH","TON")</f>
        <v>0</v>
      </c>
      <c r="AW32" s="50">
        <f ca="1">+GETPIVOTDATA("XBB4",'binhba (2016)'!$A$3,"MA_HT","DBV","MA_QH","NTD")</f>
        <v>0</v>
      </c>
      <c r="AX32" s="50">
        <f ca="1">+GETPIVOTDATA("XBB4",'binhba (2016)'!$A$3,"MA_HT","DBV","MA_QH","SKX")</f>
        <v>0</v>
      </c>
      <c r="AY32" s="50">
        <f ca="1">+GETPIVOTDATA("XBB4",'binhba (2016)'!$A$3,"MA_HT","DBV","MA_QH","DSH")</f>
        <v>0</v>
      </c>
      <c r="AZ32" s="50">
        <f ca="1">+GETPIVOTDATA("XBB4",'binhba (2016)'!$A$3,"MA_HT","DBV","MA_QH","DKV")</f>
        <v>0</v>
      </c>
      <c r="BA32" s="88">
        <f ca="1">+GETPIVOTDATA("XBB4",'binhba (2016)'!$A$3,"MA_HT","DBV","MA_QH","TIN")</f>
        <v>0</v>
      </c>
      <c r="BB32" s="50">
        <f ca="1">+GETPIVOTDATA("XBB4",'binhba (2016)'!$A$3,"MA_HT","DBV","MA_QH","SON")</f>
        <v>0</v>
      </c>
      <c r="BC32" s="50">
        <f ca="1">+GETPIVOTDATA("XBB4",'binhba (2016)'!$A$3,"MA_HT","DBV","MA_QH","MNC")</f>
        <v>0</v>
      </c>
      <c r="BD32" s="50">
        <f ca="1">+GETPIVOTDATA("XBB4",'binhba (2016)'!$A$3,"MA_HT","DBV","MA_QH","PNK")</f>
        <v>0</v>
      </c>
      <c r="BE32" s="80">
        <f ca="1">+GETPIVOTDATA("XBB4",'binhba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+GETPIVOTDATA("XBB4",'binhba (2016)'!$A$3,"MA_HT","DVH","MA_QH","LUC")</f>
        <v>0</v>
      </c>
      <c r="H33" s="50">
        <f ca="1">+GETPIVOTDATA("XBB4",'binhba (2016)'!$A$3,"MA_HT","DVH","MA_QH","LUK")</f>
        <v>0</v>
      </c>
      <c r="I33" s="50">
        <f ca="1">+GETPIVOTDATA("XBB4",'binhba (2016)'!$A$3,"MA_HT","DVH","MA_QH","LUN")</f>
        <v>0</v>
      </c>
      <c r="J33" s="50">
        <f ca="1">+GETPIVOTDATA("XBB4",'binhba (2016)'!$A$3,"MA_HT","DVH","MA_QH","HNK")</f>
        <v>0</v>
      </c>
      <c r="K33" s="50">
        <f ca="1">+GETPIVOTDATA("XBB4",'binhba (2016)'!$A$3,"MA_HT","DVH","MA_QH","CLN")</f>
        <v>0</v>
      </c>
      <c r="L33" s="50">
        <f ca="1">+GETPIVOTDATA("XBB4",'binhba (2016)'!$A$3,"MA_HT","DVH","MA_QH","RSX")</f>
        <v>0</v>
      </c>
      <c r="M33" s="50">
        <f ca="1">+GETPIVOTDATA("XBB4",'binhba (2016)'!$A$3,"MA_HT","DVH","MA_QH","RPH")</f>
        <v>0</v>
      </c>
      <c r="N33" s="50">
        <f ca="1">+GETPIVOTDATA("XBB4",'binhba (2016)'!$A$3,"MA_HT","DVH","MA_QH","RDD")</f>
        <v>0</v>
      </c>
      <c r="O33" s="50">
        <f ca="1">+GETPIVOTDATA("XBB4",'binhba (2016)'!$A$3,"MA_HT","DVH","MA_QH","NTS")</f>
        <v>0</v>
      </c>
      <c r="P33" s="50">
        <f ca="1">+GETPIVOTDATA("XBB4",'binhba (2016)'!$A$3,"MA_HT","DVH","MA_QH","LMU")</f>
        <v>0</v>
      </c>
      <c r="Q33" s="50">
        <f ca="1">+GETPIVOTDATA("XBB4",'binhba (2016)'!$A$3,"MA_HT","DVH","MA_QH","NKH")</f>
        <v>0</v>
      </c>
      <c r="R33" s="48">
        <f ca="1" t="shared" si="20"/>
        <v>0</v>
      </c>
      <c r="S33" s="50">
        <f ca="1">+GETPIVOTDATA("XBB4",'binhba (2016)'!$A$3,"MA_HT","DVH","MA_QH","CQP")</f>
        <v>0</v>
      </c>
      <c r="T33" s="50">
        <f ca="1">+GETPIVOTDATA("XBB4",'binhba (2016)'!$A$3,"MA_HT","DVH","MA_QH","CAN")</f>
        <v>0</v>
      </c>
      <c r="U33" s="50">
        <f ca="1">+GETPIVOTDATA("XBB4",'binhba (2016)'!$A$3,"MA_HT","DVH","MA_QH","SKK")</f>
        <v>0</v>
      </c>
      <c r="V33" s="50">
        <f ca="1">+GETPIVOTDATA("XBB4",'binhba (2016)'!$A$3,"MA_HT","DVH","MA_QH","SKT")</f>
        <v>0</v>
      </c>
      <c r="W33" s="50">
        <f ca="1">+GETPIVOTDATA("XBB4",'binhba (2016)'!$A$3,"MA_HT","DVH","MA_QH","SKN")</f>
        <v>0</v>
      </c>
      <c r="X33" s="50">
        <f ca="1">+GETPIVOTDATA("XBB4",'binhba (2016)'!$A$3,"MA_HT","DVH","MA_QH","TMD")</f>
        <v>0</v>
      </c>
      <c r="Y33" s="50">
        <f ca="1">+GETPIVOTDATA("XBB4",'binhba (2016)'!$A$3,"MA_HT","DVH","MA_QH","SKC")</f>
        <v>0</v>
      </c>
      <c r="Z33" s="50">
        <f ca="1">+GETPIVOTDATA("XBB4",'binhba (2016)'!$A$3,"MA_HT","DVH","MA_QH","SKS")</f>
        <v>0</v>
      </c>
      <c r="AA33" s="52">
        <f ca="1">+SUM(AB33:AE33,AG33:AM33)</f>
        <v>0</v>
      </c>
      <c r="AB33" s="50">
        <f ca="1">+GETPIVOTDATA("XBB4",'binhba (2016)'!$A$3,"MA_HT","DVH","MA_QH","DGT")</f>
        <v>0</v>
      </c>
      <c r="AC33" s="50">
        <f ca="1">+GETPIVOTDATA("XBB4",'binhba (2016)'!$A$3,"MA_HT","DVH","MA_QH","DTL")</f>
        <v>0</v>
      </c>
      <c r="AD33" s="50">
        <f ca="1">+GETPIVOTDATA("XBB4",'binhba (2016)'!$A$3,"MA_HT","DVH","MA_QH","DNL")</f>
        <v>0</v>
      </c>
      <c r="AE33" s="50">
        <f ca="1">+GETPIVOTDATA("XBB4",'binhba (2016)'!$A$3,"MA_HT","DVH","MA_QH","DBV")</f>
        <v>0</v>
      </c>
      <c r="AF33" s="49" t="e">
        <f ca="1">$D33-$BF33</f>
        <v>#REF!</v>
      </c>
      <c r="AG33" s="50">
        <f ca="1">+GETPIVOTDATA("XBB4",'binhba (2016)'!$A$3,"MA_HT","DVH","MA_QH","DYT")</f>
        <v>0</v>
      </c>
      <c r="AH33" s="50">
        <f ca="1">+GETPIVOTDATA("XBB4",'binhba (2016)'!$A$3,"MA_HT","DVH","MA_QH","DGD")</f>
        <v>0</v>
      </c>
      <c r="AI33" s="50">
        <f ca="1">+GETPIVOTDATA("XBB4",'binhba (2016)'!$A$3,"MA_HT","DVH","MA_QH","DTT")</f>
        <v>0</v>
      </c>
      <c r="AJ33" s="50">
        <f ca="1">+GETPIVOTDATA("XBB4",'binhba (2016)'!$A$3,"MA_HT","DVH","MA_QH","NCK")</f>
        <v>0</v>
      </c>
      <c r="AK33" s="50">
        <f ca="1">+GETPIVOTDATA("XBB4",'binhba (2016)'!$A$3,"MA_HT","DVH","MA_QH","DXH")</f>
        <v>0</v>
      </c>
      <c r="AL33" s="50">
        <f ca="1">+GETPIVOTDATA("XBB4",'binhba (2016)'!$A$3,"MA_HT","DVH","MA_QH","DCH")</f>
        <v>0</v>
      </c>
      <c r="AM33" s="50">
        <f ca="1">+GETPIVOTDATA("XBB4",'binhba (2016)'!$A$3,"MA_HT","DVH","MA_QH","DKG")</f>
        <v>0</v>
      </c>
      <c r="AN33" s="50">
        <f ca="1">+GETPIVOTDATA("XBB4",'binhba (2016)'!$A$3,"MA_HT","DVH","MA_QH","DDT")</f>
        <v>0</v>
      </c>
      <c r="AO33" s="50">
        <f ca="1">+GETPIVOTDATA("XBB4",'binhba (2016)'!$A$3,"MA_HT","DVH","MA_QH","DDL")</f>
        <v>0</v>
      </c>
      <c r="AP33" s="50">
        <f ca="1">+GETPIVOTDATA("XBB4",'binhba (2016)'!$A$3,"MA_HT","DVH","MA_QH","DRA")</f>
        <v>0</v>
      </c>
      <c r="AQ33" s="50">
        <f ca="1">+GETPIVOTDATA("XBB4",'binhba (2016)'!$A$3,"MA_HT","DVH","MA_QH","ONT")</f>
        <v>0</v>
      </c>
      <c r="AR33" s="50">
        <f ca="1">+GETPIVOTDATA("XBB4",'binhba (2016)'!$A$3,"MA_HT","DVH","MA_QH","ODT")</f>
        <v>0</v>
      </c>
      <c r="AS33" s="50">
        <f ca="1">+GETPIVOTDATA("XBB4",'binhba (2016)'!$A$3,"MA_HT","DVH","MA_QH","TSC")</f>
        <v>0</v>
      </c>
      <c r="AT33" s="50">
        <f ca="1">+GETPIVOTDATA("XBB4",'binhba (2016)'!$A$3,"MA_HT","DVH","MA_QH","DTS")</f>
        <v>0</v>
      </c>
      <c r="AU33" s="50">
        <f ca="1">+GETPIVOTDATA("XBB4",'binhba (2016)'!$A$3,"MA_HT","DVH","MA_QH","DNG")</f>
        <v>0</v>
      </c>
      <c r="AV33" s="50">
        <f ca="1">+GETPIVOTDATA("XBB4",'binhba (2016)'!$A$3,"MA_HT","DVH","MA_QH","TON")</f>
        <v>0</v>
      </c>
      <c r="AW33" s="50">
        <f ca="1">+GETPIVOTDATA("XBB4",'binhba (2016)'!$A$3,"MA_HT","DVH","MA_QH","NTD")</f>
        <v>0</v>
      </c>
      <c r="AX33" s="50">
        <f ca="1">+GETPIVOTDATA("XBB4",'binhba (2016)'!$A$3,"MA_HT","DVH","MA_QH","SKX")</f>
        <v>0</v>
      </c>
      <c r="AY33" s="50">
        <f ca="1">+GETPIVOTDATA("XBB4",'binhba (2016)'!$A$3,"MA_HT","DVH","MA_QH","DSH")</f>
        <v>0</v>
      </c>
      <c r="AZ33" s="50">
        <f ca="1">+GETPIVOTDATA("XBB4",'binhba (2016)'!$A$3,"MA_HT","DVH","MA_QH","DKV")</f>
        <v>0</v>
      </c>
      <c r="BA33" s="88">
        <f ca="1">+GETPIVOTDATA("XBB4",'binhba (2016)'!$A$3,"MA_HT","DVH","MA_QH","TIN")</f>
        <v>0</v>
      </c>
      <c r="BB33" s="50">
        <f ca="1">+GETPIVOTDATA("XBB4",'binhba (2016)'!$A$3,"MA_HT","DVH","MA_QH","SON")</f>
        <v>0</v>
      </c>
      <c r="BC33" s="50">
        <f ca="1">+GETPIVOTDATA("XBB4",'binhba (2016)'!$A$3,"MA_HT","DVH","MA_QH","MNC")</f>
        <v>0</v>
      </c>
      <c r="BD33" s="50">
        <f ca="1">+GETPIVOTDATA("XBB4",'binhba (2016)'!$A$3,"MA_HT","DVH","MA_QH","PNK")</f>
        <v>0</v>
      </c>
      <c r="BE33" s="80">
        <f ca="1">+GETPIVOTDATA("XBB4",'binhba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+GETPIVOTDATA("XBB4",'binhba (2016)'!$A$3,"MA_HT","DYT","MA_QH","LUC")</f>
        <v>0</v>
      </c>
      <c r="H34" s="50">
        <f ca="1">+GETPIVOTDATA("XBB4",'binhba (2016)'!$A$3,"MA_HT","DYT","MA_QH","LUK")</f>
        <v>0</v>
      </c>
      <c r="I34" s="50">
        <f ca="1">+GETPIVOTDATA("XBB4",'binhba (2016)'!$A$3,"MA_HT","DYT","MA_QH","LUN")</f>
        <v>0</v>
      </c>
      <c r="J34" s="50">
        <f ca="1">+GETPIVOTDATA("XBB4",'binhba (2016)'!$A$3,"MA_HT","DYT","MA_QH","HNK")</f>
        <v>0</v>
      </c>
      <c r="K34" s="50">
        <f ca="1">+GETPIVOTDATA("XBB4",'binhba (2016)'!$A$3,"MA_HT","DYT","MA_QH","CLN")</f>
        <v>0</v>
      </c>
      <c r="L34" s="50">
        <f ca="1">+GETPIVOTDATA("XBB4",'binhba (2016)'!$A$3,"MA_HT","DYT","MA_QH","RSX")</f>
        <v>0</v>
      </c>
      <c r="M34" s="50">
        <f ca="1">+GETPIVOTDATA("XBB4",'binhba (2016)'!$A$3,"MA_HT","DYT","MA_QH","RPH")</f>
        <v>0</v>
      </c>
      <c r="N34" s="50">
        <f ca="1">+GETPIVOTDATA("XBB4",'binhba (2016)'!$A$3,"MA_HT","DYT","MA_QH","RDD")</f>
        <v>0</v>
      </c>
      <c r="O34" s="50">
        <f ca="1">+GETPIVOTDATA("XBB4",'binhba (2016)'!$A$3,"MA_HT","DYT","MA_QH","NTS")</f>
        <v>0</v>
      </c>
      <c r="P34" s="50">
        <f ca="1">+GETPIVOTDATA("XBB4",'binhba (2016)'!$A$3,"MA_HT","DYT","MA_QH","LMU")</f>
        <v>0</v>
      </c>
      <c r="Q34" s="50">
        <f ca="1">+GETPIVOTDATA("XBB4",'binhba (2016)'!$A$3,"MA_HT","DYT","MA_QH","NKH")</f>
        <v>0</v>
      </c>
      <c r="R34" s="48">
        <f ca="1" t="shared" si="20"/>
        <v>0</v>
      </c>
      <c r="S34" s="50">
        <f ca="1">+GETPIVOTDATA("XBB4",'binhba (2016)'!$A$3,"MA_HT","DYT","MA_QH","CQP")</f>
        <v>0</v>
      </c>
      <c r="T34" s="50">
        <f ca="1">+GETPIVOTDATA("XBB4",'binhba (2016)'!$A$3,"MA_HT","DYT","MA_QH","CAN")</f>
        <v>0</v>
      </c>
      <c r="U34" s="50">
        <f ca="1">+GETPIVOTDATA("XBB4",'binhba (2016)'!$A$3,"MA_HT","DYT","MA_QH","SKK")</f>
        <v>0</v>
      </c>
      <c r="V34" s="50">
        <f ca="1">+GETPIVOTDATA("XBB4",'binhba (2016)'!$A$3,"MA_HT","DYT","MA_QH","SKT")</f>
        <v>0</v>
      </c>
      <c r="W34" s="50">
        <f ca="1">+GETPIVOTDATA("XBB4",'binhba (2016)'!$A$3,"MA_HT","DYT","MA_QH","SKN")</f>
        <v>0</v>
      </c>
      <c r="X34" s="50">
        <f ca="1">+GETPIVOTDATA("XBB4",'binhba (2016)'!$A$3,"MA_HT","DYT","MA_QH","TMD")</f>
        <v>0</v>
      </c>
      <c r="Y34" s="50">
        <f ca="1">+GETPIVOTDATA("XBB4",'binhba (2016)'!$A$3,"MA_HT","DYT","MA_QH","SKC")</f>
        <v>0</v>
      </c>
      <c r="Z34" s="50">
        <f ca="1">+GETPIVOTDATA("XBB4",'binhba (2016)'!$A$3,"MA_HT","DYT","MA_QH","SKS")</f>
        <v>0</v>
      </c>
      <c r="AA34" s="52">
        <f ca="1">+SUM(AB34:AF34,AH34:AM34)</f>
        <v>0</v>
      </c>
      <c r="AB34" s="50">
        <f ca="1">+GETPIVOTDATA("XBB4",'binhba (2016)'!$A$3,"MA_HT","DYT","MA_QH","DGT")</f>
        <v>0</v>
      </c>
      <c r="AC34" s="50">
        <f ca="1">+GETPIVOTDATA("XBB4",'binhba (2016)'!$A$3,"MA_HT","DYT","MA_QH","DTL")</f>
        <v>0</v>
      </c>
      <c r="AD34" s="50">
        <f ca="1">+GETPIVOTDATA("XBB4",'binhba (2016)'!$A$3,"MA_HT","DYT","MA_QH","DNL")</f>
        <v>0</v>
      </c>
      <c r="AE34" s="50">
        <f ca="1">+GETPIVOTDATA("XBB4",'binhba (2016)'!$A$3,"MA_HT","DYT","MA_QH","DBV")</f>
        <v>0</v>
      </c>
      <c r="AF34" s="50">
        <f ca="1">+GETPIVOTDATA("XBB4",'binhba (2016)'!$A$3,"MA_HT","DYT","MA_QH","DVH")</f>
        <v>0</v>
      </c>
      <c r="AG34" s="49" t="e">
        <f ca="1">$D34-$BF34</f>
        <v>#REF!</v>
      </c>
      <c r="AH34" s="50">
        <f ca="1">+GETPIVOTDATA("XBB4",'binhba (2016)'!$A$3,"MA_HT","DYT","MA_QH","DGD")</f>
        <v>0</v>
      </c>
      <c r="AI34" s="50">
        <f ca="1">+GETPIVOTDATA("XBB4",'binhba (2016)'!$A$3,"MA_HT","DYT","MA_QH","DTT")</f>
        <v>0</v>
      </c>
      <c r="AJ34" s="50">
        <f ca="1">+GETPIVOTDATA("XBB4",'binhba (2016)'!$A$3,"MA_HT","DYT","MA_QH","NCK")</f>
        <v>0</v>
      </c>
      <c r="AK34" s="50">
        <f ca="1">+GETPIVOTDATA("XBB4",'binhba (2016)'!$A$3,"MA_HT","DYT","MA_QH","DXH")</f>
        <v>0</v>
      </c>
      <c r="AL34" s="50">
        <f ca="1">+GETPIVOTDATA("XBB4",'binhba (2016)'!$A$3,"MA_HT","DYT","MA_QH","DCH")</f>
        <v>0</v>
      </c>
      <c r="AM34" s="50">
        <f ca="1">+GETPIVOTDATA("XBB4",'binhba (2016)'!$A$3,"MA_HT","DYT","MA_QH","DKG")</f>
        <v>0</v>
      </c>
      <c r="AN34" s="50">
        <f ca="1">+GETPIVOTDATA("XBB4",'binhba (2016)'!$A$3,"MA_HT","DYT","MA_QH","DDT")</f>
        <v>0</v>
      </c>
      <c r="AO34" s="50">
        <f ca="1">+GETPIVOTDATA("XBB4",'binhba (2016)'!$A$3,"MA_HT","DYT","MA_QH","DDL")</f>
        <v>0</v>
      </c>
      <c r="AP34" s="50">
        <f ca="1">+GETPIVOTDATA("XBB4",'binhba (2016)'!$A$3,"MA_HT","DYT","MA_QH","DRA")</f>
        <v>0</v>
      </c>
      <c r="AQ34" s="50">
        <f ca="1">+GETPIVOTDATA("XBB4",'binhba (2016)'!$A$3,"MA_HT","DYT","MA_QH","ONT")</f>
        <v>0</v>
      </c>
      <c r="AR34" s="50">
        <f ca="1">+GETPIVOTDATA("XBB4",'binhba (2016)'!$A$3,"MA_HT","DYT","MA_QH","ODT")</f>
        <v>0</v>
      </c>
      <c r="AS34" s="50">
        <f ca="1">+GETPIVOTDATA("XBB4",'binhba (2016)'!$A$3,"MA_HT","DYT","MA_QH","TSC")</f>
        <v>0</v>
      </c>
      <c r="AT34" s="50">
        <f ca="1">+GETPIVOTDATA("XBB4",'binhba (2016)'!$A$3,"MA_HT","DYT","MA_QH","DTS")</f>
        <v>0</v>
      </c>
      <c r="AU34" s="50">
        <f ca="1">+GETPIVOTDATA("XBB4",'binhba (2016)'!$A$3,"MA_HT","DYT","MA_QH","DNG")</f>
        <v>0</v>
      </c>
      <c r="AV34" s="50">
        <f ca="1">+GETPIVOTDATA("XBB4",'binhba (2016)'!$A$3,"MA_HT","DYT","MA_QH","TON")</f>
        <v>0</v>
      </c>
      <c r="AW34" s="50">
        <f ca="1">+GETPIVOTDATA("XBB4",'binhba (2016)'!$A$3,"MA_HT","DYT","MA_QH","NTD")</f>
        <v>0</v>
      </c>
      <c r="AX34" s="50">
        <f ca="1">+GETPIVOTDATA("XBB4",'binhba (2016)'!$A$3,"MA_HT","DYT","MA_QH","SKX")</f>
        <v>0</v>
      </c>
      <c r="AY34" s="50">
        <f ca="1">+GETPIVOTDATA("XBB4",'binhba (2016)'!$A$3,"MA_HT","DYT","MA_QH","DSH")</f>
        <v>0</v>
      </c>
      <c r="AZ34" s="50">
        <f ca="1">+GETPIVOTDATA("XBB4",'binhba (2016)'!$A$3,"MA_HT","DYT","MA_QH","DKV")</f>
        <v>0</v>
      </c>
      <c r="BA34" s="88">
        <f ca="1">+GETPIVOTDATA("XBB4",'binhba (2016)'!$A$3,"MA_HT","DYT","MA_QH","TIN")</f>
        <v>0</v>
      </c>
      <c r="BB34" s="50">
        <f ca="1">+GETPIVOTDATA("XBB4",'binhba (2016)'!$A$3,"MA_HT","DYT","MA_QH","SON")</f>
        <v>0</v>
      </c>
      <c r="BC34" s="50">
        <f ca="1">+GETPIVOTDATA("XBB4",'binhba (2016)'!$A$3,"MA_HT","DYT","MA_QH","MNC")</f>
        <v>0</v>
      </c>
      <c r="BD34" s="50">
        <f ca="1">+GETPIVOTDATA("XBB4",'binhba (2016)'!$A$3,"MA_HT","DYT","MA_QH","PNK")</f>
        <v>0</v>
      </c>
      <c r="BE34" s="80">
        <f ca="1">+GETPIVOTDATA("XBB4",'binhba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+GETPIVOTDATA("XBB4",'binhba (2016)'!$A$3,"MA_HT","DGD","MA_QH","LUC")</f>
        <v>0</v>
      </c>
      <c r="H35" s="50">
        <f ca="1">+GETPIVOTDATA("XBB4",'binhba (2016)'!$A$3,"MA_HT","DGD","MA_QH","LUK")</f>
        <v>0</v>
      </c>
      <c r="I35" s="50">
        <f ca="1">+GETPIVOTDATA("XBB4",'binhba (2016)'!$A$3,"MA_HT","DGD","MA_QH","LUN")</f>
        <v>0</v>
      </c>
      <c r="J35" s="50">
        <f ca="1">+GETPIVOTDATA("XBB4",'binhba (2016)'!$A$3,"MA_HT","DGD","MA_QH","HNK")</f>
        <v>0</v>
      </c>
      <c r="K35" s="50">
        <f ca="1">+GETPIVOTDATA("XBB4",'binhba (2016)'!$A$3,"MA_HT","DGD","MA_QH","CLN")</f>
        <v>0</v>
      </c>
      <c r="L35" s="50">
        <f ca="1">+GETPIVOTDATA("XBB4",'binhba (2016)'!$A$3,"MA_HT","DGD","MA_QH","RSX")</f>
        <v>0</v>
      </c>
      <c r="M35" s="50">
        <f ca="1">+GETPIVOTDATA("XBB4",'binhba (2016)'!$A$3,"MA_HT","DGD","MA_QH","RPH")</f>
        <v>0</v>
      </c>
      <c r="N35" s="50">
        <f ca="1">+GETPIVOTDATA("XBB4",'binhba (2016)'!$A$3,"MA_HT","DGD","MA_QH","RDD")</f>
        <v>0</v>
      </c>
      <c r="O35" s="50">
        <f ca="1">+GETPIVOTDATA("XBB4",'binhba (2016)'!$A$3,"MA_HT","DGD","MA_QH","NTS")</f>
        <v>0</v>
      </c>
      <c r="P35" s="50">
        <f ca="1">+GETPIVOTDATA("XBB4",'binhba (2016)'!$A$3,"MA_HT","DGD","MA_QH","LMU")</f>
        <v>0</v>
      </c>
      <c r="Q35" s="50">
        <f ca="1">+GETPIVOTDATA("XBB4",'binhba (2016)'!$A$3,"MA_HT","DGD","MA_QH","NKH")</f>
        <v>0</v>
      </c>
      <c r="R35" s="48">
        <f ca="1" t="shared" si="20"/>
        <v>0</v>
      </c>
      <c r="S35" s="50">
        <f ca="1">+GETPIVOTDATA("XBB4",'binhba (2016)'!$A$3,"MA_HT","DGD","MA_QH","CQP")</f>
        <v>0</v>
      </c>
      <c r="T35" s="50">
        <f ca="1">+GETPIVOTDATA("XBB4",'binhba (2016)'!$A$3,"MA_HT","DGD","MA_QH","CAN")</f>
        <v>0</v>
      </c>
      <c r="U35" s="50">
        <f ca="1">+GETPIVOTDATA("XBB4",'binhba (2016)'!$A$3,"MA_HT","DGD","MA_QH","SKK")</f>
        <v>0</v>
      </c>
      <c r="V35" s="50">
        <f ca="1">+GETPIVOTDATA("XBB4",'binhba (2016)'!$A$3,"MA_HT","DGD","MA_QH","SKT")</f>
        <v>0</v>
      </c>
      <c r="W35" s="50">
        <f ca="1">+GETPIVOTDATA("XBB4",'binhba (2016)'!$A$3,"MA_HT","DGD","MA_QH","SKN")</f>
        <v>0</v>
      </c>
      <c r="X35" s="50">
        <f ca="1">+GETPIVOTDATA("XBB4",'binhba (2016)'!$A$3,"MA_HT","DGD","MA_QH","TMD")</f>
        <v>0</v>
      </c>
      <c r="Y35" s="50">
        <f ca="1">+GETPIVOTDATA("XBB4",'binhba (2016)'!$A$3,"MA_HT","DGD","MA_QH","SKC")</f>
        <v>0</v>
      </c>
      <c r="Z35" s="50">
        <f ca="1">+GETPIVOTDATA("XBB4",'binhba (2016)'!$A$3,"MA_HT","DGD","MA_QH","SKS")</f>
        <v>0</v>
      </c>
      <c r="AA35" s="52">
        <f ca="1">+SUM(AB35:AG35,AI35:AM35)</f>
        <v>0</v>
      </c>
      <c r="AB35" s="50">
        <f ca="1">+GETPIVOTDATA("XBB4",'binhba (2016)'!$A$3,"MA_HT","DGD","MA_QH","DGT")</f>
        <v>0</v>
      </c>
      <c r="AC35" s="50">
        <f ca="1">+GETPIVOTDATA("XBB4",'binhba (2016)'!$A$3,"MA_HT","DGD","MA_QH","DTL")</f>
        <v>0</v>
      </c>
      <c r="AD35" s="50">
        <f ca="1">+GETPIVOTDATA("XBB4",'binhba (2016)'!$A$3,"MA_HT","DGD","MA_QH","DNL")</f>
        <v>0</v>
      </c>
      <c r="AE35" s="50">
        <f ca="1">+GETPIVOTDATA("XBB4",'binhba (2016)'!$A$3,"MA_HT","DGD","MA_QH","DBV")</f>
        <v>0</v>
      </c>
      <c r="AF35" s="50">
        <f ca="1">+GETPIVOTDATA("XBB4",'binhba (2016)'!$A$3,"MA_HT","DGD","MA_QH","DVH")</f>
        <v>0</v>
      </c>
      <c r="AG35" s="50">
        <f ca="1">+GETPIVOTDATA("XBB4",'binhba (2016)'!$A$3,"MA_HT","DGD","MA_QH","DYT")</f>
        <v>0</v>
      </c>
      <c r="AH35" s="49" t="e">
        <f ca="1">$D35-$BF35</f>
        <v>#REF!</v>
      </c>
      <c r="AI35" s="50">
        <f ca="1">+GETPIVOTDATA("XBB4",'binhba (2016)'!$A$3,"MA_HT","DGD","MA_QH","DTT")</f>
        <v>0</v>
      </c>
      <c r="AJ35" s="50">
        <f ca="1">+GETPIVOTDATA("XBB4",'binhba (2016)'!$A$3,"MA_HT","DGD","MA_QH","NCK")</f>
        <v>0</v>
      </c>
      <c r="AK35" s="50">
        <f ca="1">+GETPIVOTDATA("XBB4",'binhba (2016)'!$A$3,"MA_HT","DGD","MA_QH","DXH")</f>
        <v>0</v>
      </c>
      <c r="AL35" s="50">
        <f ca="1">+GETPIVOTDATA("XBB4",'binhba (2016)'!$A$3,"MA_HT","DGD","MA_QH","DCH")</f>
        <v>0</v>
      </c>
      <c r="AM35" s="50">
        <f ca="1">+GETPIVOTDATA("XBB4",'binhba (2016)'!$A$3,"MA_HT","DGD","MA_QH","DKG")</f>
        <v>0</v>
      </c>
      <c r="AN35" s="50">
        <f ca="1">+GETPIVOTDATA("XBB4",'binhba (2016)'!$A$3,"MA_HT","DGD","MA_QH","DDT")</f>
        <v>0</v>
      </c>
      <c r="AO35" s="50">
        <f ca="1">+GETPIVOTDATA("XBB4",'binhba (2016)'!$A$3,"MA_HT","DGD","MA_QH","DDL")</f>
        <v>0</v>
      </c>
      <c r="AP35" s="50">
        <f ca="1">+GETPIVOTDATA("XBB4",'binhba (2016)'!$A$3,"MA_HT","DGD","MA_QH","DRA")</f>
        <v>0</v>
      </c>
      <c r="AQ35" s="50">
        <f ca="1">+GETPIVOTDATA("XBB4",'binhba (2016)'!$A$3,"MA_HT","DGD","MA_QH","ONT")</f>
        <v>0</v>
      </c>
      <c r="AR35" s="50">
        <f ca="1">+GETPIVOTDATA("XBB4",'binhba (2016)'!$A$3,"MA_HT","DGD","MA_QH","ODT")</f>
        <v>0</v>
      </c>
      <c r="AS35" s="50">
        <f ca="1">+GETPIVOTDATA("XBB4",'binhba (2016)'!$A$3,"MA_HT","DGD","MA_QH","TSC")</f>
        <v>0</v>
      </c>
      <c r="AT35" s="50">
        <f ca="1">+GETPIVOTDATA("XBB4",'binhba (2016)'!$A$3,"MA_HT","DGD","MA_QH","DTS")</f>
        <v>0</v>
      </c>
      <c r="AU35" s="50">
        <f ca="1">+GETPIVOTDATA("XBB4",'binhba (2016)'!$A$3,"MA_HT","DGD","MA_QH","DNG")</f>
        <v>0</v>
      </c>
      <c r="AV35" s="50">
        <f ca="1">+GETPIVOTDATA("XBB4",'binhba (2016)'!$A$3,"MA_HT","DGD","MA_QH","TON")</f>
        <v>0</v>
      </c>
      <c r="AW35" s="50">
        <f ca="1">+GETPIVOTDATA("XBB4",'binhba (2016)'!$A$3,"MA_HT","DGD","MA_QH","NTD")</f>
        <v>0</v>
      </c>
      <c r="AX35" s="50">
        <f ca="1">+GETPIVOTDATA("XBB4",'binhba (2016)'!$A$3,"MA_HT","DGD","MA_QH","SKX")</f>
        <v>0</v>
      </c>
      <c r="AY35" s="50">
        <f ca="1">+GETPIVOTDATA("XBB4",'binhba (2016)'!$A$3,"MA_HT","DGD","MA_QH","DSH")</f>
        <v>0</v>
      </c>
      <c r="AZ35" s="50">
        <f ca="1">+GETPIVOTDATA("XBB4",'binhba (2016)'!$A$3,"MA_HT","DGD","MA_QH","DKV")</f>
        <v>0</v>
      </c>
      <c r="BA35" s="88">
        <f ca="1">+GETPIVOTDATA("XBB4",'binhba (2016)'!$A$3,"MA_HT","DGD","MA_QH","TIN")</f>
        <v>0</v>
      </c>
      <c r="BB35" s="50">
        <f ca="1">+GETPIVOTDATA("XBB4",'binhba (2016)'!$A$3,"MA_HT","DGD","MA_QH","SON")</f>
        <v>0</v>
      </c>
      <c r="BC35" s="50">
        <f ca="1">+GETPIVOTDATA("XBB4",'binhba (2016)'!$A$3,"MA_HT","DGD","MA_QH","MNC")</f>
        <v>0</v>
      </c>
      <c r="BD35" s="50">
        <f ca="1">+GETPIVOTDATA("XBB4",'binhba (2016)'!$A$3,"MA_HT","DGD","MA_QH","PNK")</f>
        <v>0</v>
      </c>
      <c r="BE35" s="80">
        <f ca="1">+GETPIVOTDATA("XBB4",'binhba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+GETPIVOTDATA("XBB4",'binhba (2016)'!$A$3,"MA_HT","DTT","MA_QH","LUC")</f>
        <v>0</v>
      </c>
      <c r="H36" s="50">
        <f ca="1">+GETPIVOTDATA("XBB4",'binhba (2016)'!$A$3,"MA_HT","DTT","MA_QH","LUK")</f>
        <v>0</v>
      </c>
      <c r="I36" s="50">
        <f ca="1">+GETPIVOTDATA("XBB4",'binhba (2016)'!$A$3,"MA_HT","DTT","MA_QH","LUN")</f>
        <v>0</v>
      </c>
      <c r="J36" s="50">
        <f ca="1">+GETPIVOTDATA("XBB4",'binhba (2016)'!$A$3,"MA_HT","DTT","MA_QH","HNK")</f>
        <v>0</v>
      </c>
      <c r="K36" s="50">
        <f ca="1">+GETPIVOTDATA("XBB4",'binhba (2016)'!$A$3,"MA_HT","DTT","MA_QH","CLN")</f>
        <v>0</v>
      </c>
      <c r="L36" s="50">
        <f ca="1">+GETPIVOTDATA("XBB4",'binhba (2016)'!$A$3,"MA_HT","DTT","MA_QH","RSX")</f>
        <v>0</v>
      </c>
      <c r="M36" s="50">
        <f ca="1">+GETPIVOTDATA("XBB4",'binhba (2016)'!$A$3,"MA_HT","DTT","MA_QH","RPH")</f>
        <v>0</v>
      </c>
      <c r="N36" s="50">
        <f ca="1">+GETPIVOTDATA("XBB4",'binhba (2016)'!$A$3,"MA_HT","DTT","MA_QH","RDD")</f>
        <v>0</v>
      </c>
      <c r="O36" s="50">
        <f ca="1">+GETPIVOTDATA("XBB4",'binhba (2016)'!$A$3,"MA_HT","DTT","MA_QH","NTS")</f>
        <v>0</v>
      </c>
      <c r="P36" s="50">
        <f ca="1">+GETPIVOTDATA("XBB4",'binhba (2016)'!$A$3,"MA_HT","DTT","MA_QH","LMU")</f>
        <v>0</v>
      </c>
      <c r="Q36" s="50">
        <f ca="1">+GETPIVOTDATA("XBB4",'binhba (2016)'!$A$3,"MA_HT","DTT","MA_QH","NKH")</f>
        <v>0</v>
      </c>
      <c r="R36" s="48">
        <f ca="1" t="shared" si="20"/>
        <v>0</v>
      </c>
      <c r="S36" s="50">
        <f ca="1">+GETPIVOTDATA("XBB4",'binhba (2016)'!$A$3,"MA_HT","DTT","MA_QH","CQP")</f>
        <v>0</v>
      </c>
      <c r="T36" s="50">
        <f ca="1">+GETPIVOTDATA("XBB4",'binhba (2016)'!$A$3,"MA_HT","DTT","MA_QH","CAN")</f>
        <v>0</v>
      </c>
      <c r="U36" s="50">
        <f ca="1">+GETPIVOTDATA("XBB4",'binhba (2016)'!$A$3,"MA_HT","DTT","MA_QH","SKK")</f>
        <v>0</v>
      </c>
      <c r="V36" s="50">
        <f ca="1">+GETPIVOTDATA("XBB4",'binhba (2016)'!$A$3,"MA_HT","DTT","MA_QH","SKT")</f>
        <v>0</v>
      </c>
      <c r="W36" s="50">
        <f ca="1">+GETPIVOTDATA("XBB4",'binhba (2016)'!$A$3,"MA_HT","DTT","MA_QH","SKN")</f>
        <v>0</v>
      </c>
      <c r="X36" s="50">
        <f ca="1">+GETPIVOTDATA("XBB4",'binhba (2016)'!$A$3,"MA_HT","DTT","MA_QH","TMD")</f>
        <v>0</v>
      </c>
      <c r="Y36" s="50">
        <f ca="1">+GETPIVOTDATA("XBB4",'binhba (2016)'!$A$3,"MA_HT","DTT","MA_QH","SKC")</f>
        <v>0</v>
      </c>
      <c r="Z36" s="50">
        <f ca="1">+GETPIVOTDATA("XBB4",'binhba (2016)'!$A$3,"MA_HT","DTT","MA_QH","SKS")</f>
        <v>0</v>
      </c>
      <c r="AA36" s="52">
        <f ca="1">+SUM(AB36:AH36,AJ36:AM36)</f>
        <v>0</v>
      </c>
      <c r="AB36" s="50">
        <f ca="1">+GETPIVOTDATA("XBB4",'binhba (2016)'!$A$3,"MA_HT","DTT","MA_QH","DGT")</f>
        <v>0</v>
      </c>
      <c r="AC36" s="50">
        <f ca="1">+GETPIVOTDATA("XBB4",'binhba (2016)'!$A$3,"MA_HT","DTT","MA_QH","DTL")</f>
        <v>0</v>
      </c>
      <c r="AD36" s="50">
        <f ca="1">+GETPIVOTDATA("XBB4",'binhba (2016)'!$A$3,"MA_HT","DTT","MA_QH","DNL")</f>
        <v>0</v>
      </c>
      <c r="AE36" s="50">
        <f ca="1">+GETPIVOTDATA("XBB4",'binhba (2016)'!$A$3,"MA_HT","DTT","MA_QH","DBV")</f>
        <v>0</v>
      </c>
      <c r="AF36" s="50">
        <f ca="1">+GETPIVOTDATA("XBB4",'binhba (2016)'!$A$3,"MA_HT","DTT","MA_QH","DVH")</f>
        <v>0</v>
      </c>
      <c r="AG36" s="50">
        <f ca="1">+GETPIVOTDATA("XBB4",'binhba (2016)'!$A$3,"MA_HT","DTT","MA_QH","DYT")</f>
        <v>0</v>
      </c>
      <c r="AH36" s="50">
        <f ca="1">+GETPIVOTDATA("XBB4",'binhba (2016)'!$A$3,"MA_HT","DTT","MA_QH","DGD")</f>
        <v>0</v>
      </c>
      <c r="AI36" s="49" t="e">
        <f ca="1">$D36-$BF36</f>
        <v>#REF!</v>
      </c>
      <c r="AJ36" s="50">
        <f ca="1">+GETPIVOTDATA("XBB4",'binhba (2016)'!$A$3,"MA_HT","DTT","MA_QH","NCK")</f>
        <v>0</v>
      </c>
      <c r="AK36" s="50">
        <f ca="1">+GETPIVOTDATA("XBB4",'binhba (2016)'!$A$3,"MA_HT","DTT","MA_QH","DXH")</f>
        <v>0</v>
      </c>
      <c r="AL36" s="50">
        <f ca="1">+GETPIVOTDATA("XBB4",'binhba (2016)'!$A$3,"MA_HT","DTT","MA_QH","DCH")</f>
        <v>0</v>
      </c>
      <c r="AM36" s="50">
        <f ca="1">+GETPIVOTDATA("XBB4",'binhba (2016)'!$A$3,"MA_HT","DTT","MA_QH","DKG")</f>
        <v>0</v>
      </c>
      <c r="AN36" s="50">
        <f ca="1">+GETPIVOTDATA("XBB4",'binhba (2016)'!$A$3,"MA_HT","DTT","MA_QH","DDT")</f>
        <v>0</v>
      </c>
      <c r="AO36" s="50">
        <f ca="1">+GETPIVOTDATA("XBB4",'binhba (2016)'!$A$3,"MA_HT","DTT","MA_QH","DDL")</f>
        <v>0</v>
      </c>
      <c r="AP36" s="50">
        <f ca="1">+GETPIVOTDATA("XBB4",'binhba (2016)'!$A$3,"MA_HT","DTT","MA_QH","DRA")</f>
        <v>0</v>
      </c>
      <c r="AQ36" s="50">
        <f ca="1">+GETPIVOTDATA("XBB4",'binhba (2016)'!$A$3,"MA_HT","DTT","MA_QH","ONT")</f>
        <v>0</v>
      </c>
      <c r="AR36" s="50">
        <f ca="1">+GETPIVOTDATA("XBB4",'binhba (2016)'!$A$3,"MA_HT","DTT","MA_QH","ODT")</f>
        <v>0</v>
      </c>
      <c r="AS36" s="50">
        <f ca="1">+GETPIVOTDATA("XBB4",'binhba (2016)'!$A$3,"MA_HT","DTT","MA_QH","TSC")</f>
        <v>0</v>
      </c>
      <c r="AT36" s="50">
        <f ca="1">+GETPIVOTDATA("XBB4",'binhba (2016)'!$A$3,"MA_HT","DTT","MA_QH","DTS")</f>
        <v>0</v>
      </c>
      <c r="AU36" s="50">
        <f ca="1">+GETPIVOTDATA("XBB4",'binhba (2016)'!$A$3,"MA_HT","DTT","MA_QH","DNG")</f>
        <v>0</v>
      </c>
      <c r="AV36" s="50">
        <f ca="1">+GETPIVOTDATA("XBB4",'binhba (2016)'!$A$3,"MA_HT","DTT","MA_QH","TON")</f>
        <v>0</v>
      </c>
      <c r="AW36" s="50">
        <f ca="1">+GETPIVOTDATA("XBB4",'binhba (2016)'!$A$3,"MA_HT","DTT","MA_QH","NTD")</f>
        <v>0</v>
      </c>
      <c r="AX36" s="50">
        <f ca="1">+GETPIVOTDATA("XBB4",'binhba (2016)'!$A$3,"MA_HT","DTT","MA_QH","SKX")</f>
        <v>0</v>
      </c>
      <c r="AY36" s="50">
        <f ca="1">+GETPIVOTDATA("XBB4",'binhba (2016)'!$A$3,"MA_HT","DTT","MA_QH","DSH")</f>
        <v>0</v>
      </c>
      <c r="AZ36" s="50">
        <f ca="1">+GETPIVOTDATA("XBB4",'binhba (2016)'!$A$3,"MA_HT","DTT","MA_QH","DKV")</f>
        <v>0</v>
      </c>
      <c r="BA36" s="88">
        <f ca="1">+GETPIVOTDATA("XBB4",'binhba (2016)'!$A$3,"MA_HT","DTT","MA_QH","TIN")</f>
        <v>0</v>
      </c>
      <c r="BB36" s="50">
        <f ca="1">+GETPIVOTDATA("XBB4",'binhba (2016)'!$A$3,"MA_HT","DTT","MA_QH","SON")</f>
        <v>0</v>
      </c>
      <c r="BC36" s="50">
        <f ca="1">+GETPIVOTDATA("XBB4",'binhba (2016)'!$A$3,"MA_HT","DTT","MA_QH","MNC")</f>
        <v>0</v>
      </c>
      <c r="BD36" s="50">
        <f ca="1">+GETPIVOTDATA("XBB4",'binhba (2016)'!$A$3,"MA_HT","DTT","MA_QH","PNK")</f>
        <v>0</v>
      </c>
      <c r="BE36" s="80">
        <f ca="1">+GETPIVOTDATA("XBB4",'binhba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+GETPIVOTDATA("XBB4",'binhba (2016)'!$A$3,"MA_HT","NCK","MA_QH","LUC")</f>
        <v>0</v>
      </c>
      <c r="H37" s="50">
        <f ca="1">+GETPIVOTDATA("XBB4",'binhba (2016)'!$A$3,"MA_HT","NCK","MA_QH","LUK")</f>
        <v>0</v>
      </c>
      <c r="I37" s="50">
        <f ca="1">+GETPIVOTDATA("XBB4",'binhba (2016)'!$A$3,"MA_HT","NCK","MA_QH","LUN")</f>
        <v>0</v>
      </c>
      <c r="J37" s="50">
        <f ca="1">+GETPIVOTDATA("XBB4",'binhba (2016)'!$A$3,"MA_HT","NCK","MA_QH","HNK")</f>
        <v>0</v>
      </c>
      <c r="K37" s="50">
        <f ca="1">+GETPIVOTDATA("XBB4",'binhba (2016)'!$A$3,"MA_HT","NCK","MA_QH","CLN")</f>
        <v>0</v>
      </c>
      <c r="L37" s="50">
        <f ca="1">+GETPIVOTDATA("XBB4",'binhba (2016)'!$A$3,"MA_HT","NCK","MA_QH","RSX")</f>
        <v>0</v>
      </c>
      <c r="M37" s="50">
        <f ca="1">+GETPIVOTDATA("XBB4",'binhba (2016)'!$A$3,"MA_HT","NCK","MA_QH","RPH")</f>
        <v>0</v>
      </c>
      <c r="N37" s="50">
        <f ca="1">+GETPIVOTDATA("XBB4",'binhba (2016)'!$A$3,"MA_HT","NCK","MA_QH","RDD")</f>
        <v>0</v>
      </c>
      <c r="O37" s="50">
        <f ca="1">+GETPIVOTDATA("XBB4",'binhba (2016)'!$A$3,"MA_HT","NCK","MA_QH","NTS")</f>
        <v>0</v>
      </c>
      <c r="P37" s="50">
        <f ca="1">+GETPIVOTDATA("XBB4",'binhba (2016)'!$A$3,"MA_HT","NCK","MA_QH","LMU")</f>
        <v>0</v>
      </c>
      <c r="Q37" s="50">
        <f ca="1">+GETPIVOTDATA("XBB4",'binhba (2016)'!$A$3,"MA_HT","NCK","MA_QH","NKH")</f>
        <v>0</v>
      </c>
      <c r="R37" s="48">
        <f ca="1" t="shared" si="20"/>
        <v>0</v>
      </c>
      <c r="S37" s="50">
        <f ca="1">+GETPIVOTDATA("XBB4",'binhba (2016)'!$A$3,"MA_HT","NCK","MA_QH","CQP")</f>
        <v>0</v>
      </c>
      <c r="T37" s="50">
        <f ca="1">+GETPIVOTDATA("XBB4",'binhba (2016)'!$A$3,"MA_HT","NCK","MA_QH","CAN")</f>
        <v>0</v>
      </c>
      <c r="U37" s="50">
        <f ca="1">+GETPIVOTDATA("XBB4",'binhba (2016)'!$A$3,"MA_HT","NCK","MA_QH","SKK")</f>
        <v>0</v>
      </c>
      <c r="V37" s="50">
        <f ca="1">+GETPIVOTDATA("XBB4",'binhba (2016)'!$A$3,"MA_HT","NCK","MA_QH","SKT")</f>
        <v>0</v>
      </c>
      <c r="W37" s="50">
        <f ca="1">+GETPIVOTDATA("XBB4",'binhba (2016)'!$A$3,"MA_HT","NCK","MA_QH","SKN")</f>
        <v>0</v>
      </c>
      <c r="X37" s="50">
        <f ca="1">+GETPIVOTDATA("XBB4",'binhba (2016)'!$A$3,"MA_HT","NCK","MA_QH","TMD")</f>
        <v>0</v>
      </c>
      <c r="Y37" s="50">
        <f ca="1">+GETPIVOTDATA("XBB4",'binhba (2016)'!$A$3,"MA_HT","NCK","MA_QH","SKC")</f>
        <v>0</v>
      </c>
      <c r="Z37" s="50">
        <f ca="1">+GETPIVOTDATA("XBB4",'binhba (2016)'!$A$3,"MA_HT","NCK","MA_QH","SKS")</f>
        <v>0</v>
      </c>
      <c r="AA37" s="52">
        <f ca="1">+SUM(AB37:AI37,AK37:AM37)</f>
        <v>0</v>
      </c>
      <c r="AB37" s="50">
        <f ca="1">+GETPIVOTDATA("XBB4",'binhba (2016)'!$A$3,"MA_HT","NCK","MA_QH","DGT")</f>
        <v>0</v>
      </c>
      <c r="AC37" s="50">
        <f ca="1">+GETPIVOTDATA("XBB4",'binhba (2016)'!$A$3,"MA_HT","NCK","MA_QH","DTL")</f>
        <v>0</v>
      </c>
      <c r="AD37" s="50">
        <f ca="1">+GETPIVOTDATA("XBB4",'binhba (2016)'!$A$3,"MA_HT","NCK","MA_QH","DNL")</f>
        <v>0</v>
      </c>
      <c r="AE37" s="50">
        <f ca="1">+GETPIVOTDATA("XBB4",'binhba (2016)'!$A$3,"MA_HT","NCK","MA_QH","DBV")</f>
        <v>0</v>
      </c>
      <c r="AF37" s="50">
        <f ca="1">+GETPIVOTDATA("XBB4",'binhba (2016)'!$A$3,"MA_HT","NCK","MA_QH","DVH")</f>
        <v>0</v>
      </c>
      <c r="AG37" s="50">
        <f ca="1">+GETPIVOTDATA("XBB4",'binhba (2016)'!$A$3,"MA_HT","NCK","MA_QH","DYT")</f>
        <v>0</v>
      </c>
      <c r="AH37" s="50">
        <f ca="1">+GETPIVOTDATA("XBB4",'binhba (2016)'!$A$3,"MA_HT","NCK","MA_QH","DGD")</f>
        <v>0</v>
      </c>
      <c r="AI37" s="50">
        <f ca="1">+GETPIVOTDATA("XBB4",'binhba (2016)'!$A$3,"MA_HT","NCK","MA_QH","DTT")</f>
        <v>0</v>
      </c>
      <c r="AJ37" s="49" t="e">
        <f ca="1">$D37-$BF37</f>
        <v>#REF!</v>
      </c>
      <c r="AK37" s="50">
        <f ca="1">+GETPIVOTDATA("XBB4",'binhba (2016)'!$A$3,"MA_HT","NCK","MA_QH","DXH")</f>
        <v>0</v>
      </c>
      <c r="AL37" s="50">
        <f ca="1">+GETPIVOTDATA("XBB4",'binhba (2016)'!$A$3,"MA_HT","NCK","MA_QH","DCH")</f>
        <v>0</v>
      </c>
      <c r="AM37" s="50">
        <f ca="1">+GETPIVOTDATA("XBB4",'binhba (2016)'!$A$3,"MA_HT","NCK","MA_QH","DKG")</f>
        <v>0</v>
      </c>
      <c r="AN37" s="50">
        <f ca="1">+GETPIVOTDATA("XBB4",'binhba (2016)'!$A$3,"MA_HT","NCK","MA_QH","DDT")</f>
        <v>0</v>
      </c>
      <c r="AO37" s="50">
        <f ca="1">+GETPIVOTDATA("XBB4",'binhba (2016)'!$A$3,"MA_HT","NCK","MA_QH","DDL")</f>
        <v>0</v>
      </c>
      <c r="AP37" s="50">
        <f ca="1">+GETPIVOTDATA("XBB4",'binhba (2016)'!$A$3,"MA_HT","NCK","MA_QH","DRA")</f>
        <v>0</v>
      </c>
      <c r="AQ37" s="50">
        <f ca="1">+GETPIVOTDATA("XBB4",'binhba (2016)'!$A$3,"MA_HT","NCK","MA_QH","ONT")</f>
        <v>0</v>
      </c>
      <c r="AR37" s="50">
        <f ca="1">+GETPIVOTDATA("XBB4",'binhba (2016)'!$A$3,"MA_HT","NCK","MA_QH","ODT")</f>
        <v>0</v>
      </c>
      <c r="AS37" s="50">
        <f ca="1">+GETPIVOTDATA("XBB4",'binhba (2016)'!$A$3,"MA_HT","NCK","MA_QH","TSC")</f>
        <v>0</v>
      </c>
      <c r="AT37" s="50">
        <f ca="1">+GETPIVOTDATA("XBB4",'binhba (2016)'!$A$3,"MA_HT","NCK","MA_QH","DTS")</f>
        <v>0</v>
      </c>
      <c r="AU37" s="50">
        <f ca="1">+GETPIVOTDATA("XBB4",'binhba (2016)'!$A$3,"MA_HT","NCK","MA_QH","DNG")</f>
        <v>0</v>
      </c>
      <c r="AV37" s="50">
        <f ca="1">+GETPIVOTDATA("XBB4",'binhba (2016)'!$A$3,"MA_HT","NCK","MA_QH","TON")</f>
        <v>0</v>
      </c>
      <c r="AW37" s="50">
        <f ca="1">+GETPIVOTDATA("XBB4",'binhba (2016)'!$A$3,"MA_HT","NCK","MA_QH","NTD")</f>
        <v>0</v>
      </c>
      <c r="AX37" s="50">
        <f ca="1">+GETPIVOTDATA("XBB4",'binhba (2016)'!$A$3,"MA_HT","NCK","MA_QH","SKX")</f>
        <v>0</v>
      </c>
      <c r="AY37" s="50">
        <f ca="1">+GETPIVOTDATA("XBB4",'binhba (2016)'!$A$3,"MA_HT","NCK","MA_QH","DSH")</f>
        <v>0</v>
      </c>
      <c r="AZ37" s="50">
        <f ca="1">+GETPIVOTDATA("XBB4",'binhba (2016)'!$A$3,"MA_HT","NCK","MA_QH","DKV")</f>
        <v>0</v>
      </c>
      <c r="BA37" s="88">
        <f ca="1">+GETPIVOTDATA("XBB4",'binhba (2016)'!$A$3,"MA_HT","NCK","MA_QH","TIN")</f>
        <v>0</v>
      </c>
      <c r="BB37" s="50">
        <f ca="1">+GETPIVOTDATA("XBB4",'binhba (2016)'!$A$3,"MA_HT","NCK","MA_QH","SON")</f>
        <v>0</v>
      </c>
      <c r="BC37" s="50">
        <f ca="1">+GETPIVOTDATA("XBB4",'binhba (2016)'!$A$3,"MA_HT","NCK","MA_QH","MNC")</f>
        <v>0</v>
      </c>
      <c r="BD37" s="50">
        <f ca="1">+GETPIVOTDATA("XBB4",'binhba (2016)'!$A$3,"MA_HT","NCK","MA_QH","PNK")</f>
        <v>0</v>
      </c>
      <c r="BE37" s="80">
        <f ca="1">+GETPIVOTDATA("XBB4",'binhba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+GETPIVOTDATA("XBB4",'binhba (2016)'!$A$3,"MA_HT","DXH","MA_QH","LUC")</f>
        <v>0</v>
      </c>
      <c r="H38" s="50">
        <f ca="1">+GETPIVOTDATA("XBB4",'binhba (2016)'!$A$3,"MA_HT","DXH","MA_QH","LUK")</f>
        <v>0</v>
      </c>
      <c r="I38" s="50">
        <f ca="1">+GETPIVOTDATA("XBB4",'binhba (2016)'!$A$3,"MA_HT","DXH","MA_QH","LUN")</f>
        <v>0</v>
      </c>
      <c r="J38" s="50">
        <f ca="1">+GETPIVOTDATA("XBB4",'binhba (2016)'!$A$3,"MA_HT","DXH","MA_QH","HNK")</f>
        <v>0</v>
      </c>
      <c r="K38" s="50">
        <f ca="1">+GETPIVOTDATA("XBB4",'binhba (2016)'!$A$3,"MA_HT","DXH","MA_QH","CLN")</f>
        <v>0</v>
      </c>
      <c r="L38" s="50">
        <f ca="1">+GETPIVOTDATA("XBB4",'binhba (2016)'!$A$3,"MA_HT","DXH","MA_QH","RSX")</f>
        <v>0</v>
      </c>
      <c r="M38" s="50">
        <f ca="1">+GETPIVOTDATA("XBB4",'binhba (2016)'!$A$3,"MA_HT","DXH","MA_QH","RPH")</f>
        <v>0</v>
      </c>
      <c r="N38" s="50">
        <f ca="1">+GETPIVOTDATA("XBB4",'binhba (2016)'!$A$3,"MA_HT","DXH","MA_QH","RDD")</f>
        <v>0</v>
      </c>
      <c r="O38" s="50">
        <f ca="1">+GETPIVOTDATA("XBB4",'binhba (2016)'!$A$3,"MA_HT","DXH","MA_QH","NTS")</f>
        <v>0</v>
      </c>
      <c r="P38" s="50">
        <f ca="1">+GETPIVOTDATA("XBB4",'binhba (2016)'!$A$3,"MA_HT","DXH","MA_QH","LMU")</f>
        <v>0</v>
      </c>
      <c r="Q38" s="50">
        <f ca="1">+GETPIVOTDATA("XBB4",'binhba (2016)'!$A$3,"MA_HT","DXH","MA_QH","NKH")</f>
        <v>0</v>
      </c>
      <c r="R38" s="48">
        <f ca="1" t="shared" si="20"/>
        <v>0</v>
      </c>
      <c r="S38" s="50">
        <f ca="1">+GETPIVOTDATA("XBB4",'binhba (2016)'!$A$3,"MA_HT","DXH","MA_QH","CQP")</f>
        <v>0</v>
      </c>
      <c r="T38" s="50">
        <f ca="1">+GETPIVOTDATA("XBB4",'binhba (2016)'!$A$3,"MA_HT","DXH","MA_QH","CAN")</f>
        <v>0</v>
      </c>
      <c r="U38" s="50">
        <f ca="1">+GETPIVOTDATA("XBB4",'binhba (2016)'!$A$3,"MA_HT","DXH","MA_QH","SKK")</f>
        <v>0</v>
      </c>
      <c r="V38" s="50">
        <f ca="1">+GETPIVOTDATA("XBB4",'binhba (2016)'!$A$3,"MA_HT","DXH","MA_QH","SKT")</f>
        <v>0</v>
      </c>
      <c r="W38" s="50">
        <f ca="1">+GETPIVOTDATA("XBB4",'binhba (2016)'!$A$3,"MA_HT","DXH","MA_QH","SKN")</f>
        <v>0</v>
      </c>
      <c r="X38" s="50">
        <f ca="1">+GETPIVOTDATA("XBB4",'binhba (2016)'!$A$3,"MA_HT","DXH","MA_QH","TMD")</f>
        <v>0</v>
      </c>
      <c r="Y38" s="50">
        <f ca="1">+GETPIVOTDATA("XBB4",'binhba (2016)'!$A$3,"MA_HT","DXH","MA_QH","SKC")</f>
        <v>0</v>
      </c>
      <c r="Z38" s="50">
        <f ca="1">+GETPIVOTDATA("XBB4",'binhba (2016)'!$A$3,"MA_HT","DXH","MA_QH","SKS")</f>
        <v>0</v>
      </c>
      <c r="AA38" s="52">
        <f ca="1">+SUM(AB38:AJ38,AL38:AM38)</f>
        <v>0</v>
      </c>
      <c r="AB38" s="50">
        <f ca="1">+GETPIVOTDATA("XBB4",'binhba (2016)'!$A$3,"MA_HT","DXH","MA_QH","DGT")</f>
        <v>0</v>
      </c>
      <c r="AC38" s="50">
        <f ca="1">+GETPIVOTDATA("XBB4",'binhba (2016)'!$A$3,"MA_HT","DXH","MA_QH","DTL")</f>
        <v>0</v>
      </c>
      <c r="AD38" s="50">
        <f ca="1">+GETPIVOTDATA("XBB4",'binhba (2016)'!$A$3,"MA_HT","DXH","MA_QH","DNL")</f>
        <v>0</v>
      </c>
      <c r="AE38" s="50">
        <f ca="1">+GETPIVOTDATA("XBB4",'binhba (2016)'!$A$3,"MA_HT","DXH","MA_QH","DBV")</f>
        <v>0</v>
      </c>
      <c r="AF38" s="50">
        <f ca="1">+GETPIVOTDATA("XBB4",'binhba (2016)'!$A$3,"MA_HT","DXH","MA_QH","DVH")</f>
        <v>0</v>
      </c>
      <c r="AG38" s="50">
        <f ca="1">+GETPIVOTDATA("XBB4",'binhba (2016)'!$A$3,"MA_HT","DXH","MA_QH","DYT")</f>
        <v>0</v>
      </c>
      <c r="AH38" s="50">
        <f ca="1">+GETPIVOTDATA("XBB4",'binhba (2016)'!$A$3,"MA_HT","DXH","MA_QH","DGD")</f>
        <v>0</v>
      </c>
      <c r="AI38" s="50">
        <f ca="1">+GETPIVOTDATA("XBB4",'binhba (2016)'!$A$3,"MA_HT","DXH","MA_QH","DTT")</f>
        <v>0</v>
      </c>
      <c r="AJ38" s="50">
        <f ca="1">+GETPIVOTDATA("XBB4",'binhba (2016)'!$A$3,"MA_HT","DXH","MA_QH","NCK")</f>
        <v>0</v>
      </c>
      <c r="AK38" s="49" t="e">
        <f ca="1">$D38-$BF38</f>
        <v>#REF!</v>
      </c>
      <c r="AL38" s="50">
        <f ca="1">+GETPIVOTDATA("XBB4",'binhba (2016)'!$A$3,"MA_HT","DXH","MA_QH","DCH")</f>
        <v>0</v>
      </c>
      <c r="AM38" s="50">
        <f ca="1">+GETPIVOTDATA("XBB4",'binhba (2016)'!$A$3,"MA_HT","DXH","MA_QH","DKG")</f>
        <v>0</v>
      </c>
      <c r="AN38" s="50">
        <f ca="1">+GETPIVOTDATA("XBB4",'binhba (2016)'!$A$3,"MA_HT","DXH","MA_QH","DDT")</f>
        <v>0</v>
      </c>
      <c r="AO38" s="50">
        <f ca="1">+GETPIVOTDATA("XBB4",'binhba (2016)'!$A$3,"MA_HT","DXH","MA_QH","DDL")</f>
        <v>0</v>
      </c>
      <c r="AP38" s="50">
        <f ca="1">+GETPIVOTDATA("XBB4",'binhba (2016)'!$A$3,"MA_HT","DXH","MA_QH","DRA")</f>
        <v>0</v>
      </c>
      <c r="AQ38" s="50">
        <f ca="1">+GETPIVOTDATA("XBB4",'binhba (2016)'!$A$3,"MA_HT","DXH","MA_QH","ONT")</f>
        <v>0</v>
      </c>
      <c r="AR38" s="50">
        <f ca="1">+GETPIVOTDATA("XBB4",'binhba (2016)'!$A$3,"MA_HT","DXH","MA_QH","ODT")</f>
        <v>0</v>
      </c>
      <c r="AS38" s="50">
        <f ca="1">+GETPIVOTDATA("XBB4",'binhba (2016)'!$A$3,"MA_HT","DXH","MA_QH","TSC")</f>
        <v>0</v>
      </c>
      <c r="AT38" s="50">
        <f ca="1">+GETPIVOTDATA("XBB4",'binhba (2016)'!$A$3,"MA_HT","DXH","MA_QH","DTS")</f>
        <v>0</v>
      </c>
      <c r="AU38" s="50">
        <f ca="1">+GETPIVOTDATA("XBB4",'binhba (2016)'!$A$3,"MA_HT","DXH","MA_QH","DNG")</f>
        <v>0</v>
      </c>
      <c r="AV38" s="50">
        <f ca="1">+GETPIVOTDATA("XBB4",'binhba (2016)'!$A$3,"MA_HT","DXH","MA_QH","TON")</f>
        <v>0</v>
      </c>
      <c r="AW38" s="50">
        <f ca="1">+GETPIVOTDATA("XBB4",'binhba (2016)'!$A$3,"MA_HT","DXH","MA_QH","NTD")</f>
        <v>0</v>
      </c>
      <c r="AX38" s="50">
        <f ca="1">+GETPIVOTDATA("XBB4",'binhba (2016)'!$A$3,"MA_HT","DXH","MA_QH","SKX")</f>
        <v>0</v>
      </c>
      <c r="AY38" s="50">
        <f ca="1">+GETPIVOTDATA("XBB4",'binhba (2016)'!$A$3,"MA_HT","DXH","MA_QH","DSH")</f>
        <v>0</v>
      </c>
      <c r="AZ38" s="50">
        <f ca="1">+GETPIVOTDATA("XBB4",'binhba (2016)'!$A$3,"MA_HT","DXH","MA_QH","DKV")</f>
        <v>0</v>
      </c>
      <c r="BA38" s="88">
        <f ca="1">+GETPIVOTDATA("XBB4",'binhba (2016)'!$A$3,"MA_HT","DXH","MA_QH","TIN")</f>
        <v>0</v>
      </c>
      <c r="BB38" s="50">
        <f ca="1">+GETPIVOTDATA("XBB4",'binhba (2016)'!$A$3,"MA_HT","DXH","MA_QH","SON")</f>
        <v>0</v>
      </c>
      <c r="BC38" s="50">
        <f ca="1">+GETPIVOTDATA("XBB4",'binhba (2016)'!$A$3,"MA_HT","DXH","MA_QH","MNC")</f>
        <v>0</v>
      </c>
      <c r="BD38" s="50">
        <f ca="1">+GETPIVOTDATA("XBB4",'binhba (2016)'!$A$3,"MA_HT","DXH","MA_QH","PNK")</f>
        <v>0</v>
      </c>
      <c r="BE38" s="80">
        <f ca="1">+GETPIVOTDATA("XBB4",'binhba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+GETPIVOTDATA("XBB4",'binhba (2016)'!$A$3,"MA_HT","DCH","MA_QH","LUC")</f>
        <v>0</v>
      </c>
      <c r="H39" s="50">
        <f ca="1">+GETPIVOTDATA("XBB4",'binhba (2016)'!$A$3,"MA_HT","DCH","MA_QH","LUK")</f>
        <v>0</v>
      </c>
      <c r="I39" s="50">
        <f ca="1">+GETPIVOTDATA("XBB4",'binhba (2016)'!$A$3,"MA_HT","DCH","MA_QH","LUN")</f>
        <v>0</v>
      </c>
      <c r="J39" s="50">
        <f ca="1">+GETPIVOTDATA("XBB4",'binhba (2016)'!$A$3,"MA_HT","DCH","MA_QH","HNK")</f>
        <v>0</v>
      </c>
      <c r="K39" s="50">
        <f ca="1">+GETPIVOTDATA("XBB4",'binhba (2016)'!$A$3,"MA_HT","DCH","MA_QH","CLN")</f>
        <v>0</v>
      </c>
      <c r="L39" s="50">
        <f ca="1">+GETPIVOTDATA("XBB4",'binhba (2016)'!$A$3,"MA_HT","DCH","MA_QH","RSX")</f>
        <v>0</v>
      </c>
      <c r="M39" s="50">
        <f ca="1">+GETPIVOTDATA("XBB4",'binhba (2016)'!$A$3,"MA_HT","DCH","MA_QH","RPH")</f>
        <v>0</v>
      </c>
      <c r="N39" s="50">
        <f ca="1">+GETPIVOTDATA("XBB4",'binhba (2016)'!$A$3,"MA_HT","DCH","MA_QH","RDD")</f>
        <v>0</v>
      </c>
      <c r="O39" s="50">
        <f ca="1">+GETPIVOTDATA("XBB4",'binhba (2016)'!$A$3,"MA_HT","DCH","MA_QH","NTS")</f>
        <v>0</v>
      </c>
      <c r="P39" s="50">
        <f ca="1">+GETPIVOTDATA("XBB4",'binhba (2016)'!$A$3,"MA_HT","DCH","MA_QH","LMU")</f>
        <v>0</v>
      </c>
      <c r="Q39" s="50">
        <f ca="1">+GETPIVOTDATA("XBB4",'binhba (2016)'!$A$3,"MA_HT","DCH","MA_QH","NKH")</f>
        <v>0</v>
      </c>
      <c r="R39" s="48">
        <f ca="1" t="shared" si="20"/>
        <v>0</v>
      </c>
      <c r="S39" s="50">
        <f ca="1">+GETPIVOTDATA("XBB4",'binhba (2016)'!$A$3,"MA_HT","DCH","MA_QH","CQP")</f>
        <v>0</v>
      </c>
      <c r="T39" s="50">
        <f ca="1">+GETPIVOTDATA("XBB4",'binhba (2016)'!$A$3,"MA_HT","DCH","MA_QH","CAN")</f>
        <v>0</v>
      </c>
      <c r="U39" s="50">
        <f ca="1">+GETPIVOTDATA("XBB4",'binhba (2016)'!$A$3,"MA_HT","DCH","MA_QH","SKK")</f>
        <v>0</v>
      </c>
      <c r="V39" s="50">
        <f ca="1">+GETPIVOTDATA("XBB4",'binhba (2016)'!$A$3,"MA_HT","DCH","MA_QH","SKT")</f>
        <v>0</v>
      </c>
      <c r="W39" s="50">
        <f ca="1">+GETPIVOTDATA("XBB4",'binhba (2016)'!$A$3,"MA_HT","DCH","MA_QH","SKN")</f>
        <v>0</v>
      </c>
      <c r="X39" s="50">
        <f ca="1">+GETPIVOTDATA("XBB4",'binhba (2016)'!$A$3,"MA_HT","DCH","MA_QH","TMD")</f>
        <v>0</v>
      </c>
      <c r="Y39" s="50">
        <f ca="1">+GETPIVOTDATA("XBB4",'binhba (2016)'!$A$3,"MA_HT","DCH","MA_QH","SKC")</f>
        <v>0</v>
      </c>
      <c r="Z39" s="50">
        <f ca="1">+GETPIVOTDATA("XBB4",'binhba (2016)'!$A$3,"MA_HT","DCH","MA_QH","SKS")</f>
        <v>0</v>
      </c>
      <c r="AA39" s="52">
        <f ca="1">+SUM(AB39:AK39,AM39)</f>
        <v>0</v>
      </c>
      <c r="AB39" s="50">
        <f ca="1">+GETPIVOTDATA("XBB4",'binhba (2016)'!$A$3,"MA_HT","DCH","MA_QH","DGT")</f>
        <v>0</v>
      </c>
      <c r="AC39" s="50">
        <f ca="1">+GETPIVOTDATA("XBB4",'binhba (2016)'!$A$3,"MA_HT","DCH","MA_QH","DTL")</f>
        <v>0</v>
      </c>
      <c r="AD39" s="50">
        <f ca="1">+GETPIVOTDATA("XBB4",'binhba (2016)'!$A$3,"MA_HT","DCH","MA_QH","DNL")</f>
        <v>0</v>
      </c>
      <c r="AE39" s="50">
        <f ca="1">+GETPIVOTDATA("XBB4",'binhba (2016)'!$A$3,"MA_HT","DCH","MA_QH","DBV")</f>
        <v>0</v>
      </c>
      <c r="AF39" s="50">
        <f ca="1">+GETPIVOTDATA("XBB4",'binhba (2016)'!$A$3,"MA_HT","DCH","MA_QH","DVH")</f>
        <v>0</v>
      </c>
      <c r="AG39" s="50">
        <f ca="1">+GETPIVOTDATA("XBB4",'binhba (2016)'!$A$3,"MA_HT","DCH","MA_QH","DYT")</f>
        <v>0</v>
      </c>
      <c r="AH39" s="50">
        <f ca="1">+GETPIVOTDATA("XBB4",'binhba (2016)'!$A$3,"MA_HT","DCH","MA_QH","DGD")</f>
        <v>0</v>
      </c>
      <c r="AI39" s="50">
        <f ca="1">+GETPIVOTDATA("XBB4",'binhba (2016)'!$A$3,"MA_HT","DCH","MA_QH","DTT")</f>
        <v>0</v>
      </c>
      <c r="AJ39" s="50">
        <f ca="1">+GETPIVOTDATA("XBB4",'binhba (2016)'!$A$3,"MA_HT","DCH","MA_QH","NCK")</f>
        <v>0</v>
      </c>
      <c r="AK39" s="50">
        <f ca="1">+GETPIVOTDATA("XBB4",'binhba (2016)'!$A$3,"MA_HT","DCH","MA_QH","DXH")</f>
        <v>0</v>
      </c>
      <c r="AL39" s="49" t="e">
        <f ca="1">$D39-$BF39</f>
        <v>#REF!</v>
      </c>
      <c r="AM39" s="50">
        <f ca="1">+GETPIVOTDATA("XBB4",'binhba (2016)'!$A$3,"MA_HT","DXH","MA_QH","DKG")</f>
        <v>0</v>
      </c>
      <c r="AN39" s="50">
        <f ca="1">+GETPIVOTDATA("XBB4",'binhba (2016)'!$A$3,"MA_HT","DCH","MA_QH","DDT")</f>
        <v>0</v>
      </c>
      <c r="AO39" s="50">
        <f ca="1">+GETPIVOTDATA("XBB4",'binhba (2016)'!$A$3,"MA_HT","DCH","MA_QH","DDL")</f>
        <v>0</v>
      </c>
      <c r="AP39" s="50">
        <f ca="1">+GETPIVOTDATA("XBB4",'binhba (2016)'!$A$3,"MA_HT","DCH","MA_QH","DRA")</f>
        <v>0</v>
      </c>
      <c r="AQ39" s="50">
        <f ca="1">+GETPIVOTDATA("XBB4",'binhba (2016)'!$A$3,"MA_HT","DCH","MA_QH","ONT")</f>
        <v>0</v>
      </c>
      <c r="AR39" s="50">
        <f ca="1">+GETPIVOTDATA("XBB4",'binhba (2016)'!$A$3,"MA_HT","DCH","MA_QH","ODT")</f>
        <v>0</v>
      </c>
      <c r="AS39" s="50">
        <f ca="1">+GETPIVOTDATA("XBB4",'binhba (2016)'!$A$3,"MA_HT","DCH","MA_QH","TSC")</f>
        <v>0</v>
      </c>
      <c r="AT39" s="50">
        <f ca="1">+GETPIVOTDATA("XBB4",'binhba (2016)'!$A$3,"MA_HT","DCH","MA_QH","DTS")</f>
        <v>0</v>
      </c>
      <c r="AU39" s="50">
        <f ca="1">+GETPIVOTDATA("XBB4",'binhba (2016)'!$A$3,"MA_HT","DCH","MA_QH","DNG")</f>
        <v>0</v>
      </c>
      <c r="AV39" s="50">
        <f ca="1">+GETPIVOTDATA("XBB4",'binhba (2016)'!$A$3,"MA_HT","DCH","MA_QH","TON")</f>
        <v>0</v>
      </c>
      <c r="AW39" s="50">
        <f ca="1">+GETPIVOTDATA("XBB4",'binhba (2016)'!$A$3,"MA_HT","DCH","MA_QH","NTD")</f>
        <v>0</v>
      </c>
      <c r="AX39" s="50">
        <f ca="1">+GETPIVOTDATA("XBB4",'binhba (2016)'!$A$3,"MA_HT","DCH","MA_QH","SKX")</f>
        <v>0</v>
      </c>
      <c r="AY39" s="50">
        <f ca="1">+GETPIVOTDATA("XBB4",'binhba (2016)'!$A$3,"MA_HT","DCH","MA_QH","DSH")</f>
        <v>0</v>
      </c>
      <c r="AZ39" s="50">
        <f ca="1">+GETPIVOTDATA("XBB4",'binhba (2016)'!$A$3,"MA_HT","DCH","MA_QH","DKV")</f>
        <v>0</v>
      </c>
      <c r="BA39" s="88">
        <f ca="1">+GETPIVOTDATA("XBB4",'binhba (2016)'!$A$3,"MA_HT","DCH","MA_QH","TIN")</f>
        <v>0</v>
      </c>
      <c r="BB39" s="50">
        <f ca="1">+GETPIVOTDATA("XBB4",'binhba (2016)'!$A$3,"MA_HT","DCH","MA_QH","SON")</f>
        <v>0</v>
      </c>
      <c r="BC39" s="50">
        <f ca="1">+GETPIVOTDATA("XBB4",'binhba (2016)'!$A$3,"MA_HT","DCH","MA_QH","MNC")</f>
        <v>0</v>
      </c>
      <c r="BD39" s="50">
        <f ca="1">+GETPIVOTDATA("XBB4",'binhba (2016)'!$A$3,"MA_HT","DCH","MA_QH","PNK")</f>
        <v>0</v>
      </c>
      <c r="BE39" s="80">
        <f ca="1">+GETPIVOTDATA("XBB4",'binhba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+GETPIVOTDATA("XBB4",'binhba (2016)'!$A$3,"MA_HT","DKG","MA_QH","LUC")</f>
        <v>0</v>
      </c>
      <c r="H40" s="50">
        <f ca="1">+GETPIVOTDATA("XBB4",'binhba (2016)'!$A$3,"MA_HT","DKG","MA_QH","LUK")</f>
        <v>0</v>
      </c>
      <c r="I40" s="50">
        <f ca="1">+GETPIVOTDATA("XBB4",'binhba (2016)'!$A$3,"MA_HT","DKG","MA_QH","LUN")</f>
        <v>0</v>
      </c>
      <c r="J40" s="50">
        <f ca="1">+GETPIVOTDATA("XBB4",'binhba (2016)'!$A$3,"MA_HT","DKG","MA_QH","HNK")</f>
        <v>0</v>
      </c>
      <c r="K40" s="50">
        <f ca="1">+GETPIVOTDATA("XBB4",'binhba (2016)'!$A$3,"MA_HT","DKG","MA_QH","CLN")</f>
        <v>0</v>
      </c>
      <c r="L40" s="50">
        <f ca="1">+GETPIVOTDATA("XBB4",'binhba (2016)'!$A$3,"MA_HT","DKG","MA_QH","RSX")</f>
        <v>0</v>
      </c>
      <c r="M40" s="50">
        <f ca="1">+GETPIVOTDATA("XBB4",'binhba (2016)'!$A$3,"MA_HT","DKG","MA_QH","RPH")</f>
        <v>0</v>
      </c>
      <c r="N40" s="50">
        <f ca="1">+GETPIVOTDATA("XBB4",'binhba (2016)'!$A$3,"MA_HT","DKG","MA_QH","RDD")</f>
        <v>0</v>
      </c>
      <c r="O40" s="50">
        <f ca="1">+GETPIVOTDATA("XBB4",'binhba (2016)'!$A$3,"MA_HT","DKG","MA_QH","NTS")</f>
        <v>0</v>
      </c>
      <c r="P40" s="50">
        <f ca="1">+GETPIVOTDATA("XBB4",'binhba (2016)'!$A$3,"MA_HT","DKG","MA_QH","LMU")</f>
        <v>0</v>
      </c>
      <c r="Q40" s="50">
        <f ca="1">+GETPIVOTDATA("XBB4",'binhba (2016)'!$A$3,"MA_HT","DKG","MA_QH","NKH")</f>
        <v>0</v>
      </c>
      <c r="R40" s="48">
        <f ca="1" t="shared" si="20"/>
        <v>0</v>
      </c>
      <c r="S40" s="50">
        <f ca="1">+GETPIVOTDATA("XBB4",'binhba (2016)'!$A$3,"MA_HT","DKG","MA_QH","CQP")</f>
        <v>0</v>
      </c>
      <c r="T40" s="50">
        <f ca="1">+GETPIVOTDATA("XBB4",'binhba (2016)'!$A$3,"MA_HT","DKG","MA_QH","CAN")</f>
        <v>0</v>
      </c>
      <c r="U40" s="50">
        <f ca="1">+GETPIVOTDATA("XBB4",'binhba (2016)'!$A$3,"MA_HT","DKG","MA_QH","SKK")</f>
        <v>0</v>
      </c>
      <c r="V40" s="50">
        <f ca="1">+GETPIVOTDATA("XBB4",'binhba (2016)'!$A$3,"MA_HT","DKG","MA_QH","SKT")</f>
        <v>0</v>
      </c>
      <c r="W40" s="50">
        <f ca="1">+GETPIVOTDATA("XBB4",'binhba (2016)'!$A$3,"MA_HT","DKG","MA_QH","SKN")</f>
        <v>0</v>
      </c>
      <c r="X40" s="50">
        <f ca="1">+GETPIVOTDATA("XBB4",'binhba (2016)'!$A$3,"MA_HT","DKG","MA_QH","TMD")</f>
        <v>0</v>
      </c>
      <c r="Y40" s="50">
        <f ca="1">+GETPIVOTDATA("XBB4",'binhba (2016)'!$A$3,"MA_HT","DKG","MA_QH","SKC")</f>
        <v>0</v>
      </c>
      <c r="Z40" s="50">
        <f ca="1">+GETPIVOTDATA("XBB4",'binhba (2016)'!$A$3,"MA_HT","DKG","MA_QH","SKS")</f>
        <v>0</v>
      </c>
      <c r="AA40" s="52">
        <f ca="1">+SUM(AB40:AL40)</f>
        <v>0</v>
      </c>
      <c r="AB40" s="50">
        <f ca="1">+GETPIVOTDATA("XBB4",'binhba (2016)'!$A$3,"MA_HT","DKG","MA_QH","DGT")</f>
        <v>0</v>
      </c>
      <c r="AC40" s="50">
        <f ca="1">+GETPIVOTDATA("XBB4",'binhba (2016)'!$A$3,"MA_HT","DKG","MA_QH","DTL")</f>
        <v>0</v>
      </c>
      <c r="AD40" s="50">
        <f ca="1">+GETPIVOTDATA("XBB4",'binhba (2016)'!$A$3,"MA_HT","DKG","MA_QH","DNL")</f>
        <v>0</v>
      </c>
      <c r="AE40" s="50">
        <f ca="1">+GETPIVOTDATA("XBB4",'binhba (2016)'!$A$3,"MA_HT","DKG","MA_QH","DBV")</f>
        <v>0</v>
      </c>
      <c r="AF40" s="50">
        <f ca="1">+GETPIVOTDATA("XBB4",'binhba (2016)'!$A$3,"MA_HT","DKG","MA_QH","DVH")</f>
        <v>0</v>
      </c>
      <c r="AG40" s="50">
        <f ca="1">+GETPIVOTDATA("XBB4",'binhba (2016)'!$A$3,"MA_HT","DKG","MA_QH","DYT")</f>
        <v>0</v>
      </c>
      <c r="AH40" s="50">
        <f ca="1">+GETPIVOTDATA("XBB4",'binhba (2016)'!$A$3,"MA_HT","DKG","MA_QH","DGD")</f>
        <v>0</v>
      </c>
      <c r="AI40" s="50">
        <f ca="1">+GETPIVOTDATA("XBB4",'binhba (2016)'!$A$3,"MA_HT","DKG","MA_QH","DTT")</f>
        <v>0</v>
      </c>
      <c r="AJ40" s="50">
        <f ca="1">+GETPIVOTDATA("XBB4",'binhba (2016)'!$A$3,"MA_HT","DKG","MA_QH","NCK")</f>
        <v>0</v>
      </c>
      <c r="AK40" s="50">
        <f ca="1">+GETPIVOTDATA("XBB4",'binhba (2016)'!$A$3,"MA_HT","DKG","MA_QH","DXH")</f>
        <v>0</v>
      </c>
      <c r="AL40" s="60">
        <f ca="1">+GETPIVOTDATA("XBB4",'binhba (2016)'!$A$3,"MA_HT","DDT","MA_QH","DKG")</f>
        <v>0</v>
      </c>
      <c r="AM40" s="49" t="e">
        <f ca="1">$D40-$BF40</f>
        <v>#REF!</v>
      </c>
      <c r="AN40" s="50">
        <f ca="1">+GETPIVOTDATA("XBB4",'binhba (2016)'!$A$3,"MA_HT","DKG","MA_QH","DDT")</f>
        <v>0</v>
      </c>
      <c r="AO40" s="50">
        <f ca="1">+GETPIVOTDATA("XBB4",'binhba (2016)'!$A$3,"MA_HT","DKG","MA_QH","DDL")</f>
        <v>0</v>
      </c>
      <c r="AP40" s="50">
        <f ca="1">+GETPIVOTDATA("XBB4",'binhba (2016)'!$A$3,"MA_HT","DKG","MA_QH","DRA")</f>
        <v>0</v>
      </c>
      <c r="AQ40" s="50">
        <f ca="1">+GETPIVOTDATA("XBB4",'binhba (2016)'!$A$3,"MA_HT","DKG","MA_QH","ONT")</f>
        <v>0</v>
      </c>
      <c r="AR40" s="50">
        <f ca="1">+GETPIVOTDATA("XBB4",'binhba (2016)'!$A$3,"MA_HT","DKG","MA_QH","ODT")</f>
        <v>0</v>
      </c>
      <c r="AS40" s="50">
        <f ca="1">+GETPIVOTDATA("XBB4",'binhba (2016)'!$A$3,"MA_HT","DKG","MA_QH","TSC")</f>
        <v>0</v>
      </c>
      <c r="AT40" s="50">
        <f ca="1">+GETPIVOTDATA("XBB4",'binhba (2016)'!$A$3,"MA_HT","DKG","MA_QH","DTS")</f>
        <v>0</v>
      </c>
      <c r="AU40" s="50">
        <f ca="1">+GETPIVOTDATA("XBB4",'binhba (2016)'!$A$3,"MA_HT","DKG","MA_QH","DNG")</f>
        <v>0</v>
      </c>
      <c r="AV40" s="50">
        <f ca="1">+GETPIVOTDATA("XBB4",'binhba (2016)'!$A$3,"MA_HT","DKG","MA_QH","TON")</f>
        <v>0</v>
      </c>
      <c r="AW40" s="50">
        <f ca="1">+GETPIVOTDATA("XBB4",'binhba (2016)'!$A$3,"MA_HT","DKG","MA_QH","NTD")</f>
        <v>0</v>
      </c>
      <c r="AX40" s="50">
        <f ca="1">+GETPIVOTDATA("XBB4",'binhba (2016)'!$A$3,"MA_HT","DKG","MA_QH","SKX")</f>
        <v>0</v>
      </c>
      <c r="AY40" s="50">
        <f ca="1">+GETPIVOTDATA("XBB4",'binhba (2016)'!$A$3,"MA_HT","DKG","MA_QH","DSH")</f>
        <v>0</v>
      </c>
      <c r="AZ40" s="50">
        <f ca="1">+GETPIVOTDATA("XBB4",'binhba (2016)'!$A$3,"MA_HT","DKG","MA_QH","DKV")</f>
        <v>0</v>
      </c>
      <c r="BA40" s="88">
        <f ca="1">+GETPIVOTDATA("XBB4",'binhba (2016)'!$A$3,"MA_HT","DKG","MA_QH","TIN")</f>
        <v>0</v>
      </c>
      <c r="BB40" s="50">
        <f ca="1">+GETPIVOTDATA("XBB4",'binhba (2016)'!$A$3,"MA_HT","DKG","MA_QH","SON")</f>
        <v>0</v>
      </c>
      <c r="BC40" s="50">
        <f ca="1">+GETPIVOTDATA("XBB4",'binhba (2016)'!$A$3,"MA_HT","DKG","MA_QH","MNC")</f>
        <v>0</v>
      </c>
      <c r="BD40" s="50">
        <f ca="1">+GETPIVOTDATA("XBB4",'binhba (2016)'!$A$3,"MA_HT","DKG","MA_QH","PNK")</f>
        <v>0</v>
      </c>
      <c r="BE40" s="80">
        <f ca="1">+GETPIVOTDATA("XBB4",'binhba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+GETPIVOTDATA("XBB4",'binhba (2016)'!$A$3,"MA_HT","DDT","MA_QH","LUC")</f>
        <v>0</v>
      </c>
      <c r="H41" s="60">
        <f ca="1">+GETPIVOTDATA("XBB4",'binhba (2016)'!$A$3,"MA_HT","DDT","MA_QH","LUK")</f>
        <v>0</v>
      </c>
      <c r="I41" s="60">
        <f ca="1">+GETPIVOTDATA("XBB4",'binhba (2016)'!$A$3,"MA_HT","DDT","MA_QH","LUN")</f>
        <v>0</v>
      </c>
      <c r="J41" s="60">
        <f ca="1">+GETPIVOTDATA("XBB4",'binhba (2016)'!$A$3,"MA_HT","DDT","MA_QH","HNK")</f>
        <v>0</v>
      </c>
      <c r="K41" s="60">
        <f ca="1">+GETPIVOTDATA("XBB4",'binhba (2016)'!$A$3,"MA_HT","DDT","MA_QH","CLN")</f>
        <v>0</v>
      </c>
      <c r="L41" s="60">
        <f ca="1">+GETPIVOTDATA("XBB4",'binhba (2016)'!$A$3,"MA_HT","DDT","MA_QH","RSX")</f>
        <v>0</v>
      </c>
      <c r="M41" s="60">
        <f ca="1">+GETPIVOTDATA("XBB4",'binhba (2016)'!$A$3,"MA_HT","DDT","MA_QH","RPH")</f>
        <v>0</v>
      </c>
      <c r="N41" s="60">
        <f ca="1">+GETPIVOTDATA("XBB4",'binhba (2016)'!$A$3,"MA_HT","DDT","MA_QH","RDD")</f>
        <v>0</v>
      </c>
      <c r="O41" s="60">
        <f ca="1">+GETPIVOTDATA("XBB4",'binhba (2016)'!$A$3,"MA_HT","DDT","MA_QH","NTS")</f>
        <v>0</v>
      </c>
      <c r="P41" s="60">
        <f ca="1">+GETPIVOTDATA("XBB4",'binhba (2016)'!$A$3,"MA_HT","DDT","MA_QH","LMU")</f>
        <v>0</v>
      </c>
      <c r="Q41" s="60">
        <f ca="1">+GETPIVOTDATA("XBB4",'binhba (2016)'!$A$3,"MA_HT","DDT","MA_QH","NKH")</f>
        <v>0</v>
      </c>
      <c r="R41" s="78">
        <f ca="1">SUM(S41:AA41,AO41:BD41)</f>
        <v>0</v>
      </c>
      <c r="S41" s="60">
        <f ca="1">+GETPIVOTDATA("XBB4",'binhba (2016)'!$A$3,"MA_HT","DDT","MA_QH","CQP")</f>
        <v>0</v>
      </c>
      <c r="T41" s="60">
        <f ca="1">+GETPIVOTDATA("XBB4",'binhba (2016)'!$A$3,"MA_HT","DDT","MA_QH","CAN")</f>
        <v>0</v>
      </c>
      <c r="U41" s="60">
        <f ca="1">+GETPIVOTDATA("XBB4",'binhba (2016)'!$A$3,"MA_HT","DDT","MA_QH","SKK")</f>
        <v>0</v>
      </c>
      <c r="V41" s="60">
        <f ca="1">+GETPIVOTDATA("XBB4",'binhba (2016)'!$A$3,"MA_HT","DDT","MA_QH","SKT")</f>
        <v>0</v>
      </c>
      <c r="W41" s="60">
        <f ca="1">+GETPIVOTDATA("XBB4",'binhba (2016)'!$A$3,"MA_HT","DDT","MA_QH","SKN")</f>
        <v>0</v>
      </c>
      <c r="X41" s="60">
        <f ca="1">+GETPIVOTDATA("XBB4",'binhba (2016)'!$A$3,"MA_HT","DDT","MA_QH","TMD")</f>
        <v>0</v>
      </c>
      <c r="Y41" s="60">
        <f ca="1">+GETPIVOTDATA("XBB4",'binhba (2016)'!$A$3,"MA_HT","DDT","MA_QH","SKC")</f>
        <v>0</v>
      </c>
      <c r="Z41" s="60">
        <f ca="1">+GETPIVOTDATA("XBB4",'binhba (2016)'!$A$3,"MA_HT","DDT","MA_QH","SKS")</f>
        <v>0</v>
      </c>
      <c r="AA41" s="59">
        <f ca="1" t="shared" ref="AA41:AA58" si="21">+SUM(AB41:AM41)</f>
        <v>0</v>
      </c>
      <c r="AB41" s="60">
        <f ca="1">+GETPIVOTDATA("XBB4",'binhba (2016)'!$A$3,"MA_HT","DDT","MA_QH","DGT")</f>
        <v>0</v>
      </c>
      <c r="AC41" s="60">
        <f ca="1">+GETPIVOTDATA("XBB4",'binhba (2016)'!$A$3,"MA_HT","DDT","MA_QH","DTL")</f>
        <v>0</v>
      </c>
      <c r="AD41" s="60">
        <f ca="1">+GETPIVOTDATA("XBB4",'binhba (2016)'!$A$3,"MA_HT","DDT","MA_QH","DNL")</f>
        <v>0</v>
      </c>
      <c r="AE41" s="60">
        <f ca="1">+GETPIVOTDATA("XBB4",'binhba (2016)'!$A$3,"MA_HT","DDT","MA_QH","DBV")</f>
        <v>0</v>
      </c>
      <c r="AF41" s="60">
        <f ca="1">+GETPIVOTDATA("XBB4",'binhba (2016)'!$A$3,"MA_HT","DDT","MA_QH","DVH")</f>
        <v>0</v>
      </c>
      <c r="AG41" s="60">
        <f ca="1">+GETPIVOTDATA("XBB4",'binhba (2016)'!$A$3,"MA_HT","DDT","MA_QH","DYT")</f>
        <v>0</v>
      </c>
      <c r="AH41" s="60">
        <f ca="1">+GETPIVOTDATA("XBB4",'binhba (2016)'!$A$3,"MA_HT","DDT","MA_QH","DGD")</f>
        <v>0</v>
      </c>
      <c r="AI41" s="60">
        <f ca="1">+GETPIVOTDATA("XBB4",'binhba (2016)'!$A$3,"MA_HT","DDT","MA_QH","DTT")</f>
        <v>0</v>
      </c>
      <c r="AJ41" s="60">
        <f ca="1">+GETPIVOTDATA("XBB4",'binhba (2016)'!$A$3,"MA_HT","DDT","MA_QH","NCK")</f>
        <v>0</v>
      </c>
      <c r="AK41" s="60">
        <f ca="1">+GETPIVOTDATA("XBB4",'binhba (2016)'!$A$3,"MA_HT","DDT","MA_QH","DXH")</f>
        <v>0</v>
      </c>
      <c r="AL41" s="60">
        <f ca="1">+GETPIVOTDATA("XBB4",'binhba (2016)'!$A$3,"MA_HT","DDT","MA_QH","DCH")</f>
        <v>0</v>
      </c>
      <c r="AM41" s="60">
        <f ca="1">+GETPIVOTDATA("XBB4",'binhba (2016)'!$A$3,"MA_HT","DDT","MA_QH","DKG")</f>
        <v>0</v>
      </c>
      <c r="AN41" s="81" t="e">
        <f ca="1">$D41-$BF41</f>
        <v>#REF!</v>
      </c>
      <c r="AO41" s="60">
        <f ca="1">+GETPIVOTDATA("XBB4",'binhba (2016)'!$A$3,"MA_HT","DDT","MA_QH","DDL")</f>
        <v>0</v>
      </c>
      <c r="AP41" s="60">
        <f ca="1">+GETPIVOTDATA("XBB4",'binhba (2016)'!$A$3,"MA_HT","DDT","MA_QH","DRA")</f>
        <v>0</v>
      </c>
      <c r="AQ41" s="60">
        <f ca="1">+GETPIVOTDATA("XBB4",'binhba (2016)'!$A$3,"MA_HT","DDT","MA_QH","ONT")</f>
        <v>0</v>
      </c>
      <c r="AR41" s="60">
        <f ca="1">+GETPIVOTDATA("XBB4",'binhba (2016)'!$A$3,"MA_HT","DDT","MA_QH","ODT")</f>
        <v>0</v>
      </c>
      <c r="AS41" s="60">
        <f ca="1">+GETPIVOTDATA("XBB4",'binhba (2016)'!$A$3,"MA_HT","DDT","MA_QH","TSC")</f>
        <v>0</v>
      </c>
      <c r="AT41" s="60">
        <f ca="1">+GETPIVOTDATA("XBB4",'binhba (2016)'!$A$3,"MA_HT","DDT","MA_QH","DTS")</f>
        <v>0</v>
      </c>
      <c r="AU41" s="60">
        <f ca="1">+GETPIVOTDATA("XBB4",'binhba (2016)'!$A$3,"MA_HT","DDT","MA_QH","DNG")</f>
        <v>0</v>
      </c>
      <c r="AV41" s="60">
        <f ca="1">+GETPIVOTDATA("XBB4",'binhba (2016)'!$A$3,"MA_HT","DDT","MA_QH","TON")</f>
        <v>0</v>
      </c>
      <c r="AW41" s="60">
        <f ca="1">+GETPIVOTDATA("XBB4",'binhba (2016)'!$A$3,"MA_HT","DDT","MA_QH","NTD")</f>
        <v>0</v>
      </c>
      <c r="AX41" s="60">
        <f ca="1">+GETPIVOTDATA("XBB4",'binhba (2016)'!$A$3,"MA_HT","DDT","MA_QH","SKX")</f>
        <v>0</v>
      </c>
      <c r="AY41" s="60">
        <f ca="1">+GETPIVOTDATA("XBB4",'binhba (2016)'!$A$3,"MA_HT","DDT","MA_QH","DSH")</f>
        <v>0</v>
      </c>
      <c r="AZ41" s="60">
        <f ca="1">+GETPIVOTDATA("XBB4",'binhba (2016)'!$A$3,"MA_HT","DDT","MA_QH","DKV")</f>
        <v>0</v>
      </c>
      <c r="BA41" s="90">
        <f ca="1">+GETPIVOTDATA("XBB4",'binhba (2016)'!$A$3,"MA_HT","DDT","MA_QH","TIN")</f>
        <v>0</v>
      </c>
      <c r="BB41" s="91">
        <f ca="1">+GETPIVOTDATA("XBB4",'binhba (2016)'!$A$3,"MA_HT","DDT","MA_QH","SON")</f>
        <v>0</v>
      </c>
      <c r="BC41" s="91">
        <f ca="1">+GETPIVOTDATA("XBB4",'binhba (2016)'!$A$3,"MA_HT","DDT","MA_QH","MNC")</f>
        <v>0</v>
      </c>
      <c r="BD41" s="60">
        <f ca="1">+GETPIVOTDATA("XBB4",'binhba (2016)'!$A$3,"MA_HT","DDT","MA_QH","PNK")</f>
        <v>0</v>
      </c>
      <c r="BE41" s="111">
        <f ca="1">+GETPIVOTDATA("XBB4",'binhba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+GETPIVOTDATA("XBB4",'binhba (2016)'!$A$3,"MA_HT","DDL","MA_QH","LUC")</f>
        <v>0</v>
      </c>
      <c r="H42" s="22">
        <f ca="1">+GETPIVOTDATA("XBB4",'binhba (2016)'!$A$3,"MA_HT","DDL","MA_QH","LUK")</f>
        <v>0</v>
      </c>
      <c r="I42" s="22">
        <f ca="1">+GETPIVOTDATA("XBB4",'binhba (2016)'!$A$3,"MA_HT","DDL","MA_QH","LUN")</f>
        <v>0</v>
      </c>
      <c r="J42" s="22">
        <f ca="1">+GETPIVOTDATA("XBB4",'binhba (2016)'!$A$3,"MA_HT","DDL","MA_QH","HNK")</f>
        <v>0</v>
      </c>
      <c r="K42" s="22">
        <f ca="1">+GETPIVOTDATA("XBB4",'binhba (2016)'!$A$3,"MA_HT","DDL","MA_QH","CLN")</f>
        <v>0</v>
      </c>
      <c r="L42" s="22">
        <f ca="1">+GETPIVOTDATA("XBB4",'binhba (2016)'!$A$3,"MA_HT","DDL","MA_QH","RSX")</f>
        <v>0</v>
      </c>
      <c r="M42" s="22">
        <f ca="1">+GETPIVOTDATA("XBB4",'binhba (2016)'!$A$3,"MA_HT","DDL","MA_QH","RPH")</f>
        <v>0</v>
      </c>
      <c r="N42" s="22">
        <f ca="1">+GETPIVOTDATA("XBB4",'binhba (2016)'!$A$3,"MA_HT","DDL","MA_QH","RDD")</f>
        <v>0</v>
      </c>
      <c r="O42" s="22">
        <f ca="1">+GETPIVOTDATA("XBB4",'binhba (2016)'!$A$3,"MA_HT","DDL","MA_QH","NTS")</f>
        <v>0</v>
      </c>
      <c r="P42" s="22">
        <f ca="1">+GETPIVOTDATA("XBB4",'binhba (2016)'!$A$3,"MA_HT","DDL","MA_QH","LMU")</f>
        <v>0</v>
      </c>
      <c r="Q42" s="22">
        <f ca="1">+GETPIVOTDATA("XBB4",'binhba (2016)'!$A$3,"MA_HT","DDL","MA_QH","NKH")</f>
        <v>0</v>
      </c>
      <c r="R42" s="79">
        <f ca="1">SUM(S42:AA42,AN42,AP42:BD42)</f>
        <v>0</v>
      </c>
      <c r="S42" s="22">
        <f ca="1">+GETPIVOTDATA("XBB4",'binhba (2016)'!$A$3,"MA_HT","DDL","MA_QH","CQP")</f>
        <v>0</v>
      </c>
      <c r="T42" s="22">
        <f ca="1">+GETPIVOTDATA("XBB4",'binhba (2016)'!$A$3,"MA_HT","DDL","MA_QH","CAN")</f>
        <v>0</v>
      </c>
      <c r="U42" s="22">
        <f ca="1">+GETPIVOTDATA("XBB4",'binhba (2016)'!$A$3,"MA_HT","DDL","MA_QH","SKK")</f>
        <v>0</v>
      </c>
      <c r="V42" s="22">
        <f ca="1">+GETPIVOTDATA("XBB4",'binhba (2016)'!$A$3,"MA_HT","DDL","MA_QH","SKT")</f>
        <v>0</v>
      </c>
      <c r="W42" s="22">
        <f ca="1">+GETPIVOTDATA("XBB4",'binhba (2016)'!$A$3,"MA_HT","DDL","MA_QH","SKN")</f>
        <v>0</v>
      </c>
      <c r="X42" s="22">
        <f ca="1">+GETPIVOTDATA("XBB4",'binhba (2016)'!$A$3,"MA_HT","DDL","MA_QH","TMD")</f>
        <v>0</v>
      </c>
      <c r="Y42" s="22">
        <f ca="1">+GETPIVOTDATA("XBB4",'binhba (2016)'!$A$3,"MA_HT","DDL","MA_QH","SKC")</f>
        <v>0</v>
      </c>
      <c r="Z42" s="22">
        <f ca="1">+GETPIVOTDATA("XBB4",'binhba (2016)'!$A$3,"MA_HT","DDL","MA_QH","SKS")</f>
        <v>0</v>
      </c>
      <c r="AA42" s="52">
        <f ca="1" t="shared" si="21"/>
        <v>0</v>
      </c>
      <c r="AB42" s="22">
        <f ca="1">+GETPIVOTDATA("XBB4",'binhba (2016)'!$A$3,"MA_HT","DDL","MA_QH","DGT")</f>
        <v>0</v>
      </c>
      <c r="AC42" s="22">
        <f ca="1">+GETPIVOTDATA("XBB4",'binhba (2016)'!$A$3,"MA_HT","DDL","MA_QH","DTL")</f>
        <v>0</v>
      </c>
      <c r="AD42" s="22">
        <f ca="1">+GETPIVOTDATA("XBB4",'binhba (2016)'!$A$3,"MA_HT","DDL","MA_QH","DNL")</f>
        <v>0</v>
      </c>
      <c r="AE42" s="22">
        <f ca="1">+GETPIVOTDATA("XBB4",'binhba (2016)'!$A$3,"MA_HT","DDL","MA_QH","DBV")</f>
        <v>0</v>
      </c>
      <c r="AF42" s="22">
        <f ca="1">+GETPIVOTDATA("XBB4",'binhba (2016)'!$A$3,"MA_HT","DDL","MA_QH","DVH")</f>
        <v>0</v>
      </c>
      <c r="AG42" s="22">
        <f ca="1">+GETPIVOTDATA("XBB4",'binhba (2016)'!$A$3,"MA_HT","DDL","MA_QH","DYT")</f>
        <v>0</v>
      </c>
      <c r="AH42" s="22">
        <f ca="1">+GETPIVOTDATA("XBB4",'binhba (2016)'!$A$3,"MA_HT","DDL","MA_QH","DGD")</f>
        <v>0</v>
      </c>
      <c r="AI42" s="22">
        <f ca="1">+GETPIVOTDATA("XBB4",'binhba (2016)'!$A$3,"MA_HT","DDL","MA_QH","DTT")</f>
        <v>0</v>
      </c>
      <c r="AJ42" s="22">
        <f ca="1">+GETPIVOTDATA("XBB4",'binhba (2016)'!$A$3,"MA_HT","DDL","MA_QH","NCK")</f>
        <v>0</v>
      </c>
      <c r="AK42" s="22">
        <f ca="1">+GETPIVOTDATA("XBB4",'binhba (2016)'!$A$3,"MA_HT","DDL","MA_QH","DXH")</f>
        <v>0</v>
      </c>
      <c r="AL42" s="22">
        <f ca="1">+GETPIVOTDATA("XBB4",'binhba (2016)'!$A$3,"MA_HT","DDL","MA_QH","DCH")</f>
        <v>0</v>
      </c>
      <c r="AM42" s="22">
        <f ca="1">+GETPIVOTDATA("XBB4",'binhba (2016)'!$A$3,"MA_HT","DDL","MA_QH","DKG")</f>
        <v>0</v>
      </c>
      <c r="AN42" s="22">
        <f ca="1">+GETPIVOTDATA("XBB4",'binhba (2016)'!$A$3,"MA_HT","DDL","MA_QH","DDT")</f>
        <v>0</v>
      </c>
      <c r="AO42" s="43" t="e">
        <f ca="1">$D42-$BF42</f>
        <v>#REF!</v>
      </c>
      <c r="AP42" s="22">
        <f ca="1">+GETPIVOTDATA("XBB4",'binhba (2016)'!$A$3,"MA_HT","DDL","MA_QH","DRA")</f>
        <v>0</v>
      </c>
      <c r="AQ42" s="22">
        <f ca="1">+GETPIVOTDATA("XBB4",'binhba (2016)'!$A$3,"MA_HT","DDL","MA_QH","ONT")</f>
        <v>0</v>
      </c>
      <c r="AR42" s="22">
        <f ca="1">+GETPIVOTDATA("XBB4",'binhba (2016)'!$A$3,"MA_HT","DDL","MA_QH","ODT")</f>
        <v>0</v>
      </c>
      <c r="AS42" s="22">
        <f ca="1">+GETPIVOTDATA("XBB4",'binhba (2016)'!$A$3,"MA_HT","DDL","MA_QH","TSC")</f>
        <v>0</v>
      </c>
      <c r="AT42" s="22">
        <f ca="1">+GETPIVOTDATA("XBB4",'binhba (2016)'!$A$3,"MA_HT","DDL","MA_QH","DTS")</f>
        <v>0</v>
      </c>
      <c r="AU42" s="22">
        <f ca="1">+GETPIVOTDATA("XBB4",'binhba (2016)'!$A$3,"MA_HT","DDL","MA_QH","DNG")</f>
        <v>0</v>
      </c>
      <c r="AV42" s="22">
        <f ca="1">+GETPIVOTDATA("XBB4",'binhba (2016)'!$A$3,"MA_HT","DDL","MA_QH","TON")</f>
        <v>0</v>
      </c>
      <c r="AW42" s="22">
        <f ca="1">+GETPIVOTDATA("XBB4",'binhba (2016)'!$A$3,"MA_HT","DDL","MA_QH","NTD")</f>
        <v>0</v>
      </c>
      <c r="AX42" s="22">
        <f ca="1">+GETPIVOTDATA("XBB4",'binhba (2016)'!$A$3,"MA_HT","DDL","MA_QH","SKX")</f>
        <v>0</v>
      </c>
      <c r="AY42" s="22">
        <f ca="1">+GETPIVOTDATA("XBB4",'binhba (2016)'!$A$3,"MA_HT","DDL","MA_QH","DSH")</f>
        <v>0</v>
      </c>
      <c r="AZ42" s="22">
        <f ca="1">+GETPIVOTDATA("XBB4",'binhba (2016)'!$A$3,"MA_HT","DDL","MA_QH","DKV")</f>
        <v>0</v>
      </c>
      <c r="BA42" s="89">
        <f ca="1">+GETPIVOTDATA("XBB4",'binhba (2016)'!$A$3,"MA_HT","DDL","MA_QH","TIN")</f>
        <v>0</v>
      </c>
      <c r="BB42" s="50">
        <f ca="1">+GETPIVOTDATA("XBB4",'binhba (2016)'!$A$3,"MA_HT","DDL","MA_QH","SON")</f>
        <v>0</v>
      </c>
      <c r="BC42" s="50">
        <f ca="1">+GETPIVOTDATA("XBB4",'binhba (2016)'!$A$3,"MA_HT","DDL","MA_QH","MNC")</f>
        <v>0</v>
      </c>
      <c r="BD42" s="22">
        <f ca="1">+GETPIVOTDATA("XBB4",'binhba (2016)'!$A$3,"MA_HT","DDL","MA_QH","PNK")</f>
        <v>0</v>
      </c>
      <c r="BE42" s="71">
        <f ca="1">+GETPIVOTDATA("XBB4",'binhba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+GETPIVOTDATA("XBB4",'binhba (2016)'!$A$3,"MA_HT","DRA","MA_QH","LUC")</f>
        <v>0</v>
      </c>
      <c r="H43" s="22">
        <f ca="1">+GETPIVOTDATA("XBB4",'binhba (2016)'!$A$3,"MA_HT","DRA","MA_QH","LUK")</f>
        <v>0</v>
      </c>
      <c r="I43" s="22">
        <f ca="1">+GETPIVOTDATA("XBB4",'binhba (2016)'!$A$3,"MA_HT","DRA","MA_QH","LUN")</f>
        <v>0</v>
      </c>
      <c r="J43" s="22">
        <f ca="1">+GETPIVOTDATA("XBB4",'binhba (2016)'!$A$3,"MA_HT","DRA","MA_QH","HNK")</f>
        <v>0</v>
      </c>
      <c r="K43" s="22">
        <f ca="1">+GETPIVOTDATA("XBB4",'binhba (2016)'!$A$3,"MA_HT","DRA","MA_QH","CLN")</f>
        <v>0</v>
      </c>
      <c r="L43" s="22">
        <f ca="1">+GETPIVOTDATA("XBB4",'binhba (2016)'!$A$3,"MA_HT","DRA","MA_QH","RSX")</f>
        <v>0</v>
      </c>
      <c r="M43" s="22">
        <f ca="1">+GETPIVOTDATA("XBB4",'binhba (2016)'!$A$3,"MA_HT","DRA","MA_QH","RPH")</f>
        <v>0</v>
      </c>
      <c r="N43" s="22">
        <f ca="1">+GETPIVOTDATA("XBB4",'binhba (2016)'!$A$3,"MA_HT","DRA","MA_QH","RDD")</f>
        <v>0</v>
      </c>
      <c r="O43" s="22">
        <f ca="1">+GETPIVOTDATA("XBB4",'binhba (2016)'!$A$3,"MA_HT","DRA","MA_QH","NTS")</f>
        <v>0</v>
      </c>
      <c r="P43" s="22">
        <f ca="1">+GETPIVOTDATA("XBB4",'binhba (2016)'!$A$3,"MA_HT","DRA","MA_QH","LMU")</f>
        <v>0</v>
      </c>
      <c r="Q43" s="22">
        <f ca="1">+GETPIVOTDATA("XBB4",'binhba (2016)'!$A$3,"MA_HT","DRA","MA_QH","NKH")</f>
        <v>0</v>
      </c>
      <c r="R43" s="79">
        <f ca="1">SUM(S43:AA43,AN43:AO43,AQ43:BD43)</f>
        <v>0</v>
      </c>
      <c r="S43" s="22">
        <f ca="1">+GETPIVOTDATA("XBB4",'binhba (2016)'!$A$3,"MA_HT","DRA","MA_QH","CQP")</f>
        <v>0</v>
      </c>
      <c r="T43" s="22">
        <f ca="1">+GETPIVOTDATA("XBB4",'binhba (2016)'!$A$3,"MA_HT","DRA","MA_QH","CAN")</f>
        <v>0</v>
      </c>
      <c r="U43" s="22">
        <f ca="1">+GETPIVOTDATA("XBB4",'binhba (2016)'!$A$3,"MA_HT","DRA","MA_QH","SKK")</f>
        <v>0</v>
      </c>
      <c r="V43" s="22">
        <f ca="1">+GETPIVOTDATA("XBB4",'binhba (2016)'!$A$3,"MA_HT","DRA","MA_QH","SKT")</f>
        <v>0</v>
      </c>
      <c r="W43" s="22">
        <f ca="1">+GETPIVOTDATA("XBB4",'binhba (2016)'!$A$3,"MA_HT","DRA","MA_QH","SKN")</f>
        <v>0</v>
      </c>
      <c r="X43" s="22">
        <f ca="1">+GETPIVOTDATA("XBB4",'binhba (2016)'!$A$3,"MA_HT","DRA","MA_QH","TMD")</f>
        <v>0</v>
      </c>
      <c r="Y43" s="22">
        <f ca="1">+GETPIVOTDATA("XBB4",'binhba (2016)'!$A$3,"MA_HT","DRA","MA_QH","SKC")</f>
        <v>0</v>
      </c>
      <c r="Z43" s="22">
        <f ca="1">+GETPIVOTDATA("XBB4",'binhba (2016)'!$A$3,"MA_HT","DRA","MA_QH","SKS")</f>
        <v>0</v>
      </c>
      <c r="AA43" s="52">
        <f ca="1" t="shared" si="21"/>
        <v>0</v>
      </c>
      <c r="AB43" s="22">
        <f ca="1">+GETPIVOTDATA("XBB4",'binhba (2016)'!$A$3,"MA_HT","DRA","MA_QH","DGT")</f>
        <v>0</v>
      </c>
      <c r="AC43" s="22">
        <f ca="1">+GETPIVOTDATA("XBB4",'binhba (2016)'!$A$3,"MA_HT","DRA","MA_QH","DTL")</f>
        <v>0</v>
      </c>
      <c r="AD43" s="22">
        <f ca="1">+GETPIVOTDATA("XBB4",'binhba (2016)'!$A$3,"MA_HT","DRA","MA_QH","DNL")</f>
        <v>0</v>
      </c>
      <c r="AE43" s="22">
        <f ca="1">+GETPIVOTDATA("XBB4",'binhba (2016)'!$A$3,"MA_HT","DRA","MA_QH","DBV")</f>
        <v>0</v>
      </c>
      <c r="AF43" s="22">
        <f ca="1">+GETPIVOTDATA("XBB4",'binhba (2016)'!$A$3,"MA_HT","DRA","MA_QH","DVH")</f>
        <v>0</v>
      </c>
      <c r="AG43" s="22">
        <f ca="1">+GETPIVOTDATA("XBB4",'binhba (2016)'!$A$3,"MA_HT","DRA","MA_QH","DYT")</f>
        <v>0</v>
      </c>
      <c r="AH43" s="22">
        <f ca="1">+GETPIVOTDATA("XBB4",'binhba (2016)'!$A$3,"MA_HT","DRA","MA_QH","DGD")</f>
        <v>0</v>
      </c>
      <c r="AI43" s="22">
        <f ca="1">+GETPIVOTDATA("XBB4",'binhba (2016)'!$A$3,"MA_HT","DRA","MA_QH","DTT")</f>
        <v>0</v>
      </c>
      <c r="AJ43" s="22">
        <f ca="1">+GETPIVOTDATA("XBB4",'binhba (2016)'!$A$3,"MA_HT","DRA","MA_QH","NCK")</f>
        <v>0</v>
      </c>
      <c r="AK43" s="22">
        <f ca="1">+GETPIVOTDATA("XBB4",'binhba (2016)'!$A$3,"MA_HT","DRA","MA_QH","DXH")</f>
        <v>0</v>
      </c>
      <c r="AL43" s="22">
        <f ca="1">+GETPIVOTDATA("XBB4",'binhba (2016)'!$A$3,"MA_HT","DRA","MA_QH","DCH")</f>
        <v>0</v>
      </c>
      <c r="AM43" s="22">
        <f ca="1">+GETPIVOTDATA("XBB4",'binhba (2016)'!$A$3,"MA_HT","DRA","MA_QH","DKG")</f>
        <v>0</v>
      </c>
      <c r="AN43" s="22">
        <f ca="1">+GETPIVOTDATA("XBB4",'binhba (2016)'!$A$3,"MA_HT","DRA","MA_QH","DDT")</f>
        <v>0</v>
      </c>
      <c r="AO43" s="22">
        <f ca="1">+GETPIVOTDATA("XBB4",'binhba (2016)'!$A$3,"MA_HT","DRA","MA_QH","DDL")</f>
        <v>0</v>
      </c>
      <c r="AP43" s="43" t="e">
        <f ca="1">$D43-$BF43</f>
        <v>#REF!</v>
      </c>
      <c r="AQ43" s="22">
        <f ca="1">+GETPIVOTDATA("XBB4",'binhba (2016)'!$A$3,"MA_HT","DRA","MA_QH","ONT")</f>
        <v>0</v>
      </c>
      <c r="AR43" s="22">
        <f ca="1">+GETPIVOTDATA("XBB4",'binhba (2016)'!$A$3,"MA_HT","DRA","MA_QH","ODT")</f>
        <v>0</v>
      </c>
      <c r="AS43" s="22">
        <f ca="1">+GETPIVOTDATA("XBB4",'binhba (2016)'!$A$3,"MA_HT","DRA","MA_QH","TSC")</f>
        <v>0</v>
      </c>
      <c r="AT43" s="22">
        <f ca="1">+GETPIVOTDATA("XBB4",'binhba (2016)'!$A$3,"MA_HT","DRA","MA_QH","DTS")</f>
        <v>0</v>
      </c>
      <c r="AU43" s="22">
        <f ca="1">+GETPIVOTDATA("XBB4",'binhba (2016)'!$A$3,"MA_HT","DRA","MA_QH","DNG")</f>
        <v>0</v>
      </c>
      <c r="AV43" s="22">
        <f ca="1">+GETPIVOTDATA("XBB4",'binhba (2016)'!$A$3,"MA_HT","DRA","MA_QH","TON")</f>
        <v>0</v>
      </c>
      <c r="AW43" s="22">
        <f ca="1">+GETPIVOTDATA("XBB4",'binhba (2016)'!$A$3,"MA_HT","DRA","MA_QH","NTD")</f>
        <v>0</v>
      </c>
      <c r="AX43" s="22">
        <f ca="1">+GETPIVOTDATA("XBB4",'binhba (2016)'!$A$3,"MA_HT","DRA","MA_QH","SKX")</f>
        <v>0</v>
      </c>
      <c r="AY43" s="22">
        <f ca="1">+GETPIVOTDATA("XBB4",'binhba (2016)'!$A$3,"MA_HT","DRA","MA_QH","DSH")</f>
        <v>0</v>
      </c>
      <c r="AZ43" s="22">
        <f ca="1">+GETPIVOTDATA("XBB4",'binhba (2016)'!$A$3,"MA_HT","DRA","MA_QH","DKV")</f>
        <v>0</v>
      </c>
      <c r="BA43" s="89">
        <f ca="1">+GETPIVOTDATA("XBB4",'binhba (2016)'!$A$3,"MA_HT","DRA","MA_QH","TIN")</f>
        <v>0</v>
      </c>
      <c r="BB43" s="50">
        <f ca="1">+GETPIVOTDATA("XBB4",'binhba (2016)'!$A$3,"MA_HT","DRA","MA_QH","SON")</f>
        <v>0</v>
      </c>
      <c r="BC43" s="50">
        <f ca="1">+GETPIVOTDATA("XBB4",'binhba (2016)'!$A$3,"MA_HT","DRA","MA_QH","MNC")</f>
        <v>0</v>
      </c>
      <c r="BD43" s="22">
        <f ca="1">+GETPIVOTDATA("XBB4",'binhba (2016)'!$A$3,"MA_HT","DRA","MA_QH","PNK")</f>
        <v>0</v>
      </c>
      <c r="BE43" s="71">
        <f ca="1">+GETPIVOTDATA("XBB4",'binhba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+GETPIVOTDATA("XBB4",'binhba (2016)'!$A$3,"MA_HT","ONT","MA_QH","LUC")</f>
        <v>0</v>
      </c>
      <c r="H44" s="22">
        <f ca="1">+GETPIVOTDATA("XBB4",'binhba (2016)'!$A$3,"MA_HT","ONT","MA_QH","LUK")</f>
        <v>0</v>
      </c>
      <c r="I44" s="22">
        <f ca="1">+GETPIVOTDATA("XBB4",'binhba (2016)'!$A$3,"MA_HT","ONT","MA_QH","LUN")</f>
        <v>0</v>
      </c>
      <c r="J44" s="22">
        <f ca="1">+GETPIVOTDATA("XBB4",'binhba (2016)'!$A$3,"MA_HT","ONT","MA_QH","HNK")</f>
        <v>0</v>
      </c>
      <c r="K44" s="22">
        <f ca="1">+GETPIVOTDATA("XBB4",'binhba (2016)'!$A$3,"MA_HT","ONT","MA_QH","CLN")</f>
        <v>0</v>
      </c>
      <c r="L44" s="22">
        <f ca="1">+GETPIVOTDATA("XBB4",'binhba (2016)'!$A$3,"MA_HT","ONT","MA_QH","RSX")</f>
        <v>0</v>
      </c>
      <c r="M44" s="22">
        <f ca="1">+GETPIVOTDATA("XBB4",'binhba (2016)'!$A$3,"MA_HT","ONT","MA_QH","RPH")</f>
        <v>0</v>
      </c>
      <c r="N44" s="22">
        <f ca="1">+GETPIVOTDATA("XBB4",'binhba (2016)'!$A$3,"MA_HT","ONT","MA_QH","RDD")</f>
        <v>0</v>
      </c>
      <c r="O44" s="22">
        <f ca="1">+GETPIVOTDATA("XBB4",'binhba (2016)'!$A$3,"MA_HT","ONT","MA_QH","NTS")</f>
        <v>0</v>
      </c>
      <c r="P44" s="22">
        <f ca="1">+GETPIVOTDATA("XBB4",'binhba (2016)'!$A$3,"MA_HT","ONT","MA_QH","LMU")</f>
        <v>0</v>
      </c>
      <c r="Q44" s="22">
        <f ca="1">+GETPIVOTDATA("XBB4",'binhba (2016)'!$A$3,"MA_HT","ONT","MA_QH","NKH")</f>
        <v>0</v>
      </c>
      <c r="R44" s="79">
        <f ca="1">SUM(S44:AA44,AN44:AP44,AR44:BD44)</f>
        <v>0</v>
      </c>
      <c r="S44" s="22">
        <f ca="1">+GETPIVOTDATA("XBB4",'binhba (2016)'!$A$3,"MA_HT","ONT","MA_QH","CQP")</f>
        <v>0</v>
      </c>
      <c r="T44" s="22">
        <f ca="1">+GETPIVOTDATA("XBB4",'binhba (2016)'!$A$3,"MA_HT","ONT","MA_QH","CAN")</f>
        <v>0</v>
      </c>
      <c r="U44" s="22">
        <f ca="1">+GETPIVOTDATA("XBB4",'binhba (2016)'!$A$3,"MA_HT","ONT","MA_QH","SKK")</f>
        <v>0</v>
      </c>
      <c r="V44" s="22">
        <f ca="1">+GETPIVOTDATA("XBB4",'binhba (2016)'!$A$3,"MA_HT","ONT","MA_QH","SKT")</f>
        <v>0</v>
      </c>
      <c r="W44" s="22">
        <f ca="1">+GETPIVOTDATA("XBB4",'binhba (2016)'!$A$3,"MA_HT","ONT","MA_QH","SKN")</f>
        <v>0</v>
      </c>
      <c r="X44" s="22">
        <f ca="1">+GETPIVOTDATA("XBB4",'binhba (2016)'!$A$3,"MA_HT","ONT","MA_QH","TMD")</f>
        <v>0</v>
      </c>
      <c r="Y44" s="22">
        <f ca="1">+GETPIVOTDATA("XBB4",'binhba (2016)'!$A$3,"MA_HT","ONT","MA_QH","SKC")</f>
        <v>0</v>
      </c>
      <c r="Z44" s="22">
        <f ca="1">+GETPIVOTDATA("XBB4",'binhba (2016)'!$A$3,"MA_HT","ONT","MA_QH","SKS")</f>
        <v>0</v>
      </c>
      <c r="AA44" s="52">
        <f ca="1" t="shared" si="21"/>
        <v>0</v>
      </c>
      <c r="AB44" s="22">
        <f ca="1">+GETPIVOTDATA("XBB4",'binhba (2016)'!$A$3,"MA_HT","ONT","MA_QH","DGT")</f>
        <v>0</v>
      </c>
      <c r="AC44" s="22">
        <f ca="1">+GETPIVOTDATA("XBB4",'binhba (2016)'!$A$3,"MA_HT","ONT","MA_QH","DTL")</f>
        <v>0</v>
      </c>
      <c r="AD44" s="22">
        <f ca="1">+GETPIVOTDATA("XBB4",'binhba (2016)'!$A$3,"MA_HT","ONT","MA_QH","DNL")</f>
        <v>0</v>
      </c>
      <c r="AE44" s="22">
        <f ca="1">+GETPIVOTDATA("XBB4",'binhba (2016)'!$A$3,"MA_HT","ONT","MA_QH","DBV")</f>
        <v>0</v>
      </c>
      <c r="AF44" s="22">
        <f ca="1">+GETPIVOTDATA("XBB4",'binhba (2016)'!$A$3,"MA_HT","ONT","MA_QH","DVH")</f>
        <v>0</v>
      </c>
      <c r="AG44" s="22">
        <f ca="1">+GETPIVOTDATA("XBB4",'binhba (2016)'!$A$3,"MA_HT","ONT","MA_QH","DYT")</f>
        <v>0</v>
      </c>
      <c r="AH44" s="22">
        <f ca="1">+GETPIVOTDATA("XBB4",'binhba (2016)'!$A$3,"MA_HT","ONT","MA_QH","DGD")</f>
        <v>0</v>
      </c>
      <c r="AI44" s="22">
        <f ca="1">+GETPIVOTDATA("XBB4",'binhba (2016)'!$A$3,"MA_HT","ONT","MA_QH","DTT")</f>
        <v>0</v>
      </c>
      <c r="AJ44" s="22">
        <f ca="1">+GETPIVOTDATA("XBB4",'binhba (2016)'!$A$3,"MA_HT","ONT","MA_QH","NCK")</f>
        <v>0</v>
      </c>
      <c r="AK44" s="22">
        <f ca="1">+GETPIVOTDATA("XBB4",'binhba (2016)'!$A$3,"MA_HT","ONT","MA_QH","DXH")</f>
        <v>0</v>
      </c>
      <c r="AL44" s="22">
        <f ca="1">+GETPIVOTDATA("XBB4",'binhba (2016)'!$A$3,"MA_HT","ONT","MA_QH","DCH")</f>
        <v>0</v>
      </c>
      <c r="AM44" s="22">
        <f ca="1">+GETPIVOTDATA("XBB4",'binhba (2016)'!$A$3,"MA_HT","ONT","MA_QH","DKG")</f>
        <v>0</v>
      </c>
      <c r="AN44" s="22">
        <f ca="1">+GETPIVOTDATA("XBB4",'binhba (2016)'!$A$3,"MA_HT","ONT","MA_QH","DDT")</f>
        <v>0</v>
      </c>
      <c r="AO44" s="22">
        <f ca="1">+GETPIVOTDATA("XBB4",'binhba (2016)'!$A$3,"MA_HT","ONT","MA_QH","DDL")</f>
        <v>0</v>
      </c>
      <c r="AP44" s="22">
        <f ca="1">+GETPIVOTDATA("XBB4",'binhba (2016)'!$A$3,"MA_HT","ONT","MA_QH","DRA")</f>
        <v>0</v>
      </c>
      <c r="AQ44" s="43" t="e">
        <f ca="1">$D44-$BF44</f>
        <v>#REF!</v>
      </c>
      <c r="AR44" s="22">
        <f ca="1">+GETPIVOTDATA("XBB4",'binhba (2016)'!$A$3,"MA_HT","ONT","MA_QH","ODT")</f>
        <v>0</v>
      </c>
      <c r="AS44" s="22">
        <f ca="1">+GETPIVOTDATA("XBB4",'binhba (2016)'!$A$3,"MA_HT","ONT","MA_QH","TSC")</f>
        <v>0</v>
      </c>
      <c r="AT44" s="22">
        <f ca="1">+GETPIVOTDATA("XBB4",'binhba (2016)'!$A$3,"MA_HT","ONT","MA_QH","DTS")</f>
        <v>0</v>
      </c>
      <c r="AU44" s="22">
        <f ca="1">+GETPIVOTDATA("XBB4",'binhba (2016)'!$A$3,"MA_HT","ONT","MA_QH","DNG")</f>
        <v>0</v>
      </c>
      <c r="AV44" s="22">
        <f ca="1">+GETPIVOTDATA("XBB4",'binhba (2016)'!$A$3,"MA_HT","ONT","MA_QH","TON")</f>
        <v>0</v>
      </c>
      <c r="AW44" s="22">
        <f ca="1">+GETPIVOTDATA("XBB4",'binhba (2016)'!$A$3,"MA_HT","ONT","MA_QH","NTD")</f>
        <v>0</v>
      </c>
      <c r="AX44" s="22">
        <f ca="1">+GETPIVOTDATA("XBB4",'binhba (2016)'!$A$3,"MA_HT","ONT","MA_QH","SKX")</f>
        <v>0</v>
      </c>
      <c r="AY44" s="22">
        <f ca="1">+GETPIVOTDATA("XBB4",'binhba (2016)'!$A$3,"MA_HT","ONT","MA_QH","DSH")</f>
        <v>0</v>
      </c>
      <c r="AZ44" s="22">
        <f ca="1">+GETPIVOTDATA("XBB4",'binhba (2016)'!$A$3,"MA_HT","ONT","MA_QH","DKV")</f>
        <v>0</v>
      </c>
      <c r="BA44" s="89">
        <f ca="1">+GETPIVOTDATA("XBB4",'binhba (2016)'!$A$3,"MA_HT","ONT","MA_QH","TIN")</f>
        <v>0</v>
      </c>
      <c r="BB44" s="50">
        <f ca="1">+GETPIVOTDATA("XBB4",'binhba (2016)'!$A$3,"MA_HT","ONT","MA_QH","SON")</f>
        <v>0</v>
      </c>
      <c r="BC44" s="50">
        <f ca="1">+GETPIVOTDATA("XBB4",'binhba (2016)'!$A$3,"MA_HT","ONT","MA_QH","MNC")</f>
        <v>0</v>
      </c>
      <c r="BD44" s="22">
        <f ca="1">+GETPIVOTDATA("XBB4",'binhba (2016)'!$A$3,"MA_HT","ONT","MA_QH","PNK")</f>
        <v>0</v>
      </c>
      <c r="BE44" s="71">
        <f ca="1">+GETPIVOTDATA("XBB4",'binhba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+GETPIVOTDATA("XBB4",'binhba (2016)'!$A$3,"MA_HT","ODT","MA_QH","LUC")</f>
        <v>0</v>
      </c>
      <c r="H45" s="67">
        <f ca="1">+GETPIVOTDATA("XBB4",'binhba (2016)'!$A$3,"MA_HT","ODT","MA_QH","LUK")</f>
        <v>0</v>
      </c>
      <c r="I45" s="67">
        <f ca="1">+GETPIVOTDATA("XBB4",'binhba (2016)'!$A$3,"MA_HT","ODT","MA_QH","LUN")</f>
        <v>0</v>
      </c>
      <c r="J45" s="67">
        <f ca="1">+GETPIVOTDATA("XBB4",'binhba (2016)'!$A$3,"MA_HT","ODT","MA_QH","HNK")</f>
        <v>0</v>
      </c>
      <c r="K45" s="67">
        <f ca="1">+GETPIVOTDATA("XBB4",'binhba (2016)'!$A$3,"MA_HT","ODT","MA_QH","CLN")</f>
        <v>0</v>
      </c>
      <c r="L45" s="67">
        <f ca="1">+GETPIVOTDATA("XBB4",'binhba (2016)'!$A$3,"MA_HT","ODT","MA_QH","RSX")</f>
        <v>0</v>
      </c>
      <c r="M45" s="67">
        <f ca="1">+GETPIVOTDATA("XBB4",'binhba (2016)'!$A$3,"MA_HT","ODT","MA_QH","RPH")</f>
        <v>0</v>
      </c>
      <c r="N45" s="67">
        <f ca="1">+GETPIVOTDATA("XBB4",'binhba (2016)'!$A$3,"MA_HT","ODT","MA_QH","RDD")</f>
        <v>0</v>
      </c>
      <c r="O45" s="67">
        <f ca="1">+GETPIVOTDATA("XBB4",'binhba (2016)'!$A$3,"MA_HT","ODT","MA_QH","NTS")</f>
        <v>0</v>
      </c>
      <c r="P45" s="67">
        <f ca="1">+GETPIVOTDATA("XBB4",'binhba (2016)'!$A$3,"MA_HT","ODT","MA_QH","LMU")</f>
        <v>0</v>
      </c>
      <c r="Q45" s="67">
        <f ca="1">+GETPIVOTDATA("XBB4",'binhba (2016)'!$A$3,"MA_HT","ODT","MA_QH","NKH")</f>
        <v>0</v>
      </c>
      <c r="R45" s="79">
        <f ca="1">SUM(S45:AA45,AN45:AQ45,AS45:BD45)</f>
        <v>0</v>
      </c>
      <c r="S45" s="67">
        <f ca="1">+GETPIVOTDATA("XBB4",'binhba (2016)'!$A$3,"MA_HT","ODT","MA_QH","CQP")</f>
        <v>0</v>
      </c>
      <c r="T45" s="67">
        <f ca="1">+GETPIVOTDATA("XBB4",'binhba (2016)'!$A$3,"MA_HT","ODT","MA_QH","CAN")</f>
        <v>0</v>
      </c>
      <c r="U45" s="67">
        <f ca="1">+GETPIVOTDATA("XBB4",'binhba (2016)'!$A$3,"MA_HT","ODT","MA_QH","SKK")</f>
        <v>0</v>
      </c>
      <c r="V45" s="67">
        <f ca="1">+GETPIVOTDATA("XBB4",'binhba (2016)'!$A$3,"MA_HT","ODT","MA_QH","SKT")</f>
        <v>0</v>
      </c>
      <c r="W45" s="67">
        <f ca="1">+GETPIVOTDATA("XBB4",'binhba (2016)'!$A$3,"MA_HT","ODT","MA_QH","SKN")</f>
        <v>0</v>
      </c>
      <c r="X45" s="67">
        <f ca="1">+GETPIVOTDATA("XBB4",'binhba (2016)'!$A$3,"MA_HT","ODT","MA_QH","TMD")</f>
        <v>0</v>
      </c>
      <c r="Y45" s="67">
        <f ca="1">+GETPIVOTDATA("XBB4",'binhba (2016)'!$A$3,"MA_HT","ODT","MA_QH","SKC")</f>
        <v>0</v>
      </c>
      <c r="Z45" s="67">
        <f ca="1">+GETPIVOTDATA("XBB4",'binhba (2016)'!$A$3,"MA_HT","ODT","MA_QH","SKS")</f>
        <v>0</v>
      </c>
      <c r="AA45" s="66">
        <f ca="1" t="shared" si="21"/>
        <v>0</v>
      </c>
      <c r="AB45" s="67">
        <f ca="1">+GETPIVOTDATA("XBB4",'binhba (2016)'!$A$3,"MA_HT","ODT","MA_QH","DGT")</f>
        <v>0</v>
      </c>
      <c r="AC45" s="67">
        <f ca="1">+GETPIVOTDATA("XBB4",'binhba (2016)'!$A$3,"MA_HT","ODT","MA_QH","DTL")</f>
        <v>0</v>
      </c>
      <c r="AD45" s="67">
        <f ca="1">+GETPIVOTDATA("XBB4",'binhba (2016)'!$A$3,"MA_HT","ODT","MA_QH","DNL")</f>
        <v>0</v>
      </c>
      <c r="AE45" s="67">
        <f ca="1">+GETPIVOTDATA("XBB4",'binhba (2016)'!$A$3,"MA_HT","ODT","MA_QH","DBV")</f>
        <v>0</v>
      </c>
      <c r="AF45" s="67">
        <f ca="1">+GETPIVOTDATA("XBB4",'binhba (2016)'!$A$3,"MA_HT","ODT","MA_QH","DVH")</f>
        <v>0</v>
      </c>
      <c r="AG45" s="67">
        <f ca="1">+GETPIVOTDATA("XBB4",'binhba (2016)'!$A$3,"MA_HT","ODT","MA_QH","DYT")</f>
        <v>0</v>
      </c>
      <c r="AH45" s="67">
        <f ca="1">+GETPIVOTDATA("XBB4",'binhba (2016)'!$A$3,"MA_HT","ODT","MA_QH","DGD")</f>
        <v>0</v>
      </c>
      <c r="AI45" s="67">
        <f ca="1">+GETPIVOTDATA("XBB4",'binhba (2016)'!$A$3,"MA_HT","ODT","MA_QH","DTT")</f>
        <v>0</v>
      </c>
      <c r="AJ45" s="67">
        <f ca="1">+GETPIVOTDATA("XBB4",'binhba (2016)'!$A$3,"MA_HT","ODT","MA_QH","NCK")</f>
        <v>0</v>
      </c>
      <c r="AK45" s="67">
        <f ca="1">+GETPIVOTDATA("XBB4",'binhba (2016)'!$A$3,"MA_HT","ODT","MA_QH","DXH")</f>
        <v>0</v>
      </c>
      <c r="AL45" s="67">
        <f ca="1">+GETPIVOTDATA("XBB4",'binhba (2016)'!$A$3,"MA_HT","ODT","MA_QH","DCH")</f>
        <v>0</v>
      </c>
      <c r="AM45" s="67">
        <f ca="1">+GETPIVOTDATA("XBB4",'binhba (2016)'!$A$3,"MA_HT","ODT","MA_QH","DKG")</f>
        <v>0</v>
      </c>
      <c r="AN45" s="67">
        <f ca="1">+GETPIVOTDATA("XBB4",'binhba (2016)'!$A$3,"MA_HT","ODT","MA_QH","DDT")</f>
        <v>0</v>
      </c>
      <c r="AO45" s="67">
        <f ca="1">+GETPIVOTDATA("XBB4",'binhba (2016)'!$A$3,"MA_HT","ODT","MA_QH","DDL")</f>
        <v>0</v>
      </c>
      <c r="AP45" s="67">
        <f ca="1">+GETPIVOTDATA("XBB4",'binhba (2016)'!$A$3,"MA_HT","ODT","MA_QH","DRA")</f>
        <v>0</v>
      </c>
      <c r="AQ45" s="67">
        <f ca="1">+GETPIVOTDATA("XBB4",'binhba (2016)'!$A$3,"MA_HT","ODT","MA_QH","ONT")</f>
        <v>0</v>
      </c>
      <c r="AR45" s="82" t="e">
        <f ca="1">$D45-$BF45</f>
        <v>#REF!</v>
      </c>
      <c r="AS45" s="67">
        <f ca="1">+GETPIVOTDATA("XBB4",'binhba (2016)'!$A$3,"MA_HT","ODT","MA_QH","TSC")</f>
        <v>0</v>
      </c>
      <c r="AT45" s="67">
        <f ca="1">+GETPIVOTDATA("XBB4",'binhba (2016)'!$A$3,"MA_HT","ODT","MA_QH","DTS")</f>
        <v>0</v>
      </c>
      <c r="AU45" s="67">
        <f ca="1">+GETPIVOTDATA("XBB4",'binhba (2016)'!$A$3,"MA_HT","ODT","MA_QH","DNG")</f>
        <v>0</v>
      </c>
      <c r="AV45" s="67">
        <f ca="1">+GETPIVOTDATA("XBB4",'binhba (2016)'!$A$3,"MA_HT","ODT","MA_QH","TON")</f>
        <v>0</v>
      </c>
      <c r="AW45" s="67">
        <f ca="1">+GETPIVOTDATA("XBB4",'binhba (2016)'!$A$3,"MA_HT","ODT","MA_QH","NTD")</f>
        <v>0</v>
      </c>
      <c r="AX45" s="67">
        <f ca="1">+GETPIVOTDATA("XBB4",'binhba (2016)'!$A$3,"MA_HT","ODT","MA_QH","SKX")</f>
        <v>0</v>
      </c>
      <c r="AY45" s="67">
        <f ca="1">+GETPIVOTDATA("XBB4",'binhba (2016)'!$A$3,"MA_HT","ODT","MA_QH","DSH")</f>
        <v>0</v>
      </c>
      <c r="AZ45" s="67">
        <f ca="1">+GETPIVOTDATA("XBB4",'binhba (2016)'!$A$3,"MA_HT","ODT","MA_QH","DKV")</f>
        <v>0</v>
      </c>
      <c r="BA45" s="92">
        <f ca="1">+GETPIVOTDATA("XBB4",'binhba (2016)'!$A$3,"MA_HT","ODT","MA_QH","TIN")</f>
        <v>0</v>
      </c>
      <c r="BB45" s="93">
        <f ca="1">+GETPIVOTDATA("XBB4",'binhba (2016)'!$A$3,"MA_HT","ODT","MA_QH","SON")</f>
        <v>0</v>
      </c>
      <c r="BC45" s="93">
        <f ca="1">+GETPIVOTDATA("XBB4",'binhba (2016)'!$A$3,"MA_HT","ODT","MA_QH","MNC")</f>
        <v>0</v>
      </c>
      <c r="BD45" s="67">
        <f ca="1">+GETPIVOTDATA("XBB4",'binhba (2016)'!$A$3,"MA_HT","ODT","MA_QH","PNK")</f>
        <v>0</v>
      </c>
      <c r="BE45" s="116">
        <f ca="1">+GETPIVOTDATA("XBB4",'binhba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+GETPIVOTDATA("XBB4",'binhba (2016)'!$A$3,"MA_HT","TSC","MA_QH","LUC")</f>
        <v>0</v>
      </c>
      <c r="H46" s="22">
        <f ca="1">+GETPIVOTDATA("XBB4",'binhba (2016)'!$A$3,"MA_HT","TSC","MA_QH","LUK")</f>
        <v>0</v>
      </c>
      <c r="I46" s="22">
        <f ca="1">+GETPIVOTDATA("XBB4",'binhba (2016)'!$A$3,"MA_HT","TSC","MA_QH","LUN")</f>
        <v>0</v>
      </c>
      <c r="J46" s="22">
        <f ca="1">+GETPIVOTDATA("XBB4",'binhba (2016)'!$A$3,"MA_HT","TSC","MA_QH","HNK")</f>
        <v>0</v>
      </c>
      <c r="K46" s="22">
        <f ca="1">+GETPIVOTDATA("XBB4",'binhba (2016)'!$A$3,"MA_HT","TSC","MA_QH","CLN")</f>
        <v>0</v>
      </c>
      <c r="L46" s="22">
        <f ca="1">+GETPIVOTDATA("XBB4",'binhba (2016)'!$A$3,"MA_HT","TSC","MA_QH","RSX")</f>
        <v>0</v>
      </c>
      <c r="M46" s="22">
        <f ca="1">+GETPIVOTDATA("XBB4",'binhba (2016)'!$A$3,"MA_HT","TSC","MA_QH","RPH")</f>
        <v>0</v>
      </c>
      <c r="N46" s="22">
        <f ca="1">+GETPIVOTDATA("XBB4",'binhba (2016)'!$A$3,"MA_HT","TSC","MA_QH","RDD")</f>
        <v>0</v>
      </c>
      <c r="O46" s="22">
        <f ca="1">+GETPIVOTDATA("XBB4",'binhba (2016)'!$A$3,"MA_HT","TSC","MA_QH","NTS")</f>
        <v>0</v>
      </c>
      <c r="P46" s="22">
        <f ca="1">+GETPIVOTDATA("XBB4",'binhba (2016)'!$A$3,"MA_HT","TSC","MA_QH","LMU")</f>
        <v>0</v>
      </c>
      <c r="Q46" s="22">
        <f ca="1">+GETPIVOTDATA("XBB4",'binhba (2016)'!$A$3,"MA_HT","TSC","MA_QH","NKH")</f>
        <v>0</v>
      </c>
      <c r="R46" s="48">
        <f ca="1">SUM(S46:AA46,AN46:AR46,AT46:BD46)</f>
        <v>0</v>
      </c>
      <c r="S46" s="22">
        <f ca="1">+GETPIVOTDATA("XBB4",'binhba (2016)'!$A$3,"MA_HT","TSC","MA_QH","CQP")</f>
        <v>0</v>
      </c>
      <c r="T46" s="22">
        <f ca="1">+GETPIVOTDATA("XBB4",'binhba (2016)'!$A$3,"MA_HT","TSC","MA_QH","CAN")</f>
        <v>0</v>
      </c>
      <c r="U46" s="22">
        <f ca="1">+GETPIVOTDATA("XBB4",'binhba (2016)'!$A$3,"MA_HT","TSC","MA_QH","SKK")</f>
        <v>0</v>
      </c>
      <c r="V46" s="22">
        <f ca="1">+GETPIVOTDATA("XBB4",'binhba (2016)'!$A$3,"MA_HT","TSC","MA_QH","SKT")</f>
        <v>0</v>
      </c>
      <c r="W46" s="22">
        <f ca="1">+GETPIVOTDATA("XBB4",'binhba (2016)'!$A$3,"MA_HT","TSC","MA_QH","SKN")</f>
        <v>0</v>
      </c>
      <c r="X46" s="22">
        <f ca="1">+GETPIVOTDATA("XBB4",'binhba (2016)'!$A$3,"MA_HT","TSC","MA_QH","TMD")</f>
        <v>0</v>
      </c>
      <c r="Y46" s="22">
        <f ca="1">+GETPIVOTDATA("XBB4",'binhba (2016)'!$A$3,"MA_HT","TSC","MA_QH","SKC")</f>
        <v>0</v>
      </c>
      <c r="Z46" s="22">
        <f ca="1">+GETPIVOTDATA("XBB4",'binhba (2016)'!$A$3,"MA_HT","TSC","MA_QH","SKS")</f>
        <v>0</v>
      </c>
      <c r="AA46" s="52">
        <f ca="1" t="shared" si="21"/>
        <v>0</v>
      </c>
      <c r="AB46" s="22">
        <f ca="1">+GETPIVOTDATA("XBB4",'binhba (2016)'!$A$3,"MA_HT","TSC","MA_QH","DGT")</f>
        <v>0</v>
      </c>
      <c r="AC46" s="22">
        <f ca="1">+GETPIVOTDATA("XBB4",'binhba (2016)'!$A$3,"MA_HT","TSC","MA_QH","DTL")</f>
        <v>0</v>
      </c>
      <c r="AD46" s="22">
        <f ca="1">+GETPIVOTDATA("XBB4",'binhba (2016)'!$A$3,"MA_HT","TSC","MA_QH","DNL")</f>
        <v>0</v>
      </c>
      <c r="AE46" s="22">
        <f ca="1">+GETPIVOTDATA("XBB4",'binhba (2016)'!$A$3,"MA_HT","TSC","MA_QH","DBV")</f>
        <v>0</v>
      </c>
      <c r="AF46" s="22">
        <f ca="1">+GETPIVOTDATA("XBB4",'binhba (2016)'!$A$3,"MA_HT","TSC","MA_QH","DVH")</f>
        <v>0</v>
      </c>
      <c r="AG46" s="22">
        <f ca="1">+GETPIVOTDATA("XBB4",'binhba (2016)'!$A$3,"MA_HT","TSC","MA_QH","DYT")</f>
        <v>0</v>
      </c>
      <c r="AH46" s="22">
        <f ca="1">+GETPIVOTDATA("XBB4",'binhba (2016)'!$A$3,"MA_HT","TSC","MA_QH","DGD")</f>
        <v>0</v>
      </c>
      <c r="AI46" s="22">
        <f ca="1">+GETPIVOTDATA("XBB4",'binhba (2016)'!$A$3,"MA_HT","TSC","MA_QH","DTT")</f>
        <v>0</v>
      </c>
      <c r="AJ46" s="22">
        <f ca="1">+GETPIVOTDATA("XBB4",'binhba (2016)'!$A$3,"MA_HT","TSC","MA_QH","NCK")</f>
        <v>0</v>
      </c>
      <c r="AK46" s="22">
        <f ca="1">+GETPIVOTDATA("XBB4",'binhba (2016)'!$A$3,"MA_HT","TSC","MA_QH","DXH")</f>
        <v>0</v>
      </c>
      <c r="AL46" s="22">
        <f ca="1">+GETPIVOTDATA("XBB4",'binhba (2016)'!$A$3,"MA_HT","TSC","MA_QH","DCH")</f>
        <v>0</v>
      </c>
      <c r="AM46" s="22">
        <f ca="1">+GETPIVOTDATA("XBB4",'binhba (2016)'!$A$3,"MA_HT","TSC","MA_QH","DKG")</f>
        <v>0</v>
      </c>
      <c r="AN46" s="22">
        <f ca="1">+GETPIVOTDATA("XBB4",'binhba (2016)'!$A$3,"MA_HT","TSC","MA_QH","DDT")</f>
        <v>0</v>
      </c>
      <c r="AO46" s="22">
        <f ca="1">+GETPIVOTDATA("XBB4",'binhba (2016)'!$A$3,"MA_HT","TSC","MA_QH","DDL")</f>
        <v>0</v>
      </c>
      <c r="AP46" s="22">
        <f ca="1">+GETPIVOTDATA("XBB4",'binhba (2016)'!$A$3,"MA_HT","TSC","MA_QH","DRA")</f>
        <v>0</v>
      </c>
      <c r="AQ46" s="22">
        <f ca="1">+GETPIVOTDATA("XBB4",'binhba (2016)'!$A$3,"MA_HT","TSC","MA_QH","ONT")</f>
        <v>0</v>
      </c>
      <c r="AR46" s="22">
        <f ca="1">+GETPIVOTDATA("XBB4",'binhba (2016)'!$A$3,"MA_HT","TSC","MA_QH","ODT")</f>
        <v>0</v>
      </c>
      <c r="AS46" s="43" t="e">
        <f ca="1">$D46-$BF46</f>
        <v>#REF!</v>
      </c>
      <c r="AT46" s="22">
        <f ca="1">+GETPIVOTDATA("XBB4",'binhba (2016)'!$A$3,"MA_HT","TSC","MA_QH","DTS")</f>
        <v>0</v>
      </c>
      <c r="AU46" s="22">
        <f ca="1">+GETPIVOTDATA("XBB4",'binhba (2016)'!$A$3,"MA_HT","TSC","MA_QH","DNG")</f>
        <v>0</v>
      </c>
      <c r="AV46" s="22">
        <f ca="1">+GETPIVOTDATA("XBB4",'binhba (2016)'!$A$3,"MA_HT","TSC","MA_QH","TON")</f>
        <v>0</v>
      </c>
      <c r="AW46" s="22">
        <f ca="1">+GETPIVOTDATA("XBB4",'binhba (2016)'!$A$3,"MA_HT","TSC","MA_QH","NTD")</f>
        <v>0</v>
      </c>
      <c r="AX46" s="22">
        <f ca="1">+GETPIVOTDATA("XBB4",'binhba (2016)'!$A$3,"MA_HT","TSC","MA_QH","SKX")</f>
        <v>0</v>
      </c>
      <c r="AY46" s="22">
        <f ca="1">+GETPIVOTDATA("XBB4",'binhba (2016)'!$A$3,"MA_HT","TSC","MA_QH","DSH")</f>
        <v>0</v>
      </c>
      <c r="AZ46" s="22">
        <f ca="1">+GETPIVOTDATA("XBB4",'binhba (2016)'!$A$3,"MA_HT","TSC","MA_QH","DKV")</f>
        <v>0</v>
      </c>
      <c r="BA46" s="89">
        <f ca="1">+GETPIVOTDATA("XBB4",'binhba (2016)'!$A$3,"MA_HT","TSC","MA_QH","TIN")</f>
        <v>0</v>
      </c>
      <c r="BB46" s="50">
        <f ca="1">+GETPIVOTDATA("XBB4",'binhba (2016)'!$A$3,"MA_HT","TSC","MA_QH","SON")</f>
        <v>0</v>
      </c>
      <c r="BC46" s="50">
        <f ca="1">+GETPIVOTDATA("XBB4",'binhba (2016)'!$A$3,"MA_HT","TSC","MA_QH","MNC")</f>
        <v>0</v>
      </c>
      <c r="BD46" s="22">
        <f ca="1">+GETPIVOTDATA("XBB4",'binhba (2016)'!$A$3,"MA_HT","TSC","MA_QH","PNK")</f>
        <v>0</v>
      </c>
      <c r="BE46" s="71">
        <f ca="1">+GETPIVOTDATA("XBB4",'binhba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+GETPIVOTDATA("XBB4",'binhba (2016)'!$A$3,"MA_HT","DTS","MA_QH","LUC")</f>
        <v>0</v>
      </c>
      <c r="H47" s="60">
        <f ca="1">+GETPIVOTDATA("XBB4",'binhba (2016)'!$A$3,"MA_HT","DTS","MA_QH","LUK")</f>
        <v>0</v>
      </c>
      <c r="I47" s="60">
        <f ca="1">+GETPIVOTDATA("XBB4",'binhba (2016)'!$A$3,"MA_HT","DTS","MA_QH","LUN")</f>
        <v>0</v>
      </c>
      <c r="J47" s="60">
        <f ca="1">+GETPIVOTDATA("XBB4",'binhba (2016)'!$A$3,"MA_HT","DTS","MA_QH","HNK")</f>
        <v>0</v>
      </c>
      <c r="K47" s="60">
        <f ca="1">+GETPIVOTDATA("XBB4",'binhba (2016)'!$A$3,"MA_HT","DTS","MA_QH","CLN")</f>
        <v>0</v>
      </c>
      <c r="L47" s="60">
        <f ca="1">+GETPIVOTDATA("XBB4",'binhba (2016)'!$A$3,"MA_HT","DTS","MA_QH","RSX")</f>
        <v>0</v>
      </c>
      <c r="M47" s="60">
        <f ca="1">+GETPIVOTDATA("XBB4",'binhba (2016)'!$A$3,"MA_HT","DTS","MA_QH","RPH")</f>
        <v>0</v>
      </c>
      <c r="N47" s="60">
        <f ca="1">+GETPIVOTDATA("XBB4",'binhba (2016)'!$A$3,"MA_HT","DTS","MA_QH","RDD")</f>
        <v>0</v>
      </c>
      <c r="O47" s="60">
        <f ca="1">+GETPIVOTDATA("XBB4",'binhba (2016)'!$A$3,"MA_HT","DTS","MA_QH","NTS")</f>
        <v>0</v>
      </c>
      <c r="P47" s="60">
        <f ca="1">+GETPIVOTDATA("XBB4",'binhba (2016)'!$A$3,"MA_HT","DTS","MA_QH","LMU")</f>
        <v>0</v>
      </c>
      <c r="Q47" s="60">
        <f ca="1">+GETPIVOTDATA("XBB4",'binhba (2016)'!$A$3,"MA_HT","DTS","MA_QH","NKH")</f>
        <v>0</v>
      </c>
      <c r="R47" s="78">
        <f ca="1">SUM(S47:AA47,AN47:AS47,AU47:BD47)</f>
        <v>0</v>
      </c>
      <c r="S47" s="60">
        <f ca="1">+GETPIVOTDATA("XBB4",'binhba (2016)'!$A$3,"MA_HT","DTS","MA_QH","CQP")</f>
        <v>0</v>
      </c>
      <c r="T47" s="60">
        <f ca="1">+GETPIVOTDATA("XBB4",'binhba (2016)'!$A$3,"MA_HT","DTS","MA_QH","CAN")</f>
        <v>0</v>
      </c>
      <c r="U47" s="60">
        <f ca="1">+GETPIVOTDATA("XBB4",'binhba (2016)'!$A$3,"MA_HT","DTS","MA_QH","SKK")</f>
        <v>0</v>
      </c>
      <c r="V47" s="60">
        <f ca="1">+GETPIVOTDATA("XBB4",'binhba (2016)'!$A$3,"MA_HT","DTS","MA_QH","SKT")</f>
        <v>0</v>
      </c>
      <c r="W47" s="60">
        <f ca="1">+GETPIVOTDATA("XBB4",'binhba (2016)'!$A$3,"MA_HT","DTS","MA_QH","SKN")</f>
        <v>0</v>
      </c>
      <c r="X47" s="60">
        <f ca="1">+GETPIVOTDATA("XBB4",'binhba (2016)'!$A$3,"MA_HT","DTS","MA_QH","TMD")</f>
        <v>0</v>
      </c>
      <c r="Y47" s="60">
        <f ca="1">+GETPIVOTDATA("XBB4",'binhba (2016)'!$A$3,"MA_HT","DTS","MA_QH","SKC")</f>
        <v>0</v>
      </c>
      <c r="Z47" s="60">
        <f ca="1">+GETPIVOTDATA("XBB4",'binhba (2016)'!$A$3,"MA_HT","DTS","MA_QH","SKS")</f>
        <v>0</v>
      </c>
      <c r="AA47" s="59">
        <f ca="1" t="shared" si="21"/>
        <v>0</v>
      </c>
      <c r="AB47" s="60">
        <f ca="1">+GETPIVOTDATA("XBB4",'binhba (2016)'!$A$3,"MA_HT","DTS","MA_QH","DGT")</f>
        <v>0</v>
      </c>
      <c r="AC47" s="60">
        <f ca="1">+GETPIVOTDATA("XBB4",'binhba (2016)'!$A$3,"MA_HT","DTS","MA_QH","DTL")</f>
        <v>0</v>
      </c>
      <c r="AD47" s="60">
        <f ca="1">+GETPIVOTDATA("XBB4",'binhba (2016)'!$A$3,"MA_HT","DTS","MA_QH","DNL")</f>
        <v>0</v>
      </c>
      <c r="AE47" s="60">
        <f ca="1">+GETPIVOTDATA("XBB4",'binhba (2016)'!$A$3,"MA_HT","DTS","MA_QH","DBV")</f>
        <v>0</v>
      </c>
      <c r="AF47" s="60">
        <f ca="1">+GETPIVOTDATA("XBB4",'binhba (2016)'!$A$3,"MA_HT","DTS","MA_QH","DVH")</f>
        <v>0</v>
      </c>
      <c r="AG47" s="60">
        <f ca="1">+GETPIVOTDATA("XBB4",'binhba (2016)'!$A$3,"MA_HT","DTS","MA_QH","DYT")</f>
        <v>0</v>
      </c>
      <c r="AH47" s="60">
        <f ca="1">+GETPIVOTDATA("XBB4",'binhba (2016)'!$A$3,"MA_HT","DTS","MA_QH","DGD")</f>
        <v>0</v>
      </c>
      <c r="AI47" s="60">
        <f ca="1">+GETPIVOTDATA("XBB4",'binhba (2016)'!$A$3,"MA_HT","DTS","MA_QH","DTT")</f>
        <v>0</v>
      </c>
      <c r="AJ47" s="60">
        <f ca="1">+GETPIVOTDATA("XBB4",'binhba (2016)'!$A$3,"MA_HT","DTS","MA_QH","NCK")</f>
        <v>0</v>
      </c>
      <c r="AK47" s="60">
        <f ca="1">+GETPIVOTDATA("XBB4",'binhba (2016)'!$A$3,"MA_HT","DTS","MA_QH","DXH")</f>
        <v>0</v>
      </c>
      <c r="AL47" s="60">
        <f ca="1">+GETPIVOTDATA("XBB4",'binhba (2016)'!$A$3,"MA_HT","DTS","MA_QH","DCH")</f>
        <v>0</v>
      </c>
      <c r="AM47" s="60">
        <f ca="1">+GETPIVOTDATA("XBB4",'binhba (2016)'!$A$3,"MA_HT","DTS","MA_QH","DKG")</f>
        <v>0</v>
      </c>
      <c r="AN47" s="60">
        <f ca="1">+GETPIVOTDATA("XBB4",'binhba (2016)'!$A$3,"MA_HT","DTS","MA_QH","DDT")</f>
        <v>0</v>
      </c>
      <c r="AO47" s="60">
        <f ca="1">+GETPIVOTDATA("XBB4",'binhba (2016)'!$A$3,"MA_HT","DTS","MA_QH","DDL")</f>
        <v>0</v>
      </c>
      <c r="AP47" s="60">
        <f ca="1">+GETPIVOTDATA("XBB4",'binhba (2016)'!$A$3,"MA_HT","DTS","MA_QH","DRA")</f>
        <v>0</v>
      </c>
      <c r="AQ47" s="60">
        <f ca="1">+GETPIVOTDATA("XBB4",'binhba (2016)'!$A$3,"MA_HT","DTS","MA_QH","ONT")</f>
        <v>0</v>
      </c>
      <c r="AR47" s="60">
        <f ca="1">+GETPIVOTDATA("XBB4",'binhba (2016)'!$A$3,"MA_HT","DTS","MA_QH","ODT")</f>
        <v>0</v>
      </c>
      <c r="AS47" s="60">
        <f ca="1">+GETPIVOTDATA("XBB4",'binhba (2016)'!$A$3,"MA_HT","DTS","MA_QH","TSC")</f>
        <v>0</v>
      </c>
      <c r="AT47" s="81" t="e">
        <f ca="1">$D47-$BF47</f>
        <v>#REF!</v>
      </c>
      <c r="AU47" s="60">
        <f ca="1">+GETPIVOTDATA("XBB4",'binhba (2016)'!$A$3,"MA_HT","DTS","MA_QH","DNG")</f>
        <v>0</v>
      </c>
      <c r="AV47" s="60">
        <f ca="1">+GETPIVOTDATA("XBB4",'binhba (2016)'!$A$3,"MA_HT","DTS","MA_QH","TON")</f>
        <v>0</v>
      </c>
      <c r="AW47" s="60">
        <f ca="1">+GETPIVOTDATA("XBB4",'binhba (2016)'!$A$3,"MA_HT","DTS","MA_QH","NTD")</f>
        <v>0</v>
      </c>
      <c r="AX47" s="60">
        <f ca="1">+GETPIVOTDATA("XBB4",'binhba (2016)'!$A$3,"MA_HT","DTS","MA_QH","SKX")</f>
        <v>0</v>
      </c>
      <c r="AY47" s="60">
        <f ca="1">+GETPIVOTDATA("XBB4",'binhba (2016)'!$A$3,"MA_HT","DTS","MA_QH","DSH")</f>
        <v>0</v>
      </c>
      <c r="AZ47" s="60">
        <f ca="1">+GETPIVOTDATA("XBB4",'binhba (2016)'!$A$3,"MA_HT","DTS","MA_QH","DKV")</f>
        <v>0</v>
      </c>
      <c r="BA47" s="90">
        <f ca="1">+GETPIVOTDATA("XBB4",'binhba (2016)'!$A$3,"MA_HT","DTS","MA_QH","TIN")</f>
        <v>0</v>
      </c>
      <c r="BB47" s="91">
        <f ca="1">+GETPIVOTDATA("XBB4",'binhba (2016)'!$A$3,"MA_HT","DTS","MA_QH","SON")</f>
        <v>0</v>
      </c>
      <c r="BC47" s="91">
        <f ca="1">+GETPIVOTDATA("XBB4",'binhba (2016)'!$A$3,"MA_HT","DTS","MA_QH","MNC")</f>
        <v>0</v>
      </c>
      <c r="BD47" s="60">
        <f ca="1">+GETPIVOTDATA("XBB4",'binhba (2016)'!$A$3,"MA_HT","DTS","MA_QH","PNK")</f>
        <v>0</v>
      </c>
      <c r="BE47" s="111">
        <f ca="1">+GETPIVOTDATA("XBB4",'binhba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+GETPIVOTDATA("XBB4",'binhba (2016)'!$A$3,"MA_HT","DNG","MA_QH","LUC")</f>
        <v>0</v>
      </c>
      <c r="H48" s="22">
        <f ca="1">+GETPIVOTDATA("XBB4",'binhba (2016)'!$A$3,"MA_HT","DNG","MA_QH","LUK")</f>
        <v>0</v>
      </c>
      <c r="I48" s="22">
        <f ca="1">+GETPIVOTDATA("XBB4",'binhba (2016)'!$A$3,"MA_HT","DNG","MA_QH","LUN")</f>
        <v>0</v>
      </c>
      <c r="J48" s="22">
        <f ca="1">+GETPIVOTDATA("XBB4",'binhba (2016)'!$A$3,"MA_HT","DNG","MA_QH","HNK")</f>
        <v>0</v>
      </c>
      <c r="K48" s="22">
        <f ca="1">+GETPIVOTDATA("XBB4",'binhba (2016)'!$A$3,"MA_HT","DNG","MA_QH","CLN")</f>
        <v>0</v>
      </c>
      <c r="L48" s="22">
        <f ca="1">+GETPIVOTDATA("XBB4",'binhba (2016)'!$A$3,"MA_HT","DNG","MA_QH","RSX")</f>
        <v>0</v>
      </c>
      <c r="M48" s="22">
        <f ca="1">+GETPIVOTDATA("XBB4",'binhba (2016)'!$A$3,"MA_HT","DNG","MA_QH","RPH")</f>
        <v>0</v>
      </c>
      <c r="N48" s="22">
        <f ca="1">+GETPIVOTDATA("XBB4",'binhba (2016)'!$A$3,"MA_HT","DNG","MA_QH","RDD")</f>
        <v>0</v>
      </c>
      <c r="O48" s="22">
        <f ca="1">+GETPIVOTDATA("XBB4",'binhba (2016)'!$A$3,"MA_HT","DNG","MA_QH","NTS")</f>
        <v>0</v>
      </c>
      <c r="P48" s="22">
        <f ca="1">+GETPIVOTDATA("XBB4",'binhba (2016)'!$A$3,"MA_HT","DNG","MA_QH","LMU")</f>
        <v>0</v>
      </c>
      <c r="Q48" s="22">
        <f ca="1">+GETPIVOTDATA("XBB4",'binhba (2016)'!$A$3,"MA_HT","DNG","MA_QH","NKH")</f>
        <v>0</v>
      </c>
      <c r="R48" s="79">
        <f ca="1">SUM(S48:AA48,AN48:AT48,AV48:BD48)</f>
        <v>0</v>
      </c>
      <c r="S48" s="22">
        <f ca="1">+GETPIVOTDATA("XBB4",'binhba (2016)'!$A$3,"MA_HT","DNG","MA_QH","CQP")</f>
        <v>0</v>
      </c>
      <c r="T48" s="22">
        <f ca="1">+GETPIVOTDATA("XBB4",'binhba (2016)'!$A$3,"MA_HT","DNG","MA_QH","CAN")</f>
        <v>0</v>
      </c>
      <c r="U48" s="22">
        <f ca="1">+GETPIVOTDATA("XBB4",'binhba (2016)'!$A$3,"MA_HT","DNG","MA_QH","SKK")</f>
        <v>0</v>
      </c>
      <c r="V48" s="22">
        <f ca="1">+GETPIVOTDATA("XBB4",'binhba (2016)'!$A$3,"MA_HT","DNG","MA_QH","SKT")</f>
        <v>0</v>
      </c>
      <c r="W48" s="22">
        <f ca="1">+GETPIVOTDATA("XBB4",'binhba (2016)'!$A$3,"MA_HT","DNG","MA_QH","SKN")</f>
        <v>0</v>
      </c>
      <c r="X48" s="22">
        <f ca="1">+GETPIVOTDATA("XBB4",'binhba (2016)'!$A$3,"MA_HT","DNG","MA_QH","TMD")</f>
        <v>0</v>
      </c>
      <c r="Y48" s="22">
        <f ca="1">+GETPIVOTDATA("XBB4",'binhba (2016)'!$A$3,"MA_HT","DNG","MA_QH","SKC")</f>
        <v>0</v>
      </c>
      <c r="Z48" s="22">
        <f ca="1">+GETPIVOTDATA("XBB4",'binhba (2016)'!$A$3,"MA_HT","DNG","MA_QH","SKS")</f>
        <v>0</v>
      </c>
      <c r="AA48" s="52">
        <f ca="1" t="shared" si="21"/>
        <v>0</v>
      </c>
      <c r="AB48" s="22">
        <f ca="1">+GETPIVOTDATA("XBB4",'binhba (2016)'!$A$3,"MA_HT","DNG","MA_QH","DGT")</f>
        <v>0</v>
      </c>
      <c r="AC48" s="22">
        <f ca="1">+GETPIVOTDATA("XBB4",'binhba (2016)'!$A$3,"MA_HT","DNG","MA_QH","DTL")</f>
        <v>0</v>
      </c>
      <c r="AD48" s="22">
        <f ca="1">+GETPIVOTDATA("XBB4",'binhba (2016)'!$A$3,"MA_HT","DNG","MA_QH","DNL")</f>
        <v>0</v>
      </c>
      <c r="AE48" s="22">
        <f ca="1">+GETPIVOTDATA("XBB4",'binhba (2016)'!$A$3,"MA_HT","DNG","MA_QH","DBV")</f>
        <v>0</v>
      </c>
      <c r="AF48" s="22">
        <f ca="1">+GETPIVOTDATA("XBB4",'binhba (2016)'!$A$3,"MA_HT","DNG","MA_QH","DVH")</f>
        <v>0</v>
      </c>
      <c r="AG48" s="22">
        <f ca="1">+GETPIVOTDATA("XBB4",'binhba (2016)'!$A$3,"MA_HT","DNG","MA_QH","DYT")</f>
        <v>0</v>
      </c>
      <c r="AH48" s="22">
        <f ca="1">+GETPIVOTDATA("XBB4",'binhba (2016)'!$A$3,"MA_HT","DNG","MA_QH","DGD")</f>
        <v>0</v>
      </c>
      <c r="AI48" s="22">
        <f ca="1">+GETPIVOTDATA("XBB4",'binhba (2016)'!$A$3,"MA_HT","DNG","MA_QH","DTT")</f>
        <v>0</v>
      </c>
      <c r="AJ48" s="22">
        <f ca="1">+GETPIVOTDATA("XBB4",'binhba (2016)'!$A$3,"MA_HT","DNG","MA_QH","NCK")</f>
        <v>0</v>
      </c>
      <c r="AK48" s="22">
        <f ca="1">+GETPIVOTDATA("XBB4",'binhba (2016)'!$A$3,"MA_HT","DNG","MA_QH","DXH")</f>
        <v>0</v>
      </c>
      <c r="AL48" s="22">
        <f ca="1">+GETPIVOTDATA("XBB4",'binhba (2016)'!$A$3,"MA_HT","DNG","MA_QH","DCH")</f>
        <v>0</v>
      </c>
      <c r="AM48" s="22">
        <f ca="1">+GETPIVOTDATA("XBB4",'binhba (2016)'!$A$3,"MA_HT","DNG","MA_QH","DKG")</f>
        <v>0</v>
      </c>
      <c r="AN48" s="22">
        <f ca="1">+GETPIVOTDATA("XBB4",'binhba (2016)'!$A$3,"MA_HT","DNG","MA_QH","DDT")</f>
        <v>0</v>
      </c>
      <c r="AO48" s="22">
        <f ca="1">+GETPIVOTDATA("XBB4",'binhba (2016)'!$A$3,"MA_HT","DNG","MA_QH","DDL")</f>
        <v>0</v>
      </c>
      <c r="AP48" s="22">
        <f ca="1">+GETPIVOTDATA("XBB4",'binhba (2016)'!$A$3,"MA_HT","DNG","MA_QH","DRA")</f>
        <v>0</v>
      </c>
      <c r="AQ48" s="22">
        <f ca="1">+GETPIVOTDATA("XBB4",'binhba (2016)'!$A$3,"MA_HT","DNG","MA_QH","ONT")</f>
        <v>0</v>
      </c>
      <c r="AR48" s="22">
        <f ca="1">+GETPIVOTDATA("XBB4",'binhba (2016)'!$A$3,"MA_HT","DNG","MA_QH","ODT")</f>
        <v>0</v>
      </c>
      <c r="AS48" s="22">
        <f ca="1">+GETPIVOTDATA("XBB4",'binhba (2016)'!$A$3,"MA_HT","DNG","MA_QH","TSC")</f>
        <v>0</v>
      </c>
      <c r="AT48" s="22">
        <f ca="1">+GETPIVOTDATA("XBB4",'binhba (2016)'!$A$3,"MA_HT","DNG","MA_QH","DTS")</f>
        <v>0</v>
      </c>
      <c r="AU48" s="43" t="e">
        <f ca="1">$D48-$BF48</f>
        <v>#REF!</v>
      </c>
      <c r="AV48" s="22">
        <f ca="1">+GETPIVOTDATA("XBB4",'binhba (2016)'!$A$3,"MA_HT","DNG","MA_QH","TON")</f>
        <v>0</v>
      </c>
      <c r="AW48" s="22">
        <f ca="1">+GETPIVOTDATA("XBB4",'binhba (2016)'!$A$3,"MA_HT","DNG","MA_QH","NTD")</f>
        <v>0</v>
      </c>
      <c r="AX48" s="22">
        <f ca="1">+GETPIVOTDATA("XBB4",'binhba (2016)'!$A$3,"MA_HT","DNG","MA_QH","SKX")</f>
        <v>0</v>
      </c>
      <c r="AY48" s="22">
        <f ca="1">+GETPIVOTDATA("XBB4",'binhba (2016)'!$A$3,"MA_HT","DNG","MA_QH","DSH")</f>
        <v>0</v>
      </c>
      <c r="AZ48" s="22">
        <f ca="1">+GETPIVOTDATA("XBB4",'binhba (2016)'!$A$3,"MA_HT","DNG","MA_QH","DKV")</f>
        <v>0</v>
      </c>
      <c r="BA48" s="89">
        <f ca="1">+GETPIVOTDATA("XBB4",'binhba (2016)'!$A$3,"MA_HT","DNG","MA_QH","TIN")</f>
        <v>0</v>
      </c>
      <c r="BB48" s="50">
        <f ca="1">+GETPIVOTDATA("XBB4",'binhba (2016)'!$A$3,"MA_HT","DNG","MA_QH","SON")</f>
        <v>0</v>
      </c>
      <c r="BC48" s="50">
        <f ca="1">+GETPIVOTDATA("XBB4",'binhba (2016)'!$A$3,"MA_HT","DNG","MA_QH","MNC")</f>
        <v>0</v>
      </c>
      <c r="BD48" s="22">
        <f ca="1">+GETPIVOTDATA("XBB4",'binhba (2016)'!$A$3,"MA_HT","DNG","MA_QH","PNK")</f>
        <v>0</v>
      </c>
      <c r="BE48" s="71">
        <f ca="1">+GETPIVOTDATA("XBB4",'binhba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+GETPIVOTDATA("XBB4",'binhba (2016)'!$A$3,"MA_HT","TON","MA_QH","LUC")</f>
        <v>0</v>
      </c>
      <c r="H49" s="22">
        <f ca="1">+GETPIVOTDATA("XBB4",'binhba (2016)'!$A$3,"MA_HT","TON","MA_QH","LUK")</f>
        <v>0</v>
      </c>
      <c r="I49" s="22">
        <f ca="1">+GETPIVOTDATA("XBB4",'binhba (2016)'!$A$3,"MA_HT","TON","MA_QH","LUN")</f>
        <v>0</v>
      </c>
      <c r="J49" s="22">
        <f ca="1">+GETPIVOTDATA("XBB4",'binhba (2016)'!$A$3,"MA_HT","TON","MA_QH","HNK")</f>
        <v>0</v>
      </c>
      <c r="K49" s="22">
        <f ca="1">+GETPIVOTDATA("XBB4",'binhba (2016)'!$A$3,"MA_HT","TON","MA_QH","CLN")</f>
        <v>0</v>
      </c>
      <c r="L49" s="22">
        <f ca="1">+GETPIVOTDATA("XBB4",'binhba (2016)'!$A$3,"MA_HT","TON","MA_QH","RSX")</f>
        <v>0</v>
      </c>
      <c r="M49" s="22">
        <f ca="1">+GETPIVOTDATA("XBB4",'binhba (2016)'!$A$3,"MA_HT","TON","MA_QH","RPH")</f>
        <v>0</v>
      </c>
      <c r="N49" s="22">
        <f ca="1">+GETPIVOTDATA("XBB4",'binhba (2016)'!$A$3,"MA_HT","TON","MA_QH","RDD")</f>
        <v>0</v>
      </c>
      <c r="O49" s="22">
        <f ca="1">+GETPIVOTDATA("XBB4",'binhba (2016)'!$A$3,"MA_HT","TON","MA_QH","NTS")</f>
        <v>0</v>
      </c>
      <c r="P49" s="22">
        <f ca="1">+GETPIVOTDATA("XBB4",'binhba (2016)'!$A$3,"MA_HT","TON","MA_QH","LMU")</f>
        <v>0</v>
      </c>
      <c r="Q49" s="22">
        <f ca="1">+GETPIVOTDATA("XBB4",'binhba (2016)'!$A$3,"MA_HT","TON","MA_QH","NKH")</f>
        <v>0</v>
      </c>
      <c r="R49" s="79">
        <f ca="1">SUM(S49:AA49,AN49:AU49,AW49:BD49)</f>
        <v>0</v>
      </c>
      <c r="S49" s="22">
        <f ca="1">+GETPIVOTDATA("XBB4",'binhba (2016)'!$A$3,"MA_HT","TON","MA_QH","CQP")</f>
        <v>0</v>
      </c>
      <c r="T49" s="22">
        <f ca="1">+GETPIVOTDATA("XBB4",'binhba (2016)'!$A$3,"MA_HT","TON","MA_QH","CAN")</f>
        <v>0</v>
      </c>
      <c r="U49" s="22">
        <f ca="1">+GETPIVOTDATA("XBB4",'binhba (2016)'!$A$3,"MA_HT","TON","MA_QH","SKK")</f>
        <v>0</v>
      </c>
      <c r="V49" s="22">
        <f ca="1">+GETPIVOTDATA("XBB4",'binhba (2016)'!$A$3,"MA_HT","TON","MA_QH","SKT")</f>
        <v>0</v>
      </c>
      <c r="W49" s="22">
        <f ca="1">+GETPIVOTDATA("XBB4",'binhba (2016)'!$A$3,"MA_HT","TON","MA_QH","SKN")</f>
        <v>0</v>
      </c>
      <c r="X49" s="22">
        <f ca="1">+GETPIVOTDATA("XBB4",'binhba (2016)'!$A$3,"MA_HT","TON","MA_QH","TMD")</f>
        <v>0</v>
      </c>
      <c r="Y49" s="22">
        <f ca="1">+GETPIVOTDATA("XBB4",'binhba (2016)'!$A$3,"MA_HT","TON","MA_QH","SKC")</f>
        <v>0</v>
      </c>
      <c r="Z49" s="22">
        <f ca="1">+GETPIVOTDATA("XBB4",'binhba (2016)'!$A$3,"MA_HT","TON","MA_QH","SKS")</f>
        <v>0</v>
      </c>
      <c r="AA49" s="52">
        <f ca="1" t="shared" si="21"/>
        <v>0</v>
      </c>
      <c r="AB49" s="22">
        <f ca="1">+GETPIVOTDATA("XBB4",'binhba (2016)'!$A$3,"MA_HT","TON","MA_QH","DGT")</f>
        <v>0</v>
      </c>
      <c r="AC49" s="22">
        <f ca="1">+GETPIVOTDATA("XBB4",'binhba (2016)'!$A$3,"MA_HT","TON","MA_QH","DTL")</f>
        <v>0</v>
      </c>
      <c r="AD49" s="22">
        <f ca="1">+GETPIVOTDATA("XBB4",'binhba (2016)'!$A$3,"MA_HT","TON","MA_QH","DNL")</f>
        <v>0</v>
      </c>
      <c r="AE49" s="22">
        <f ca="1">+GETPIVOTDATA("XBB4",'binhba (2016)'!$A$3,"MA_HT","TON","MA_QH","DBV")</f>
        <v>0</v>
      </c>
      <c r="AF49" s="22">
        <f ca="1">+GETPIVOTDATA("XBB4",'binhba (2016)'!$A$3,"MA_HT","TON","MA_QH","DVH")</f>
        <v>0</v>
      </c>
      <c r="AG49" s="22">
        <f ca="1">+GETPIVOTDATA("XBB4",'binhba (2016)'!$A$3,"MA_HT","TON","MA_QH","DYT")</f>
        <v>0</v>
      </c>
      <c r="AH49" s="22">
        <f ca="1">+GETPIVOTDATA("XBB4",'binhba (2016)'!$A$3,"MA_HT","TON","MA_QH","DGD")</f>
        <v>0</v>
      </c>
      <c r="AI49" s="22">
        <f ca="1">+GETPIVOTDATA("XBB4",'binhba (2016)'!$A$3,"MA_HT","TON","MA_QH","DTT")</f>
        <v>0</v>
      </c>
      <c r="AJ49" s="22">
        <f ca="1">+GETPIVOTDATA("XBB4",'binhba (2016)'!$A$3,"MA_HT","TON","MA_QH","NCK")</f>
        <v>0</v>
      </c>
      <c r="AK49" s="22">
        <f ca="1">+GETPIVOTDATA("XBB4",'binhba (2016)'!$A$3,"MA_HT","TON","MA_QH","DXH")</f>
        <v>0</v>
      </c>
      <c r="AL49" s="22">
        <f ca="1">+GETPIVOTDATA("XBB4",'binhba (2016)'!$A$3,"MA_HT","TON","MA_QH","DCH")</f>
        <v>0</v>
      </c>
      <c r="AM49" s="22">
        <f ca="1">+GETPIVOTDATA("XBB4",'binhba (2016)'!$A$3,"MA_HT","TON","MA_QH","DKG")</f>
        <v>0</v>
      </c>
      <c r="AN49" s="22">
        <f ca="1">+GETPIVOTDATA("XBB4",'binhba (2016)'!$A$3,"MA_HT","TON","MA_QH","DDT")</f>
        <v>0</v>
      </c>
      <c r="AO49" s="22">
        <f ca="1">+GETPIVOTDATA("XBB4",'binhba (2016)'!$A$3,"MA_HT","TON","MA_QH","DDL")</f>
        <v>0</v>
      </c>
      <c r="AP49" s="22">
        <f ca="1">+GETPIVOTDATA("XBB4",'binhba (2016)'!$A$3,"MA_HT","TON","MA_QH","DRA")</f>
        <v>0</v>
      </c>
      <c r="AQ49" s="22">
        <f ca="1">+GETPIVOTDATA("XBB4",'binhba (2016)'!$A$3,"MA_HT","TON","MA_QH","ONT")</f>
        <v>0</v>
      </c>
      <c r="AR49" s="22">
        <f ca="1">+GETPIVOTDATA("XBB4",'binhba (2016)'!$A$3,"MA_HT","TON","MA_QH","ODT")</f>
        <v>0</v>
      </c>
      <c r="AS49" s="22">
        <f ca="1">+GETPIVOTDATA("XBB4",'binhba (2016)'!$A$3,"MA_HT","TON","MA_QH","TSC")</f>
        <v>0</v>
      </c>
      <c r="AT49" s="22">
        <f ca="1">+GETPIVOTDATA("XBB4",'binhba (2016)'!$A$3,"MA_HT","TON","MA_QH","DTS")</f>
        <v>0</v>
      </c>
      <c r="AU49" s="22">
        <f ca="1">+GETPIVOTDATA("XBB4",'binhba (2016)'!$A$3,"MA_HT","TON","MA_QH","DNG")</f>
        <v>0</v>
      </c>
      <c r="AV49" s="43" t="e">
        <f ca="1">$D49-$BF49</f>
        <v>#REF!</v>
      </c>
      <c r="AW49" s="22">
        <f ca="1">+GETPIVOTDATA("XBB4",'binhba (2016)'!$A$3,"MA_HT","TON","MA_QH","NTD")</f>
        <v>0</v>
      </c>
      <c r="AX49" s="22">
        <f ca="1">+GETPIVOTDATA("XBB4",'binhba (2016)'!$A$3,"MA_HT","TON","MA_QH","SKX")</f>
        <v>0</v>
      </c>
      <c r="AY49" s="22">
        <f ca="1">+GETPIVOTDATA("XBB4",'binhba (2016)'!$A$3,"MA_HT","TON","MA_QH","DSH")</f>
        <v>0</v>
      </c>
      <c r="AZ49" s="22">
        <f ca="1">+GETPIVOTDATA("XBB4",'binhba (2016)'!$A$3,"MA_HT","TON","MA_QH","DKV")</f>
        <v>0</v>
      </c>
      <c r="BA49" s="89">
        <f ca="1">+GETPIVOTDATA("XBB4",'binhba (2016)'!$A$3,"MA_HT","TON","MA_QH","TIN")</f>
        <v>0</v>
      </c>
      <c r="BB49" s="50">
        <f ca="1">+GETPIVOTDATA("XBB4",'binhba (2016)'!$A$3,"MA_HT","TON","MA_QH","SON")</f>
        <v>0</v>
      </c>
      <c r="BC49" s="50">
        <f ca="1">+GETPIVOTDATA("XBB4",'binhba (2016)'!$A$3,"MA_HT","TON","MA_QH","MNC")</f>
        <v>0</v>
      </c>
      <c r="BD49" s="22">
        <f ca="1">+GETPIVOTDATA("XBB4",'binhba (2016)'!$A$3,"MA_HT","TON","MA_QH","PNK")</f>
        <v>0</v>
      </c>
      <c r="BE49" s="71">
        <f ca="1">+GETPIVOTDATA("XBB4",'binhba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+GETPIVOTDATA("XBB4",'binhba (2016)'!$A$3,"MA_HT","NTD","MA_QH","LUC")</f>
        <v>0</v>
      </c>
      <c r="H50" s="22">
        <f ca="1">+GETPIVOTDATA("XBB4",'binhba (2016)'!$A$3,"MA_HT","NTD","MA_QH","LUK")</f>
        <v>0</v>
      </c>
      <c r="I50" s="22">
        <f ca="1">+GETPIVOTDATA("XBB4",'binhba (2016)'!$A$3,"MA_HT","NTD","MA_QH","LUN")</f>
        <v>0</v>
      </c>
      <c r="J50" s="22">
        <f ca="1">+GETPIVOTDATA("XBB4",'binhba (2016)'!$A$3,"MA_HT","NTD","MA_QH","HNK")</f>
        <v>0</v>
      </c>
      <c r="K50" s="22">
        <f ca="1">+GETPIVOTDATA("XBB4",'binhba (2016)'!$A$3,"MA_HT","NTD","MA_QH","CLN")</f>
        <v>0</v>
      </c>
      <c r="L50" s="22">
        <f ca="1">+GETPIVOTDATA("XBB4",'binhba (2016)'!$A$3,"MA_HT","NTD","MA_QH","RSX")</f>
        <v>0</v>
      </c>
      <c r="M50" s="22">
        <f ca="1">+GETPIVOTDATA("XBB4",'binhba (2016)'!$A$3,"MA_HT","NTD","MA_QH","RPH")</f>
        <v>0</v>
      </c>
      <c r="N50" s="22">
        <f ca="1">+GETPIVOTDATA("XBB4",'binhba (2016)'!$A$3,"MA_HT","NTD","MA_QH","RDD")</f>
        <v>0</v>
      </c>
      <c r="O50" s="22">
        <f ca="1">+GETPIVOTDATA("XBB4",'binhba (2016)'!$A$3,"MA_HT","NTD","MA_QH","NTS")</f>
        <v>0</v>
      </c>
      <c r="P50" s="22">
        <f ca="1">+GETPIVOTDATA("XBB4",'binhba (2016)'!$A$3,"MA_HT","NTD","MA_QH","LMU")</f>
        <v>0</v>
      </c>
      <c r="Q50" s="22">
        <f ca="1">+GETPIVOTDATA("XBB4",'binhba (2016)'!$A$3,"MA_HT","NTD","MA_QH","NKH")</f>
        <v>0</v>
      </c>
      <c r="R50" s="79">
        <f ca="1">SUM(S50:AA50,AN50:AV50,AX50:BD50)</f>
        <v>0</v>
      </c>
      <c r="S50" s="22">
        <f ca="1">+GETPIVOTDATA("XBB4",'binhba (2016)'!$A$3,"MA_HT","NTD","MA_QH","CQP")</f>
        <v>0</v>
      </c>
      <c r="T50" s="22">
        <f ca="1">+GETPIVOTDATA("XBB4",'binhba (2016)'!$A$3,"MA_HT","NTD","MA_QH","CAN")</f>
        <v>0</v>
      </c>
      <c r="U50" s="22">
        <f ca="1">+GETPIVOTDATA("XBB4",'binhba (2016)'!$A$3,"MA_HT","NTD","MA_QH","SKK")</f>
        <v>0</v>
      </c>
      <c r="V50" s="22">
        <f ca="1">+GETPIVOTDATA("XBB4",'binhba (2016)'!$A$3,"MA_HT","NTD","MA_QH","SKT")</f>
        <v>0</v>
      </c>
      <c r="W50" s="22">
        <f ca="1">+GETPIVOTDATA("XBB4",'binhba (2016)'!$A$3,"MA_HT","NTD","MA_QH","SKN")</f>
        <v>0</v>
      </c>
      <c r="X50" s="22">
        <f ca="1">+GETPIVOTDATA("XBB4",'binhba (2016)'!$A$3,"MA_HT","NTD","MA_QH","TMD")</f>
        <v>0</v>
      </c>
      <c r="Y50" s="22">
        <f ca="1">+GETPIVOTDATA("XBB4",'binhba (2016)'!$A$3,"MA_HT","NTD","MA_QH","SKC")</f>
        <v>0</v>
      </c>
      <c r="Z50" s="22">
        <f ca="1">+GETPIVOTDATA("XBB4",'binhba (2016)'!$A$3,"MA_HT","NTD","MA_QH","SKS")</f>
        <v>0</v>
      </c>
      <c r="AA50" s="52">
        <f ca="1" t="shared" si="21"/>
        <v>0</v>
      </c>
      <c r="AB50" s="22">
        <f ca="1">+GETPIVOTDATA("XBB4",'binhba (2016)'!$A$3,"MA_HT","NTD","MA_QH","DGT")</f>
        <v>0</v>
      </c>
      <c r="AC50" s="22">
        <f ca="1">+GETPIVOTDATA("XBB4",'binhba (2016)'!$A$3,"MA_HT","NTD","MA_QH","DTL")</f>
        <v>0</v>
      </c>
      <c r="AD50" s="22">
        <f ca="1">+GETPIVOTDATA("XBB4",'binhba (2016)'!$A$3,"MA_HT","NTD","MA_QH","DNL")</f>
        <v>0</v>
      </c>
      <c r="AE50" s="22">
        <f ca="1">+GETPIVOTDATA("XBB4",'binhba (2016)'!$A$3,"MA_HT","NTD","MA_QH","DBV")</f>
        <v>0</v>
      </c>
      <c r="AF50" s="22">
        <f ca="1">+GETPIVOTDATA("XBB4",'binhba (2016)'!$A$3,"MA_HT","NTD","MA_QH","DVH")</f>
        <v>0</v>
      </c>
      <c r="AG50" s="22">
        <f ca="1">+GETPIVOTDATA("XBB4",'binhba (2016)'!$A$3,"MA_HT","NTD","MA_QH","DYT")</f>
        <v>0</v>
      </c>
      <c r="AH50" s="22">
        <f ca="1">+GETPIVOTDATA("XBB4",'binhba (2016)'!$A$3,"MA_HT","NTD","MA_QH","DGD")</f>
        <v>0</v>
      </c>
      <c r="AI50" s="22">
        <f ca="1">+GETPIVOTDATA("XBB4",'binhba (2016)'!$A$3,"MA_HT","NTD","MA_QH","DTT")</f>
        <v>0</v>
      </c>
      <c r="AJ50" s="22">
        <f ca="1">+GETPIVOTDATA("XBB4",'binhba (2016)'!$A$3,"MA_HT","NTD","MA_QH","NCK")</f>
        <v>0</v>
      </c>
      <c r="AK50" s="22">
        <f ca="1">+GETPIVOTDATA("XBB4",'binhba (2016)'!$A$3,"MA_HT","NTD","MA_QH","DXH")</f>
        <v>0</v>
      </c>
      <c r="AL50" s="22">
        <f ca="1">+GETPIVOTDATA("XBB4",'binhba (2016)'!$A$3,"MA_HT","NTD","MA_QH","DCH")</f>
        <v>0</v>
      </c>
      <c r="AM50" s="22">
        <f ca="1">+GETPIVOTDATA("XBB4",'binhba (2016)'!$A$3,"MA_HT","NTD","MA_QH","DKG")</f>
        <v>0</v>
      </c>
      <c r="AN50" s="22">
        <f ca="1">+GETPIVOTDATA("XBB4",'binhba (2016)'!$A$3,"MA_HT","NTD","MA_QH","DDT")</f>
        <v>0</v>
      </c>
      <c r="AO50" s="22">
        <f ca="1">+GETPIVOTDATA("XBB4",'binhba (2016)'!$A$3,"MA_HT","NTD","MA_QH","DDL")</f>
        <v>0</v>
      </c>
      <c r="AP50" s="22">
        <f ca="1">+GETPIVOTDATA("XBB4",'binhba (2016)'!$A$3,"MA_HT","NTD","MA_QH","DRA")</f>
        <v>0</v>
      </c>
      <c r="AQ50" s="22">
        <f ca="1">+GETPIVOTDATA("XBB4",'binhba (2016)'!$A$3,"MA_HT","NTD","MA_QH","ONT")</f>
        <v>0</v>
      </c>
      <c r="AR50" s="22">
        <f ca="1">+GETPIVOTDATA("XBB4",'binhba (2016)'!$A$3,"MA_HT","NTD","MA_QH","ODT")</f>
        <v>0</v>
      </c>
      <c r="AS50" s="22">
        <f ca="1">+GETPIVOTDATA("XBB4",'binhba (2016)'!$A$3,"MA_HT","NTD","MA_QH","TSC")</f>
        <v>0</v>
      </c>
      <c r="AT50" s="22">
        <f ca="1">+GETPIVOTDATA("XBB4",'binhba (2016)'!$A$3,"MA_HT","NTD","MA_QH","DTS")</f>
        <v>0</v>
      </c>
      <c r="AU50" s="22">
        <f ca="1">+GETPIVOTDATA("XBB4",'binhba (2016)'!$A$3,"MA_HT","NTD","MA_QH","DNG")</f>
        <v>0</v>
      </c>
      <c r="AV50" s="22">
        <f ca="1">+GETPIVOTDATA("XBB4",'binhba (2016)'!$A$3,"MA_HT","NTD","MA_QH","TON")</f>
        <v>0</v>
      </c>
      <c r="AW50" s="43" t="e">
        <f ca="1">$D50-$BF50</f>
        <v>#REF!</v>
      </c>
      <c r="AX50" s="22">
        <f ca="1">+GETPIVOTDATA("XBB4",'binhba (2016)'!$A$3,"MA_HT","NTD","MA_QH","SKX")</f>
        <v>0</v>
      </c>
      <c r="AY50" s="22">
        <f ca="1">+GETPIVOTDATA("XBB4",'binhba (2016)'!$A$3,"MA_HT","NTD","MA_QH","DSH")</f>
        <v>0</v>
      </c>
      <c r="AZ50" s="22">
        <f ca="1">+GETPIVOTDATA("XBB4",'binhba (2016)'!$A$3,"MA_HT","NTD","MA_QH","DKV")</f>
        <v>0</v>
      </c>
      <c r="BA50" s="89">
        <f ca="1">+GETPIVOTDATA("XBB4",'binhba (2016)'!$A$3,"MA_HT","NTD","MA_QH","TIN")</f>
        <v>0</v>
      </c>
      <c r="BB50" s="50">
        <f ca="1">+GETPIVOTDATA("XBB4",'binhba (2016)'!$A$3,"MA_HT","NTD","MA_QH","SON")</f>
        <v>0</v>
      </c>
      <c r="BC50" s="50">
        <f ca="1">+GETPIVOTDATA("XBB4",'binhba (2016)'!$A$3,"MA_HT","NTD","MA_QH","MNC")</f>
        <v>0</v>
      </c>
      <c r="BD50" s="22">
        <f ca="1">+GETPIVOTDATA("XBB4",'binhba (2016)'!$A$3,"MA_HT","NTD","MA_QH","PNK")</f>
        <v>0</v>
      </c>
      <c r="BE50" s="71">
        <f ca="1">+GETPIVOTDATA("XBB4",'binhba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+GETPIVOTDATA("XBB4",'binhba (2016)'!$A$3,"MA_HT","SKX","MA_QH","LUC")</f>
        <v>0</v>
      </c>
      <c r="H51" s="22">
        <f ca="1">+GETPIVOTDATA("XBB4",'binhba (2016)'!$A$3,"MA_HT","SKX","MA_QH","LUK")</f>
        <v>0</v>
      </c>
      <c r="I51" s="22">
        <f ca="1">+GETPIVOTDATA("XBB4",'binhba (2016)'!$A$3,"MA_HT","SKX","MA_QH","LUN")</f>
        <v>0</v>
      </c>
      <c r="J51" s="22">
        <f ca="1">+GETPIVOTDATA("XBB4",'binhba (2016)'!$A$3,"MA_HT","SKX","MA_QH","HNK")</f>
        <v>0</v>
      </c>
      <c r="K51" s="22">
        <f ca="1">+GETPIVOTDATA("XBB4",'binhba (2016)'!$A$3,"MA_HT","SKX","MA_QH","CLN")</f>
        <v>0</v>
      </c>
      <c r="L51" s="22">
        <f ca="1">+GETPIVOTDATA("XBB4",'binhba (2016)'!$A$3,"MA_HT","SKX","MA_QH","RSX")</f>
        <v>0</v>
      </c>
      <c r="M51" s="22">
        <f ca="1">+GETPIVOTDATA("XBB4",'binhba (2016)'!$A$3,"MA_HT","SKX","MA_QH","RPH")</f>
        <v>0</v>
      </c>
      <c r="N51" s="22">
        <f ca="1">+GETPIVOTDATA("XBB4",'binhba (2016)'!$A$3,"MA_HT","SKX","MA_QH","RDD")</f>
        <v>0</v>
      </c>
      <c r="O51" s="22">
        <f ca="1">+GETPIVOTDATA("XBB4",'binhba (2016)'!$A$3,"MA_HT","SKX","MA_QH","NTS")</f>
        <v>0</v>
      </c>
      <c r="P51" s="22">
        <f ca="1">+GETPIVOTDATA("XBB4",'binhba (2016)'!$A$3,"MA_HT","SKX","MA_QH","LMU")</f>
        <v>0</v>
      </c>
      <c r="Q51" s="22">
        <f ca="1">+GETPIVOTDATA("XBB4",'binhba (2016)'!$A$3,"MA_HT","SKX","MA_QH","NKH")</f>
        <v>0</v>
      </c>
      <c r="R51" s="79">
        <f ca="1">SUM(S51:AA51,AN51:AW51,AY51:BD51)</f>
        <v>0</v>
      </c>
      <c r="S51" s="22">
        <f ca="1">+GETPIVOTDATA("XBB4",'binhba (2016)'!$A$3,"MA_HT","SKX","MA_QH","CQP")</f>
        <v>0</v>
      </c>
      <c r="T51" s="22">
        <f ca="1">+GETPIVOTDATA("XBB4",'binhba (2016)'!$A$3,"MA_HT","SKX","MA_QH","CAN")</f>
        <v>0</v>
      </c>
      <c r="U51" s="22">
        <f ca="1">+GETPIVOTDATA("XBB4",'binhba (2016)'!$A$3,"MA_HT","SKX","MA_QH","SKK")</f>
        <v>0</v>
      </c>
      <c r="V51" s="22">
        <f ca="1">+GETPIVOTDATA("XBB4",'binhba (2016)'!$A$3,"MA_HT","SKX","MA_QH","SKT")</f>
        <v>0</v>
      </c>
      <c r="W51" s="22">
        <f ca="1">+GETPIVOTDATA("XBB4",'binhba (2016)'!$A$3,"MA_HT","SKX","MA_QH","SKN")</f>
        <v>0</v>
      </c>
      <c r="X51" s="22">
        <f ca="1">+GETPIVOTDATA("XBB4",'binhba (2016)'!$A$3,"MA_HT","SKX","MA_QH","TMD")</f>
        <v>0</v>
      </c>
      <c r="Y51" s="22">
        <f ca="1">+GETPIVOTDATA("XBB4",'binhba (2016)'!$A$3,"MA_HT","SKX","MA_QH","SKC")</f>
        <v>0</v>
      </c>
      <c r="Z51" s="22">
        <f ca="1">+GETPIVOTDATA("XBB4",'binhba (2016)'!$A$3,"MA_HT","SKX","MA_QH","SKS")</f>
        <v>0</v>
      </c>
      <c r="AA51" s="52">
        <f ca="1" t="shared" si="21"/>
        <v>0</v>
      </c>
      <c r="AB51" s="22">
        <f ca="1">+GETPIVOTDATA("XBB4",'binhba (2016)'!$A$3,"MA_HT","SKX","MA_QH","DGT")</f>
        <v>0</v>
      </c>
      <c r="AC51" s="22">
        <f ca="1">+GETPIVOTDATA("XBB4",'binhba (2016)'!$A$3,"MA_HT","SKX","MA_QH","DTL")</f>
        <v>0</v>
      </c>
      <c r="AD51" s="22">
        <f ca="1">+GETPIVOTDATA("XBB4",'binhba (2016)'!$A$3,"MA_HT","SKX","MA_QH","DNL")</f>
        <v>0</v>
      </c>
      <c r="AE51" s="22">
        <f ca="1">+GETPIVOTDATA("XBB4",'binhba (2016)'!$A$3,"MA_HT","SKX","MA_QH","DBV")</f>
        <v>0</v>
      </c>
      <c r="AF51" s="22">
        <f ca="1">+GETPIVOTDATA("XBB4",'binhba (2016)'!$A$3,"MA_HT","SKX","MA_QH","DVH")</f>
        <v>0</v>
      </c>
      <c r="AG51" s="22">
        <f ca="1">+GETPIVOTDATA("XBB4",'binhba (2016)'!$A$3,"MA_HT","SKX","MA_QH","DYT")</f>
        <v>0</v>
      </c>
      <c r="AH51" s="22">
        <f ca="1">+GETPIVOTDATA("XBB4",'binhba (2016)'!$A$3,"MA_HT","SKX","MA_QH","DGD")</f>
        <v>0</v>
      </c>
      <c r="AI51" s="22">
        <f ca="1">+GETPIVOTDATA("XBB4",'binhba (2016)'!$A$3,"MA_HT","SKX","MA_QH","DTT")</f>
        <v>0</v>
      </c>
      <c r="AJ51" s="22">
        <f ca="1">+GETPIVOTDATA("XBB4",'binhba (2016)'!$A$3,"MA_HT","SKX","MA_QH","NCK")</f>
        <v>0</v>
      </c>
      <c r="AK51" s="22">
        <f ca="1">+GETPIVOTDATA("XBB4",'binhba (2016)'!$A$3,"MA_HT","SKX","MA_QH","DXH")</f>
        <v>0</v>
      </c>
      <c r="AL51" s="22">
        <f ca="1">+GETPIVOTDATA("XBB4",'binhba (2016)'!$A$3,"MA_HT","SKX","MA_QH","DCH")</f>
        <v>0</v>
      </c>
      <c r="AM51" s="22">
        <f ca="1">+GETPIVOTDATA("XBB4",'binhba (2016)'!$A$3,"MA_HT","SKX","MA_QH","DKG")</f>
        <v>0</v>
      </c>
      <c r="AN51" s="22">
        <f ca="1">+GETPIVOTDATA("XBB4",'binhba (2016)'!$A$3,"MA_HT","SKX","MA_QH","DDT")</f>
        <v>0</v>
      </c>
      <c r="AO51" s="22">
        <f ca="1">+GETPIVOTDATA("XBB4",'binhba (2016)'!$A$3,"MA_HT","SKX","MA_QH","DDL")</f>
        <v>0</v>
      </c>
      <c r="AP51" s="22">
        <f ca="1">+GETPIVOTDATA("XBB4",'binhba (2016)'!$A$3,"MA_HT","SKX","MA_QH","DRA")</f>
        <v>0</v>
      </c>
      <c r="AQ51" s="22">
        <f ca="1">+GETPIVOTDATA("XBB4",'binhba (2016)'!$A$3,"MA_HT","SKX","MA_QH","ONT")</f>
        <v>0</v>
      </c>
      <c r="AR51" s="22">
        <f ca="1">+GETPIVOTDATA("XBB4",'binhba (2016)'!$A$3,"MA_HT","SKX","MA_QH","ODT")</f>
        <v>0</v>
      </c>
      <c r="AS51" s="22">
        <f ca="1">+GETPIVOTDATA("XBB4",'binhba (2016)'!$A$3,"MA_HT","SKX","MA_QH","TSC")</f>
        <v>0</v>
      </c>
      <c r="AT51" s="22">
        <f ca="1">+GETPIVOTDATA("XBB4",'binhba (2016)'!$A$3,"MA_HT","SKX","MA_QH","DTS")</f>
        <v>0</v>
      </c>
      <c r="AU51" s="22">
        <f ca="1">+GETPIVOTDATA("XBB4",'binhba (2016)'!$A$3,"MA_HT","SKX","MA_QH","DNG")</f>
        <v>0</v>
      </c>
      <c r="AV51" s="22">
        <f ca="1">+GETPIVOTDATA("XBB4",'binhba (2016)'!$A$3,"MA_HT","SKX","MA_QH","TON")</f>
        <v>0</v>
      </c>
      <c r="AW51" s="22">
        <f ca="1">+GETPIVOTDATA("XBB4",'binhba (2016)'!$A$3,"MA_HT","SKX","MA_QH","NTD")</f>
        <v>0</v>
      </c>
      <c r="AX51" s="43" t="e">
        <f ca="1">$D51-$BF51</f>
        <v>#REF!</v>
      </c>
      <c r="AY51" s="22">
        <f ca="1">+GETPIVOTDATA("XBB4",'binhba (2016)'!$A$3,"MA_HT","SKX","MA_QH","DSH")</f>
        <v>0</v>
      </c>
      <c r="AZ51" s="22">
        <f ca="1">+GETPIVOTDATA("XBB4",'binhba (2016)'!$A$3,"MA_HT","SKX","MA_QH","DKV")</f>
        <v>0</v>
      </c>
      <c r="BA51" s="89">
        <f ca="1">+GETPIVOTDATA("XBB4",'binhba (2016)'!$A$3,"MA_HT","SKX","MA_QH","TIN")</f>
        <v>0</v>
      </c>
      <c r="BB51" s="50">
        <f ca="1">+GETPIVOTDATA("XBB4",'binhba (2016)'!$A$3,"MA_HT","SKX","MA_QH","SON")</f>
        <v>0</v>
      </c>
      <c r="BC51" s="50">
        <f ca="1">+GETPIVOTDATA("XBB4",'binhba (2016)'!$A$3,"MA_HT","SKX","MA_QH","MNC")</f>
        <v>0</v>
      </c>
      <c r="BD51" s="22">
        <f ca="1">+GETPIVOTDATA("XBB4",'binhba (2016)'!$A$3,"MA_HT","SKX","MA_QH","PNK")</f>
        <v>0</v>
      </c>
      <c r="BE51" s="71">
        <f ca="1">+GETPIVOTDATA("XBB4",'binhba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+GETPIVOTDATA("XBB4",'binhba (2016)'!$A$3,"MA_HT","DSH","MA_QH","LUC")</f>
        <v>0</v>
      </c>
      <c r="H52" s="22">
        <f ca="1">+GETPIVOTDATA("XBB4",'binhba (2016)'!$A$3,"MA_HT","DSH","MA_QH","LUK")</f>
        <v>0</v>
      </c>
      <c r="I52" s="22">
        <f ca="1">+GETPIVOTDATA("XBB4",'binhba (2016)'!$A$3,"MA_HT","DSH","MA_QH","LUN")</f>
        <v>0</v>
      </c>
      <c r="J52" s="22">
        <f ca="1">+GETPIVOTDATA("XBB4",'binhba (2016)'!$A$3,"MA_HT","DSH","MA_QH","HNK")</f>
        <v>0</v>
      </c>
      <c r="K52" s="22">
        <f ca="1">+GETPIVOTDATA("XBB4",'binhba (2016)'!$A$3,"MA_HT","DSH","MA_QH","CLN")</f>
        <v>0</v>
      </c>
      <c r="L52" s="22">
        <f ca="1">+GETPIVOTDATA("XBB4",'binhba (2016)'!$A$3,"MA_HT","DSH","MA_QH","RSX")</f>
        <v>0</v>
      </c>
      <c r="M52" s="22">
        <f ca="1">+GETPIVOTDATA("XBB4",'binhba (2016)'!$A$3,"MA_HT","DSH","MA_QH","RPH")</f>
        <v>0</v>
      </c>
      <c r="N52" s="22">
        <f ca="1">+GETPIVOTDATA("XBB4",'binhba (2016)'!$A$3,"MA_HT","DSH","MA_QH","RDD")</f>
        <v>0</v>
      </c>
      <c r="O52" s="22">
        <f ca="1">+GETPIVOTDATA("XBB4",'binhba (2016)'!$A$3,"MA_HT","DSH","MA_QH","NTS")</f>
        <v>0</v>
      </c>
      <c r="P52" s="22">
        <f ca="1">+GETPIVOTDATA("XBB4",'binhba (2016)'!$A$3,"MA_HT","DSH","MA_QH","LMU")</f>
        <v>0</v>
      </c>
      <c r="Q52" s="22">
        <f ca="1">+GETPIVOTDATA("XBB4",'binhba (2016)'!$A$3,"MA_HT","DSH","MA_QH","NKH")</f>
        <v>0</v>
      </c>
      <c r="R52" s="79">
        <f ca="1">SUM(S52:AA52,AN52:AX52,AZ52:BD52)</f>
        <v>0</v>
      </c>
      <c r="S52" s="22">
        <f ca="1">+GETPIVOTDATA("XBB4",'binhba (2016)'!$A$3,"MA_HT","DSH","MA_QH","CQP")</f>
        <v>0</v>
      </c>
      <c r="T52" s="22">
        <f ca="1">+GETPIVOTDATA("XBB4",'binhba (2016)'!$A$3,"MA_HT","DSH","MA_QH","CAN")</f>
        <v>0</v>
      </c>
      <c r="U52" s="22">
        <f ca="1">+GETPIVOTDATA("XBB4",'binhba (2016)'!$A$3,"MA_HT","DSH","MA_QH","SKK")</f>
        <v>0</v>
      </c>
      <c r="V52" s="22">
        <f ca="1">+GETPIVOTDATA("XBB4",'binhba (2016)'!$A$3,"MA_HT","DSH","MA_QH","SKT")</f>
        <v>0</v>
      </c>
      <c r="W52" s="22">
        <f ca="1">+GETPIVOTDATA("XBB4",'binhba (2016)'!$A$3,"MA_HT","DSH","MA_QH","SKN")</f>
        <v>0</v>
      </c>
      <c r="X52" s="22">
        <f ca="1">+GETPIVOTDATA("XBB4",'binhba (2016)'!$A$3,"MA_HT","DSH","MA_QH","TMD")</f>
        <v>0</v>
      </c>
      <c r="Y52" s="22">
        <f ca="1">+GETPIVOTDATA("XBB4",'binhba (2016)'!$A$3,"MA_HT","DSH","MA_QH","SKC")</f>
        <v>0</v>
      </c>
      <c r="Z52" s="22">
        <f ca="1">+GETPIVOTDATA("XBB4",'binhba (2016)'!$A$3,"MA_HT","DSH","MA_QH","SKS")</f>
        <v>0</v>
      </c>
      <c r="AA52" s="52">
        <f ca="1" t="shared" si="21"/>
        <v>0</v>
      </c>
      <c r="AB52" s="22">
        <f ca="1">+GETPIVOTDATA("XBB4",'binhba (2016)'!$A$3,"MA_HT","DSH","MA_QH","DGT")</f>
        <v>0</v>
      </c>
      <c r="AC52" s="22">
        <f ca="1">+GETPIVOTDATA("XBB4",'binhba (2016)'!$A$3,"MA_HT","DSH","MA_QH","DTL")</f>
        <v>0</v>
      </c>
      <c r="AD52" s="22">
        <f ca="1">+GETPIVOTDATA("XBB4",'binhba (2016)'!$A$3,"MA_HT","DSH","MA_QH","DNL")</f>
        <v>0</v>
      </c>
      <c r="AE52" s="22">
        <f ca="1">+GETPIVOTDATA("XBB4",'binhba (2016)'!$A$3,"MA_HT","DSH","MA_QH","DBV")</f>
        <v>0</v>
      </c>
      <c r="AF52" s="22">
        <f ca="1">+GETPIVOTDATA("XBB4",'binhba (2016)'!$A$3,"MA_HT","DSH","MA_QH","DVH")</f>
        <v>0</v>
      </c>
      <c r="AG52" s="22">
        <f ca="1">+GETPIVOTDATA("XBB4",'binhba (2016)'!$A$3,"MA_HT","DSH","MA_QH","DYT")</f>
        <v>0</v>
      </c>
      <c r="AH52" s="22">
        <f ca="1">+GETPIVOTDATA("XBB4",'binhba (2016)'!$A$3,"MA_HT","DSH","MA_QH","DGD")</f>
        <v>0</v>
      </c>
      <c r="AI52" s="22">
        <f ca="1">+GETPIVOTDATA("XBB4",'binhba (2016)'!$A$3,"MA_HT","DSH","MA_QH","DTT")</f>
        <v>0</v>
      </c>
      <c r="AJ52" s="22">
        <f ca="1">+GETPIVOTDATA("XBB4",'binhba (2016)'!$A$3,"MA_HT","DSH","MA_QH","NCK")</f>
        <v>0</v>
      </c>
      <c r="AK52" s="22">
        <f ca="1">+GETPIVOTDATA("XBB4",'binhba (2016)'!$A$3,"MA_HT","DSH","MA_QH","DXH")</f>
        <v>0</v>
      </c>
      <c r="AL52" s="22">
        <f ca="1">+GETPIVOTDATA("XBB4",'binhba (2016)'!$A$3,"MA_HT","DSH","MA_QH","DCH")</f>
        <v>0</v>
      </c>
      <c r="AM52" s="22">
        <f ca="1">+GETPIVOTDATA("XBB4",'binhba (2016)'!$A$3,"MA_HT","DSH","MA_QH","DKG")</f>
        <v>0</v>
      </c>
      <c r="AN52" s="22">
        <f ca="1">+GETPIVOTDATA("XBB4",'binhba (2016)'!$A$3,"MA_HT","DSH","MA_QH","DDT")</f>
        <v>0</v>
      </c>
      <c r="AO52" s="22">
        <f ca="1">+GETPIVOTDATA("XBB4",'binhba (2016)'!$A$3,"MA_HT","DSH","MA_QH","DDL")</f>
        <v>0</v>
      </c>
      <c r="AP52" s="22">
        <f ca="1">+GETPIVOTDATA("XBB4",'binhba (2016)'!$A$3,"MA_HT","DSH","MA_QH","DRA")</f>
        <v>0</v>
      </c>
      <c r="AQ52" s="22">
        <f ca="1">+GETPIVOTDATA("XBB4",'binhba (2016)'!$A$3,"MA_HT","DSH","MA_QH","ONT")</f>
        <v>0</v>
      </c>
      <c r="AR52" s="22">
        <f ca="1">+GETPIVOTDATA("XBB4",'binhba (2016)'!$A$3,"MA_HT","DSH","MA_QH","ODT")</f>
        <v>0</v>
      </c>
      <c r="AS52" s="22">
        <f ca="1">+GETPIVOTDATA("XBB4",'binhba (2016)'!$A$3,"MA_HT","DSH","MA_QH","TSC")</f>
        <v>0</v>
      </c>
      <c r="AT52" s="22">
        <f ca="1">+GETPIVOTDATA("XBB4",'binhba (2016)'!$A$3,"MA_HT","DSH","MA_QH","DTS")</f>
        <v>0</v>
      </c>
      <c r="AU52" s="22">
        <f ca="1">+GETPIVOTDATA("XBB4",'binhba (2016)'!$A$3,"MA_HT","DSH","MA_QH","DNG")</f>
        <v>0</v>
      </c>
      <c r="AV52" s="22">
        <f ca="1">+GETPIVOTDATA("XBB4",'binhba (2016)'!$A$3,"MA_HT","DSH","MA_QH","TON")</f>
        <v>0</v>
      </c>
      <c r="AW52" s="22">
        <f ca="1">+GETPIVOTDATA("XBB4",'binhba (2016)'!$A$3,"MA_HT","DSH","MA_QH","NTD")</f>
        <v>0</v>
      </c>
      <c r="AX52" s="22">
        <f ca="1">+GETPIVOTDATA("XBB4",'binhba (2016)'!$A$3,"MA_HT","DSH","MA_QH","SKX")</f>
        <v>0</v>
      </c>
      <c r="AY52" s="43" t="e">
        <f ca="1">$D52-$BF52</f>
        <v>#REF!</v>
      </c>
      <c r="AZ52" s="22">
        <f ca="1">+GETPIVOTDATA("XBB4",'binhba (2016)'!$A$3,"MA_HT","DSH","MA_QH","DKV")</f>
        <v>0</v>
      </c>
      <c r="BA52" s="89">
        <f ca="1">+GETPIVOTDATA("XBB4",'binhba (2016)'!$A$3,"MA_HT","DSH","MA_QH","TIN")</f>
        <v>0</v>
      </c>
      <c r="BB52" s="50">
        <f ca="1">+GETPIVOTDATA("XBB4",'binhba (2016)'!$A$3,"MA_HT","DSH","MA_QH","SON")</f>
        <v>0</v>
      </c>
      <c r="BC52" s="50">
        <f ca="1">+GETPIVOTDATA("XBB4",'binhba (2016)'!$A$3,"MA_HT","DSH","MA_QH","MNC")</f>
        <v>0</v>
      </c>
      <c r="BD52" s="22">
        <f ca="1">+GETPIVOTDATA("XBB4",'binhba (2016)'!$A$3,"MA_HT","DSH","MA_QH","PNK")</f>
        <v>0</v>
      </c>
      <c r="BE52" s="71">
        <f ca="1">+GETPIVOTDATA("XBB4",'binhba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+GETPIVOTDATA("XBB4",'binhba (2016)'!$A$3,"MA_HT","DKV","MA_QH","LUC")</f>
        <v>0</v>
      </c>
      <c r="H53" s="22">
        <f ca="1">+GETPIVOTDATA("XBB4",'binhba (2016)'!$A$3,"MA_HT","DKV","MA_QH","LUK")</f>
        <v>0</v>
      </c>
      <c r="I53" s="22">
        <f ca="1">+GETPIVOTDATA("XBB4",'binhba (2016)'!$A$3,"MA_HT","DKV","MA_QH","LUN")</f>
        <v>0</v>
      </c>
      <c r="J53" s="22">
        <f ca="1">+GETPIVOTDATA("XBB4",'binhba (2016)'!$A$3,"MA_HT","DKV","MA_QH","HNK")</f>
        <v>0</v>
      </c>
      <c r="K53" s="22">
        <f ca="1">+GETPIVOTDATA("XBB4",'binhba (2016)'!$A$3,"MA_HT","DKV","MA_QH","CLN")</f>
        <v>0</v>
      </c>
      <c r="L53" s="22">
        <f ca="1">+GETPIVOTDATA("XBB4",'binhba (2016)'!$A$3,"MA_HT","DKV","MA_QH","RSX")</f>
        <v>0</v>
      </c>
      <c r="M53" s="22">
        <f ca="1">+GETPIVOTDATA("XBB4",'binhba (2016)'!$A$3,"MA_HT","DKV","MA_QH","RPH")</f>
        <v>0</v>
      </c>
      <c r="N53" s="22">
        <f ca="1">+GETPIVOTDATA("XBB4",'binhba (2016)'!$A$3,"MA_HT","DKV","MA_QH","RDD")</f>
        <v>0</v>
      </c>
      <c r="O53" s="22">
        <f ca="1">+GETPIVOTDATA("XBB4",'binhba (2016)'!$A$3,"MA_HT","DKV","MA_QH","NTS")</f>
        <v>0</v>
      </c>
      <c r="P53" s="22">
        <f ca="1">+GETPIVOTDATA("XBB4",'binhba (2016)'!$A$3,"MA_HT","DKV","MA_QH","LMU")</f>
        <v>0</v>
      </c>
      <c r="Q53" s="22">
        <f ca="1">+GETPIVOTDATA("XBB4",'binhba (2016)'!$A$3,"MA_HT","DKV","MA_QH","NKH")</f>
        <v>0</v>
      </c>
      <c r="R53" s="79">
        <f ca="1">SUM(S53:AA53,AN53:AY53,BB53:BD53)</f>
        <v>0</v>
      </c>
      <c r="S53" s="22">
        <f ca="1">+GETPIVOTDATA("XBB4",'binhba (2016)'!$A$3,"MA_HT","DKV","MA_QH","CQP")</f>
        <v>0</v>
      </c>
      <c r="T53" s="22">
        <f ca="1">+GETPIVOTDATA("XBB4",'binhba (2016)'!$A$3,"MA_HT","DKV","MA_QH","CAN")</f>
        <v>0</v>
      </c>
      <c r="U53" s="22">
        <f ca="1">+GETPIVOTDATA("XBB4",'binhba (2016)'!$A$3,"MA_HT","DKV","MA_QH","SKK")</f>
        <v>0</v>
      </c>
      <c r="V53" s="22">
        <f ca="1">+GETPIVOTDATA("XBB4",'binhba (2016)'!$A$3,"MA_HT","DKV","MA_QH","SKT")</f>
        <v>0</v>
      </c>
      <c r="W53" s="22">
        <f ca="1">+GETPIVOTDATA("XBB4",'binhba (2016)'!$A$3,"MA_HT","DKV","MA_QH","SKN")</f>
        <v>0</v>
      </c>
      <c r="X53" s="22">
        <f ca="1">+GETPIVOTDATA("XBB4",'binhba (2016)'!$A$3,"MA_HT","DKV","MA_QH","TMD")</f>
        <v>0</v>
      </c>
      <c r="Y53" s="22">
        <f ca="1">+GETPIVOTDATA("XBB4",'binhba (2016)'!$A$3,"MA_HT","DKV","MA_QH","SKC")</f>
        <v>0</v>
      </c>
      <c r="Z53" s="22">
        <f ca="1">+GETPIVOTDATA("XBB4",'binhba (2016)'!$A$3,"MA_HT","DKV","MA_QH","SKS")</f>
        <v>0</v>
      </c>
      <c r="AA53" s="52">
        <f ca="1" t="shared" si="21"/>
        <v>0</v>
      </c>
      <c r="AB53" s="22">
        <f ca="1">+GETPIVOTDATA("XBB4",'binhba (2016)'!$A$3,"MA_HT","DKV","MA_QH","DGT")</f>
        <v>0</v>
      </c>
      <c r="AC53" s="22">
        <f ca="1">+GETPIVOTDATA("XBB4",'binhba (2016)'!$A$3,"MA_HT","DKV","MA_QH","DTL")</f>
        <v>0</v>
      </c>
      <c r="AD53" s="22">
        <f ca="1">+GETPIVOTDATA("XBB4",'binhba (2016)'!$A$3,"MA_HT","DKV","MA_QH","DNL")</f>
        <v>0</v>
      </c>
      <c r="AE53" s="22">
        <f ca="1">+GETPIVOTDATA("XBB4",'binhba (2016)'!$A$3,"MA_HT","DKV","MA_QH","DBV")</f>
        <v>0</v>
      </c>
      <c r="AF53" s="22">
        <f ca="1">+GETPIVOTDATA("XBB4",'binhba (2016)'!$A$3,"MA_HT","DKV","MA_QH","DVH")</f>
        <v>0</v>
      </c>
      <c r="AG53" s="22">
        <f ca="1">+GETPIVOTDATA("XBB4",'binhba (2016)'!$A$3,"MA_HT","DKV","MA_QH","DYT")</f>
        <v>0</v>
      </c>
      <c r="AH53" s="22">
        <f ca="1">+GETPIVOTDATA("XBB4",'binhba (2016)'!$A$3,"MA_HT","DKV","MA_QH","DGD")</f>
        <v>0</v>
      </c>
      <c r="AI53" s="22">
        <f ca="1">+GETPIVOTDATA("XBB4",'binhba (2016)'!$A$3,"MA_HT","DKV","MA_QH","DTT")</f>
        <v>0</v>
      </c>
      <c r="AJ53" s="22">
        <f ca="1">+GETPIVOTDATA("XBB4",'binhba (2016)'!$A$3,"MA_HT","DKV","MA_QH","NCK")</f>
        <v>0</v>
      </c>
      <c r="AK53" s="22">
        <f ca="1">+GETPIVOTDATA("XBB4",'binhba (2016)'!$A$3,"MA_HT","DKV","MA_QH","DXH")</f>
        <v>0</v>
      </c>
      <c r="AL53" s="22">
        <f ca="1">+GETPIVOTDATA("XBB4",'binhba (2016)'!$A$3,"MA_HT","DKV","MA_QH","DCH")</f>
        <v>0</v>
      </c>
      <c r="AM53" s="22">
        <f ca="1">+GETPIVOTDATA("XBB4",'binhba (2016)'!$A$3,"MA_HT","DKV","MA_QH","DKG")</f>
        <v>0</v>
      </c>
      <c r="AN53" s="22">
        <f ca="1">+GETPIVOTDATA("XBB4",'binhba (2016)'!$A$3,"MA_HT","DKV","MA_QH","DDT")</f>
        <v>0</v>
      </c>
      <c r="AO53" s="22">
        <f ca="1">+GETPIVOTDATA("XBB4",'binhba (2016)'!$A$3,"MA_HT","DKV","MA_QH","DDL")</f>
        <v>0</v>
      </c>
      <c r="AP53" s="22">
        <f ca="1">+GETPIVOTDATA("XBB4",'binhba (2016)'!$A$3,"MA_HT","DKV","MA_QH","DRA")</f>
        <v>0</v>
      </c>
      <c r="AQ53" s="22">
        <f ca="1">+GETPIVOTDATA("XBB4",'binhba (2016)'!$A$3,"MA_HT","DKV","MA_QH","ONT")</f>
        <v>0</v>
      </c>
      <c r="AR53" s="22">
        <f ca="1">+GETPIVOTDATA("XBB4",'binhba (2016)'!$A$3,"MA_HT","DKV","MA_QH","ODT")</f>
        <v>0</v>
      </c>
      <c r="AS53" s="22">
        <f ca="1">+GETPIVOTDATA("XBB4",'binhba (2016)'!$A$3,"MA_HT","DKV","MA_QH","TSC")</f>
        <v>0</v>
      </c>
      <c r="AT53" s="22">
        <f ca="1">+GETPIVOTDATA("XBB4",'binhba (2016)'!$A$3,"MA_HT","DKV","MA_QH","DTS")</f>
        <v>0</v>
      </c>
      <c r="AU53" s="22">
        <f ca="1">+GETPIVOTDATA("XBB4",'binhba (2016)'!$A$3,"MA_HT","DKV","MA_QH","DNG")</f>
        <v>0</v>
      </c>
      <c r="AV53" s="22">
        <f ca="1">+GETPIVOTDATA("XBB4",'binhba (2016)'!$A$3,"MA_HT","DKV","MA_QH","TON")</f>
        <v>0</v>
      </c>
      <c r="AW53" s="22">
        <f ca="1">+GETPIVOTDATA("XBB4",'binhba (2016)'!$A$3,"MA_HT","DKV","MA_QH","NTD")</f>
        <v>0</v>
      </c>
      <c r="AX53" s="22">
        <f ca="1">+GETPIVOTDATA("XBB4",'binhba (2016)'!$A$3,"MA_HT","DKV","MA_QH","SKX")</f>
        <v>0</v>
      </c>
      <c r="AY53" s="22">
        <f ca="1">+GETPIVOTDATA("XBB4",'binhba (2016)'!$A$3,"MA_HT","DKV","MA_QH","DSH")</f>
        <v>0</v>
      </c>
      <c r="AZ53" s="43" t="e">
        <f ca="1">$D53-$BF53</f>
        <v>#REF!</v>
      </c>
      <c r="BA53" s="89">
        <f ca="1">+GETPIVOTDATA("XBB4",'binhba (2016)'!$A$3,"MA_HT","DKV","MA_QH","TIN")</f>
        <v>0</v>
      </c>
      <c r="BB53" s="50">
        <f ca="1">+GETPIVOTDATA("XBB4",'binhba (2016)'!$A$3,"MA_HT","DKV","MA_QH","SON")</f>
        <v>0</v>
      </c>
      <c r="BC53" s="50">
        <f ca="1">+GETPIVOTDATA("XBB4",'binhba (2016)'!$A$3,"MA_HT","DKV","MA_QH","MNC")</f>
        <v>0</v>
      </c>
      <c r="BD53" s="22">
        <f ca="1">+GETPIVOTDATA("XBB4",'binhba (2016)'!$A$3,"MA_HT","DKV","MA_QH","PNK")</f>
        <v>0</v>
      </c>
      <c r="BE53" s="71">
        <f ca="1">+GETPIVOTDATA("XBB4",'binhba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+GETPIVOTDATA("XBB4",'binhba (2016)'!$A$3,"MA_HT","TIN","MA_QH","LUC")</f>
        <v>0</v>
      </c>
      <c r="H54" s="22">
        <f ca="1">+GETPIVOTDATA("XBB4",'binhba (2016)'!$A$3,"MA_HT","TIN","MA_QH","LUK")</f>
        <v>0</v>
      </c>
      <c r="I54" s="22">
        <f ca="1">+GETPIVOTDATA("XBB4",'binhba (2016)'!$A$3,"MA_HT","TIN","MA_QH","LUN")</f>
        <v>0</v>
      </c>
      <c r="J54" s="22">
        <f ca="1">+GETPIVOTDATA("XBB4",'binhba (2016)'!$A$3,"MA_HT","TIN","MA_QH","HNK")</f>
        <v>0</v>
      </c>
      <c r="K54" s="22">
        <f ca="1">+GETPIVOTDATA("XBB4",'binhba (2016)'!$A$3,"MA_HT","TIN","MA_QH","CLN")</f>
        <v>0</v>
      </c>
      <c r="L54" s="22">
        <f ca="1">+GETPIVOTDATA("XBB4",'binhba (2016)'!$A$3,"MA_HT","TIN","MA_QH","RSX")</f>
        <v>0</v>
      </c>
      <c r="M54" s="22">
        <f ca="1">+GETPIVOTDATA("XBB4",'binhba (2016)'!$A$3,"MA_HT","TIN","MA_QH","RPH")</f>
        <v>0</v>
      </c>
      <c r="N54" s="22">
        <f ca="1">+GETPIVOTDATA("XBB4",'binhba (2016)'!$A$3,"MA_HT","TIN","MA_QH","RDD")</f>
        <v>0</v>
      </c>
      <c r="O54" s="22">
        <f ca="1">+GETPIVOTDATA("XBB4",'binhba (2016)'!$A$3,"MA_HT","TIN","MA_QH","NTS")</f>
        <v>0</v>
      </c>
      <c r="P54" s="22">
        <f ca="1">+GETPIVOTDATA("XBB4",'binhba (2016)'!$A$3,"MA_HT","TIN","MA_QH","LMU")</f>
        <v>0</v>
      </c>
      <c r="Q54" s="22">
        <f ca="1">+GETPIVOTDATA("XBB4",'binhba (2016)'!$A$3,"MA_HT","TIN","MA_QH","NKH")</f>
        <v>0</v>
      </c>
      <c r="R54" s="79">
        <f ca="1">SUM(S54:AA54,AN54:AZ54,BB54:BD54)</f>
        <v>0</v>
      </c>
      <c r="S54" s="22">
        <f ca="1">+GETPIVOTDATA("XBB4",'binhba (2016)'!$A$3,"MA_HT","TIN","MA_QH","CQP")</f>
        <v>0</v>
      </c>
      <c r="T54" s="22">
        <f ca="1">+GETPIVOTDATA("XBB4",'binhba (2016)'!$A$3,"MA_HT","TIN","MA_QH","CAN")</f>
        <v>0</v>
      </c>
      <c r="U54" s="22">
        <f ca="1">+GETPIVOTDATA("XBB4",'binhba (2016)'!$A$3,"MA_HT","TIN","MA_QH","SKK")</f>
        <v>0</v>
      </c>
      <c r="V54" s="22">
        <f ca="1">+GETPIVOTDATA("XBB4",'binhba (2016)'!$A$3,"MA_HT","TIN","MA_QH","SKT")</f>
        <v>0</v>
      </c>
      <c r="W54" s="22">
        <f ca="1">+GETPIVOTDATA("XBB4",'binhba (2016)'!$A$3,"MA_HT","TIN","MA_QH","SKN")</f>
        <v>0</v>
      </c>
      <c r="X54" s="22">
        <f ca="1">+GETPIVOTDATA("XBB4",'binhba (2016)'!$A$3,"MA_HT","TIN","MA_QH","TMD")</f>
        <v>0</v>
      </c>
      <c r="Y54" s="22">
        <f ca="1">+GETPIVOTDATA("XBB4",'binhba (2016)'!$A$3,"MA_HT","TIN","MA_QH","SKC")</f>
        <v>0</v>
      </c>
      <c r="Z54" s="22">
        <f ca="1">+GETPIVOTDATA("XBB4",'binhba (2016)'!$A$3,"MA_HT","TIN","MA_QH","SKS")</f>
        <v>0</v>
      </c>
      <c r="AA54" s="52">
        <f ca="1" t="shared" si="21"/>
        <v>0</v>
      </c>
      <c r="AB54" s="22">
        <f ca="1">+GETPIVOTDATA("XBB4",'binhba (2016)'!$A$3,"MA_HT","TIN","MA_QH","DGT")</f>
        <v>0</v>
      </c>
      <c r="AC54" s="22">
        <f ca="1">+GETPIVOTDATA("XBB4",'binhba (2016)'!$A$3,"MA_HT","TIN","MA_QH","DTL")</f>
        <v>0</v>
      </c>
      <c r="AD54" s="22">
        <f ca="1">+GETPIVOTDATA("XBB4",'binhba (2016)'!$A$3,"MA_HT","TIN","MA_QH","DNL")</f>
        <v>0</v>
      </c>
      <c r="AE54" s="22">
        <f ca="1">+GETPIVOTDATA("XBB4",'binhba (2016)'!$A$3,"MA_HT","TIN","MA_QH","DBV")</f>
        <v>0</v>
      </c>
      <c r="AF54" s="22">
        <f ca="1">+GETPIVOTDATA("XBB4",'binhba (2016)'!$A$3,"MA_HT","TIN","MA_QH","DVH")</f>
        <v>0</v>
      </c>
      <c r="AG54" s="22">
        <f ca="1">+GETPIVOTDATA("XBB4",'binhba (2016)'!$A$3,"MA_HT","TIN","MA_QH","DYT")</f>
        <v>0</v>
      </c>
      <c r="AH54" s="22">
        <f ca="1">+GETPIVOTDATA("XBB4",'binhba (2016)'!$A$3,"MA_HT","TIN","MA_QH","DGD")</f>
        <v>0</v>
      </c>
      <c r="AI54" s="22">
        <f ca="1">+GETPIVOTDATA("XBB4",'binhba (2016)'!$A$3,"MA_HT","TIN","MA_QH","DTT")</f>
        <v>0</v>
      </c>
      <c r="AJ54" s="22">
        <f ca="1">+GETPIVOTDATA("XBB4",'binhba (2016)'!$A$3,"MA_HT","TIN","MA_QH","NCK")</f>
        <v>0</v>
      </c>
      <c r="AK54" s="22">
        <f ca="1">+GETPIVOTDATA("XBB4",'binhba (2016)'!$A$3,"MA_HT","TIN","MA_QH","DXH")</f>
        <v>0</v>
      </c>
      <c r="AL54" s="22">
        <f ca="1">+GETPIVOTDATA("XBB4",'binhba (2016)'!$A$3,"MA_HT","TIN","MA_QH","DCH")</f>
        <v>0</v>
      </c>
      <c r="AM54" s="22">
        <f ca="1">+GETPIVOTDATA("XBB4",'binhba (2016)'!$A$3,"MA_HT","TIN","MA_QH","DKG")</f>
        <v>0</v>
      </c>
      <c r="AN54" s="22">
        <f ca="1">+GETPIVOTDATA("XBB4",'binhba (2016)'!$A$3,"MA_HT","TIN","MA_QH","DDT")</f>
        <v>0</v>
      </c>
      <c r="AO54" s="22">
        <f ca="1">+GETPIVOTDATA("XBB4",'binhba (2016)'!$A$3,"MA_HT","TIN","MA_QH","DDL")</f>
        <v>0</v>
      </c>
      <c r="AP54" s="22">
        <f ca="1">+GETPIVOTDATA("XBB4",'binhba (2016)'!$A$3,"MA_HT","TIN","MA_QH","DRA")</f>
        <v>0</v>
      </c>
      <c r="AQ54" s="22">
        <f ca="1">+GETPIVOTDATA("XBB4",'binhba (2016)'!$A$3,"MA_HT","TIN","MA_QH","ONT")</f>
        <v>0</v>
      </c>
      <c r="AR54" s="22">
        <f ca="1">+GETPIVOTDATA("XBB4",'binhba (2016)'!$A$3,"MA_HT","TIN","MA_QH","ODT")</f>
        <v>0</v>
      </c>
      <c r="AS54" s="22">
        <f ca="1">+GETPIVOTDATA("XBB4",'binhba (2016)'!$A$3,"MA_HT","TIN","MA_QH","TSC")</f>
        <v>0</v>
      </c>
      <c r="AT54" s="22">
        <f ca="1">+GETPIVOTDATA("XBB4",'binhba (2016)'!$A$3,"MA_HT","TIN","MA_QH","DTS")</f>
        <v>0</v>
      </c>
      <c r="AU54" s="22">
        <f ca="1">+GETPIVOTDATA("XBB4",'binhba (2016)'!$A$3,"MA_HT","TIN","MA_QH","DNG")</f>
        <v>0</v>
      </c>
      <c r="AV54" s="22">
        <f ca="1">+GETPIVOTDATA("XBB4",'binhba (2016)'!$A$3,"MA_HT","TIN","MA_QH","TON")</f>
        <v>0</v>
      </c>
      <c r="AW54" s="22">
        <f ca="1">+GETPIVOTDATA("XBB4",'binhba (2016)'!$A$3,"MA_HT","TIN","MA_QH","NTD")</f>
        <v>0</v>
      </c>
      <c r="AX54" s="22">
        <f ca="1">+GETPIVOTDATA("XBB4",'binhba (2016)'!$A$3,"MA_HT","TIN","MA_QH","SKX")</f>
        <v>0</v>
      </c>
      <c r="AY54" s="22">
        <f ca="1">+GETPIVOTDATA("XBB4",'binhba (2016)'!$A$3,"MA_HT","TIN","MA_QH","DSH")</f>
        <v>0</v>
      </c>
      <c r="AZ54" s="22">
        <f ca="1">+GETPIVOTDATA("XBB4",'binhba (2016)'!$A$3,"MA_HT","TIN","MA_QH","DKV")</f>
        <v>0</v>
      </c>
      <c r="BA54" s="43" t="e">
        <f ca="1">$D54-$BF54</f>
        <v>#REF!</v>
      </c>
      <c r="BB54" s="22">
        <f ca="1">+GETPIVOTDATA("XBB4",'binhba (2016)'!$A$3,"MA_HT","TIN","MA_QH","SON")</f>
        <v>0</v>
      </c>
      <c r="BC54" s="22">
        <f ca="1">+GETPIVOTDATA("XBB4",'binhba (2016)'!$A$3,"MA_HT","TIN","MA_QH","MNC")</f>
        <v>0</v>
      </c>
      <c r="BD54" s="22">
        <f ca="1">+GETPIVOTDATA("XBB4",'binhba (2016)'!$A$3,"MA_HT","TIN","MA_QH","PNK")</f>
        <v>0</v>
      </c>
      <c r="BE54" s="71">
        <f ca="1">+GETPIVOTDATA("XBB4",'binhba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+GETPIVOTDATA("XBB4",'binhba (2016)'!$A$3,"MA_HT","SON","MA_QH","LUC")</f>
        <v>0</v>
      </c>
      <c r="H55" s="22">
        <f ca="1">+GETPIVOTDATA("XBB4",'binhba (2016)'!$A$3,"MA_HT","SON","MA_QH","LUK")</f>
        <v>0</v>
      </c>
      <c r="I55" s="22">
        <f ca="1">+GETPIVOTDATA("XBB4",'binhba (2016)'!$A$3,"MA_HT","SON","MA_QH","LUN")</f>
        <v>0</v>
      </c>
      <c r="J55" s="22">
        <f ca="1">+GETPIVOTDATA("XBB4",'binhba (2016)'!$A$3,"MA_HT","SON","MA_QH","HNK")</f>
        <v>0</v>
      </c>
      <c r="K55" s="22">
        <f ca="1">+GETPIVOTDATA("XBB4",'binhba (2016)'!$A$3,"MA_HT","SON","MA_QH","CLN")</f>
        <v>0</v>
      </c>
      <c r="L55" s="22">
        <f ca="1">+GETPIVOTDATA("XBB4",'binhba (2016)'!$A$3,"MA_HT","SON","MA_QH","RSX")</f>
        <v>0</v>
      </c>
      <c r="M55" s="22">
        <f ca="1">+GETPIVOTDATA("XBB4",'binhba (2016)'!$A$3,"MA_HT","SON","MA_QH","RPH")</f>
        <v>0</v>
      </c>
      <c r="N55" s="22">
        <f ca="1">+GETPIVOTDATA("XBB4",'binhba (2016)'!$A$3,"MA_HT","SON","MA_QH","RDD")</f>
        <v>0</v>
      </c>
      <c r="O55" s="22">
        <f ca="1">+GETPIVOTDATA("XBB4",'binhba (2016)'!$A$3,"MA_HT","SON","MA_QH","NTS")</f>
        <v>0</v>
      </c>
      <c r="P55" s="22">
        <f ca="1">+GETPIVOTDATA("XBB4",'binhba (2016)'!$A$3,"MA_HT","SON","MA_QH","LMU")</f>
        <v>0</v>
      </c>
      <c r="Q55" s="22">
        <f ca="1">+GETPIVOTDATA("XBB4",'binhba (2016)'!$A$3,"MA_HT","SON","MA_QH","NKH")</f>
        <v>0</v>
      </c>
      <c r="R55" s="79">
        <f ca="1">SUM(S55:AA55,AN55:AZ55,BC55:BD55)</f>
        <v>0</v>
      </c>
      <c r="S55" s="22">
        <f ca="1">+GETPIVOTDATA("XBB4",'binhba (2016)'!$A$3,"MA_HT","SON","MA_QH","CQP")</f>
        <v>0</v>
      </c>
      <c r="T55" s="22">
        <f ca="1">+GETPIVOTDATA("XBB4",'binhba (2016)'!$A$3,"MA_HT","SON","MA_QH","CAN")</f>
        <v>0</v>
      </c>
      <c r="U55" s="22">
        <f ca="1">+GETPIVOTDATA("XBB4",'binhba (2016)'!$A$3,"MA_HT","SON","MA_QH","SKK")</f>
        <v>0</v>
      </c>
      <c r="V55" s="22">
        <f ca="1">+GETPIVOTDATA("XBB4",'binhba (2016)'!$A$3,"MA_HT","SON","MA_QH","SKT")</f>
        <v>0</v>
      </c>
      <c r="W55" s="22">
        <f ca="1">+GETPIVOTDATA("XBB4",'binhba (2016)'!$A$3,"MA_HT","SON","MA_QH","SKN")</f>
        <v>0</v>
      </c>
      <c r="X55" s="22">
        <f ca="1">+GETPIVOTDATA("XBB4",'binhba (2016)'!$A$3,"MA_HT","SON","MA_QH","TMD")</f>
        <v>0</v>
      </c>
      <c r="Y55" s="22">
        <f ca="1">+GETPIVOTDATA("XBB4",'binhba (2016)'!$A$3,"MA_HT","SON","MA_QH","SKC")</f>
        <v>0</v>
      </c>
      <c r="Z55" s="22">
        <f ca="1">+GETPIVOTDATA("XBB4",'binhba (2016)'!$A$3,"MA_HT","SON","MA_QH","SKS")</f>
        <v>0</v>
      </c>
      <c r="AA55" s="52">
        <f ca="1" t="shared" si="21"/>
        <v>0</v>
      </c>
      <c r="AB55" s="22">
        <f ca="1">+GETPIVOTDATA("XBB4",'binhba (2016)'!$A$3,"MA_HT","SON","MA_QH","DGT")</f>
        <v>0</v>
      </c>
      <c r="AC55" s="22">
        <f ca="1">+GETPIVOTDATA("XBB4",'binhba (2016)'!$A$3,"MA_HT","SON","MA_QH","DTL")</f>
        <v>0</v>
      </c>
      <c r="AD55" s="22">
        <f ca="1">+GETPIVOTDATA("XBB4",'binhba (2016)'!$A$3,"MA_HT","SON","MA_QH","DNL")</f>
        <v>0</v>
      </c>
      <c r="AE55" s="22">
        <f ca="1">+GETPIVOTDATA("XBB4",'binhba (2016)'!$A$3,"MA_HT","SON","MA_QH","DBV")</f>
        <v>0</v>
      </c>
      <c r="AF55" s="22">
        <f ca="1">+GETPIVOTDATA("XBB4",'binhba (2016)'!$A$3,"MA_HT","SON","MA_QH","DVH")</f>
        <v>0</v>
      </c>
      <c r="AG55" s="22">
        <f ca="1">+GETPIVOTDATA("XBB4",'binhba (2016)'!$A$3,"MA_HT","SON","MA_QH","DYT")</f>
        <v>0</v>
      </c>
      <c r="AH55" s="22">
        <f ca="1">+GETPIVOTDATA("XBB4",'binhba (2016)'!$A$3,"MA_HT","SON","MA_QH","DGD")</f>
        <v>0</v>
      </c>
      <c r="AI55" s="22">
        <f ca="1">+GETPIVOTDATA("XBB4",'binhba (2016)'!$A$3,"MA_HT","SON","MA_QH","DTT")</f>
        <v>0</v>
      </c>
      <c r="AJ55" s="22">
        <f ca="1">+GETPIVOTDATA("XBB4",'binhba (2016)'!$A$3,"MA_HT","SON","MA_QH","NCK")</f>
        <v>0</v>
      </c>
      <c r="AK55" s="22">
        <f ca="1">+GETPIVOTDATA("XBB4",'binhba (2016)'!$A$3,"MA_HT","SON","MA_QH","DXH")</f>
        <v>0</v>
      </c>
      <c r="AL55" s="22">
        <f ca="1">+GETPIVOTDATA("XBB4",'binhba (2016)'!$A$3,"MA_HT","SON","MA_QH","DCH")</f>
        <v>0</v>
      </c>
      <c r="AM55" s="22">
        <f ca="1">+GETPIVOTDATA("XBB4",'binhba (2016)'!$A$3,"MA_HT","SON","MA_QH","DKG")</f>
        <v>0</v>
      </c>
      <c r="AN55" s="22">
        <f ca="1">+GETPIVOTDATA("XBB4",'binhba (2016)'!$A$3,"MA_HT","SON","MA_QH","DDT")</f>
        <v>0</v>
      </c>
      <c r="AO55" s="22">
        <f ca="1">+GETPIVOTDATA("XBB4",'binhba (2016)'!$A$3,"MA_HT","SON","MA_QH","DDL")</f>
        <v>0</v>
      </c>
      <c r="AP55" s="22">
        <f ca="1">+GETPIVOTDATA("XBB4",'binhba (2016)'!$A$3,"MA_HT","SON","MA_QH","DRA")</f>
        <v>0</v>
      </c>
      <c r="AQ55" s="22">
        <f ca="1">+GETPIVOTDATA("XBB4",'binhba (2016)'!$A$3,"MA_HT","SON","MA_QH","ONT")</f>
        <v>0</v>
      </c>
      <c r="AR55" s="22">
        <f ca="1">+GETPIVOTDATA("XBB4",'binhba (2016)'!$A$3,"MA_HT","SON","MA_QH","ODT")</f>
        <v>0</v>
      </c>
      <c r="AS55" s="22">
        <f ca="1">+GETPIVOTDATA("XBB4",'binhba (2016)'!$A$3,"MA_HT","SON","MA_QH","TSC")</f>
        <v>0</v>
      </c>
      <c r="AT55" s="22">
        <f ca="1">+GETPIVOTDATA("XBB4",'binhba (2016)'!$A$3,"MA_HT","SON","MA_QH","DTS")</f>
        <v>0</v>
      </c>
      <c r="AU55" s="22">
        <f ca="1">+GETPIVOTDATA("XBB4",'binhba (2016)'!$A$3,"MA_HT","SON","MA_QH","DNG")</f>
        <v>0</v>
      </c>
      <c r="AV55" s="22">
        <f ca="1">+GETPIVOTDATA("XBB4",'binhba (2016)'!$A$3,"MA_HT","SON","MA_QH","TON")</f>
        <v>0</v>
      </c>
      <c r="AW55" s="22">
        <f ca="1">+GETPIVOTDATA("XBB4",'binhba (2016)'!$A$3,"MA_HT","SON","MA_QH","NTD")</f>
        <v>0</v>
      </c>
      <c r="AX55" s="22">
        <f ca="1">+GETPIVOTDATA("XBB4",'binhba (2016)'!$A$3,"MA_HT","SON","MA_QH","SKX")</f>
        <v>0</v>
      </c>
      <c r="AY55" s="22">
        <f ca="1">+GETPIVOTDATA("XBB4",'binhba (2016)'!$A$3,"MA_HT","SON","MA_QH","DSH")</f>
        <v>0</v>
      </c>
      <c r="AZ55" s="22">
        <f ca="1">+GETPIVOTDATA("XBB4",'binhba (2016)'!$A$3,"MA_HT","SON","MA_QH","DKV")</f>
        <v>0</v>
      </c>
      <c r="BA55" s="89">
        <f ca="1">+GETPIVOTDATA("XBB4",'binhba (2016)'!$A$3,"MA_HT","SON","MA_QH","TIN")</f>
        <v>0</v>
      </c>
      <c r="BB55" s="43" t="e">
        <f ca="1">$D55-$BF55</f>
        <v>#REF!</v>
      </c>
      <c r="BC55" s="50">
        <f ca="1">+GETPIVOTDATA("XBB4",'binhba (2016)'!$A$3,"MA_HT","SON","MA_QH","MNC")</f>
        <v>0</v>
      </c>
      <c r="BD55" s="22">
        <f ca="1">+GETPIVOTDATA("XBB4",'binhba (2016)'!$A$3,"MA_HT","SON","MA_QH","PNK")</f>
        <v>0</v>
      </c>
      <c r="BE55" s="71">
        <f ca="1">+GETPIVOTDATA("XBB4",'binhba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+GETPIVOTDATA("XBB4",'binhba (2016)'!$A$3,"MA_HT","MNC","MA_QH","LUC")</f>
        <v>0</v>
      </c>
      <c r="H56" s="22">
        <f ca="1">+GETPIVOTDATA("XBB4",'binhba (2016)'!$A$3,"MA_HT","MNC","MA_QH","LUK")</f>
        <v>0</v>
      </c>
      <c r="I56" s="22">
        <f ca="1">+GETPIVOTDATA("XBB4",'binhba (2016)'!$A$3,"MA_HT","MNC","MA_QH","LUN")</f>
        <v>0</v>
      </c>
      <c r="J56" s="22">
        <f ca="1">+GETPIVOTDATA("XBB4",'binhba (2016)'!$A$3,"MA_HT","MNC","MA_QH","HNK")</f>
        <v>0</v>
      </c>
      <c r="K56" s="22">
        <f ca="1">+GETPIVOTDATA("XBB4",'binhba (2016)'!$A$3,"MA_HT","MNC","MA_QH","CLN")</f>
        <v>0</v>
      </c>
      <c r="L56" s="22">
        <f ca="1">+GETPIVOTDATA("XBB4",'binhba (2016)'!$A$3,"MA_HT","MNC","MA_QH","RSX")</f>
        <v>0</v>
      </c>
      <c r="M56" s="22">
        <f ca="1">+GETPIVOTDATA("XBB4",'binhba (2016)'!$A$3,"MA_HT","MNC","MA_QH","RPH")</f>
        <v>0</v>
      </c>
      <c r="N56" s="22">
        <f ca="1">+GETPIVOTDATA("XBB4",'binhba (2016)'!$A$3,"MA_HT","MNC","MA_QH","RDD")</f>
        <v>0</v>
      </c>
      <c r="O56" s="22">
        <f ca="1">+GETPIVOTDATA("XBB4",'binhba (2016)'!$A$3,"MA_HT","MNC","MA_QH","NTS")</f>
        <v>0</v>
      </c>
      <c r="P56" s="22">
        <f ca="1">+GETPIVOTDATA("XBB4",'binhba (2016)'!$A$3,"MA_HT","MNC","MA_QH","LMU")</f>
        <v>0</v>
      </c>
      <c r="Q56" s="22">
        <f ca="1">+GETPIVOTDATA("XBB4",'binhba (2016)'!$A$3,"MA_HT","MNC","MA_QH","NKH")</f>
        <v>0</v>
      </c>
      <c r="R56" s="79">
        <f ca="1">SUM(S56:AA56,AN56:BB56,BD56)</f>
        <v>0</v>
      </c>
      <c r="S56" s="22">
        <f ca="1">+GETPIVOTDATA("XBB4",'binhba (2016)'!$A$3,"MA_HT","MNC","MA_QH","CQP")</f>
        <v>0</v>
      </c>
      <c r="T56" s="22">
        <f ca="1">+GETPIVOTDATA("XBB4",'binhba (2016)'!$A$3,"MA_HT","MNC","MA_QH","CAN")</f>
        <v>0</v>
      </c>
      <c r="U56" s="22">
        <f ca="1">+GETPIVOTDATA("XBB4",'binhba (2016)'!$A$3,"MA_HT","MNC","MA_QH","SKK")</f>
        <v>0</v>
      </c>
      <c r="V56" s="22">
        <f ca="1">+GETPIVOTDATA("XBB4",'binhba (2016)'!$A$3,"MA_HT","MNC","MA_QH","SKT")</f>
        <v>0</v>
      </c>
      <c r="W56" s="22">
        <f ca="1">+GETPIVOTDATA("XBB4",'binhba (2016)'!$A$3,"MA_HT","MNC","MA_QH","SKN")</f>
        <v>0</v>
      </c>
      <c r="X56" s="22">
        <f ca="1">+GETPIVOTDATA("XBB4",'binhba (2016)'!$A$3,"MA_HT","MNC","MA_QH","TMD")</f>
        <v>0</v>
      </c>
      <c r="Y56" s="22">
        <f ca="1">+GETPIVOTDATA("XBB4",'binhba (2016)'!$A$3,"MA_HT","MNC","MA_QH","SKC")</f>
        <v>0</v>
      </c>
      <c r="Z56" s="22">
        <f ca="1">+GETPIVOTDATA("XBB4",'binhba (2016)'!$A$3,"MA_HT","MNC","MA_QH","SKS")</f>
        <v>0</v>
      </c>
      <c r="AA56" s="52">
        <f ca="1" t="shared" si="21"/>
        <v>0</v>
      </c>
      <c r="AB56" s="22">
        <f ca="1">+GETPIVOTDATA("XBB4",'binhba (2016)'!$A$3,"MA_HT","MNC","MA_QH","DGT")</f>
        <v>0</v>
      </c>
      <c r="AC56" s="22">
        <f ca="1">+GETPIVOTDATA("XBB4",'binhba (2016)'!$A$3,"MA_HT","MNC","MA_QH","DTL")</f>
        <v>0</v>
      </c>
      <c r="AD56" s="22">
        <f ca="1">+GETPIVOTDATA("XBB4",'binhba (2016)'!$A$3,"MA_HT","MNC","MA_QH","DNL")</f>
        <v>0</v>
      </c>
      <c r="AE56" s="22">
        <f ca="1">+GETPIVOTDATA("XBB4",'binhba (2016)'!$A$3,"MA_HT","MNC","MA_QH","DBV")</f>
        <v>0</v>
      </c>
      <c r="AF56" s="22">
        <f ca="1">+GETPIVOTDATA("XBB4",'binhba (2016)'!$A$3,"MA_HT","MNC","MA_QH","DVH")</f>
        <v>0</v>
      </c>
      <c r="AG56" s="22">
        <f ca="1">+GETPIVOTDATA("XBB4",'binhba (2016)'!$A$3,"MA_HT","MNC","MA_QH","DYT")</f>
        <v>0</v>
      </c>
      <c r="AH56" s="22">
        <f ca="1">+GETPIVOTDATA("XBB4",'binhba (2016)'!$A$3,"MA_HT","MNC","MA_QH","DGD")</f>
        <v>0</v>
      </c>
      <c r="AI56" s="22">
        <f ca="1">+GETPIVOTDATA("XBB4",'binhba (2016)'!$A$3,"MA_HT","MNC","MA_QH","DTT")</f>
        <v>0</v>
      </c>
      <c r="AJ56" s="22">
        <f ca="1">+GETPIVOTDATA("XBB4",'binhba (2016)'!$A$3,"MA_HT","MNC","MA_QH","NCK")</f>
        <v>0</v>
      </c>
      <c r="AK56" s="22">
        <f ca="1">+GETPIVOTDATA("XBB4",'binhba (2016)'!$A$3,"MA_HT","MNC","MA_QH","DXH")</f>
        <v>0</v>
      </c>
      <c r="AL56" s="22">
        <f ca="1">+GETPIVOTDATA("XBB4",'binhba (2016)'!$A$3,"MA_HT","MNC","MA_QH","DCH")</f>
        <v>0</v>
      </c>
      <c r="AM56" s="22">
        <f ca="1">+GETPIVOTDATA("XBB4",'binhba (2016)'!$A$3,"MA_HT","MNC","MA_QH","DKG")</f>
        <v>0</v>
      </c>
      <c r="AN56" s="22">
        <f ca="1">+GETPIVOTDATA("XBB4",'binhba (2016)'!$A$3,"MA_HT","MNC","MA_QH","DDT")</f>
        <v>0</v>
      </c>
      <c r="AO56" s="22">
        <f ca="1">+GETPIVOTDATA("XBB4",'binhba (2016)'!$A$3,"MA_HT","MNC","MA_QH","DDL")</f>
        <v>0</v>
      </c>
      <c r="AP56" s="22">
        <f ca="1">+GETPIVOTDATA("XBB4",'binhba (2016)'!$A$3,"MA_HT","MNC","MA_QH","DRA")</f>
        <v>0</v>
      </c>
      <c r="AQ56" s="22">
        <f ca="1">+GETPIVOTDATA("XBB4",'binhba (2016)'!$A$3,"MA_HT","MNC","MA_QH","ONT")</f>
        <v>0</v>
      </c>
      <c r="AR56" s="22">
        <f ca="1">+GETPIVOTDATA("XBB4",'binhba (2016)'!$A$3,"MA_HT","MNC","MA_QH","ODT")</f>
        <v>0</v>
      </c>
      <c r="AS56" s="22">
        <f ca="1">+GETPIVOTDATA("XBB4",'binhba (2016)'!$A$3,"MA_HT","MNC","MA_QH","TSC")</f>
        <v>0</v>
      </c>
      <c r="AT56" s="22">
        <f ca="1">+GETPIVOTDATA("XBB4",'binhba (2016)'!$A$3,"MA_HT","MNC","MA_QH","DTS")</f>
        <v>0</v>
      </c>
      <c r="AU56" s="22">
        <f ca="1">+GETPIVOTDATA("XBB4",'binhba (2016)'!$A$3,"MA_HT","MNC","MA_QH","DNG")</f>
        <v>0</v>
      </c>
      <c r="AV56" s="22">
        <f ca="1">+GETPIVOTDATA("XBB4",'binhba (2016)'!$A$3,"MA_HT","MNC","MA_QH","TON")</f>
        <v>0</v>
      </c>
      <c r="AW56" s="22">
        <f ca="1">+GETPIVOTDATA("XBB4",'binhba (2016)'!$A$3,"MA_HT","MNC","MA_QH","NTD")</f>
        <v>0</v>
      </c>
      <c r="AX56" s="22">
        <f ca="1">+GETPIVOTDATA("XBB4",'binhba (2016)'!$A$3,"MA_HT","MNC","MA_QH","SKX")</f>
        <v>0</v>
      </c>
      <c r="AY56" s="22">
        <f ca="1">+GETPIVOTDATA("XBB4",'binhba (2016)'!$A$3,"MA_HT","MNC","MA_QH","DSH")</f>
        <v>0</v>
      </c>
      <c r="AZ56" s="22">
        <f ca="1">+GETPIVOTDATA("XBB4",'binhba (2016)'!$A$3,"MA_HT","MNC","MA_QH","DKV")</f>
        <v>0</v>
      </c>
      <c r="BA56" s="89">
        <f ca="1">+GETPIVOTDATA("XBB4",'binhba (2016)'!$A$3,"MA_HT","MNC","MA_QH","TIN")</f>
        <v>0</v>
      </c>
      <c r="BB56" s="50">
        <f ca="1">+GETPIVOTDATA("XBB4",'binhba (2016)'!$A$3,"MA_HT","MNC","MA_QH","SON")</f>
        <v>0</v>
      </c>
      <c r="BC56" s="43" t="e">
        <f ca="1">$D56-$BF56</f>
        <v>#REF!</v>
      </c>
      <c r="BD56" s="22">
        <f ca="1">+GETPIVOTDATA("XBB4",'binhba (2016)'!$A$3,"MA_HT","MNC","MA_QH","PNK")</f>
        <v>0</v>
      </c>
      <c r="BE56" s="71">
        <f ca="1">+GETPIVOTDATA("XBB4",'binhba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+GETPIVOTDATA("XBB4",'binhba (2016)'!$A$3,"MA_HT","PNK","MA_QH","LUC")</f>
        <v>0</v>
      </c>
      <c r="H57" s="22">
        <f ca="1">+GETPIVOTDATA("XBB4",'binhba (2016)'!$A$3,"MA_HT","PNK","MA_QH","LUK")</f>
        <v>0</v>
      </c>
      <c r="I57" s="22">
        <f ca="1">+GETPIVOTDATA("XBB4",'binhba (2016)'!$A$3,"MA_HT","PNK","MA_QH","LUN")</f>
        <v>0</v>
      </c>
      <c r="J57" s="22">
        <f ca="1">+GETPIVOTDATA("XBB4",'binhba (2016)'!$A$3,"MA_HT","PNK","MA_QH","HNK")</f>
        <v>0</v>
      </c>
      <c r="K57" s="22">
        <f ca="1">+GETPIVOTDATA("XBB4",'binhba (2016)'!$A$3,"MA_HT","PNK","MA_QH","CLN")</f>
        <v>0</v>
      </c>
      <c r="L57" s="22">
        <f ca="1">+GETPIVOTDATA("XBB4",'binhba (2016)'!$A$3,"MA_HT","PNK","MA_QH","RSX")</f>
        <v>0</v>
      </c>
      <c r="M57" s="22">
        <f ca="1">+GETPIVOTDATA("XBB4",'binhba (2016)'!$A$3,"MA_HT","PNK","MA_QH","RPH")</f>
        <v>0</v>
      </c>
      <c r="N57" s="22">
        <f ca="1">+GETPIVOTDATA("XBB4",'binhba (2016)'!$A$3,"MA_HT","PNK","MA_QH","RDD")</f>
        <v>0</v>
      </c>
      <c r="O57" s="22">
        <f ca="1">+GETPIVOTDATA("XBB4",'binhba (2016)'!$A$3,"MA_HT","PNK","MA_QH","NTS")</f>
        <v>0</v>
      </c>
      <c r="P57" s="22">
        <f ca="1">+GETPIVOTDATA("XBB4",'binhba (2016)'!$A$3,"MA_HT","PNK","MA_QH","LMU")</f>
        <v>0</v>
      </c>
      <c r="Q57" s="22">
        <f ca="1">+GETPIVOTDATA("XBB4",'binhba (2016)'!$A$3,"MA_HT","PNK","MA_QH","NKH")</f>
        <v>0</v>
      </c>
      <c r="R57" s="79">
        <f ca="1">SUM(S57:AA57,AN57:BC57)</f>
        <v>0</v>
      </c>
      <c r="S57" s="22">
        <f ca="1">+GETPIVOTDATA("XBB4",'binhba (2016)'!$A$3,"MA_HT","PNK","MA_QH","CQP")</f>
        <v>0</v>
      </c>
      <c r="T57" s="22">
        <f ca="1">+GETPIVOTDATA("XBB4",'binhba (2016)'!$A$3,"MA_HT","PNK","MA_QH","CAN")</f>
        <v>0</v>
      </c>
      <c r="U57" s="22">
        <f ca="1">+GETPIVOTDATA("XBB4",'binhba (2016)'!$A$3,"MA_HT","PNK","MA_QH","SKK")</f>
        <v>0</v>
      </c>
      <c r="V57" s="22">
        <f ca="1">+GETPIVOTDATA("XBB4",'binhba (2016)'!$A$3,"MA_HT","PNK","MA_QH","SKT")</f>
        <v>0</v>
      </c>
      <c r="W57" s="22">
        <f ca="1">+GETPIVOTDATA("XBB4",'binhba (2016)'!$A$3,"MA_HT","PNK","MA_QH","SKN")</f>
        <v>0</v>
      </c>
      <c r="X57" s="22">
        <f ca="1">+GETPIVOTDATA("XBB4",'binhba (2016)'!$A$3,"MA_HT","PNK","MA_QH","TMD")</f>
        <v>0</v>
      </c>
      <c r="Y57" s="22">
        <f ca="1">+GETPIVOTDATA("XBB4",'binhba (2016)'!$A$3,"MA_HT","PNK","MA_QH","SKC")</f>
        <v>0</v>
      </c>
      <c r="Z57" s="22">
        <f ca="1">+GETPIVOTDATA("XBB4",'binhba (2016)'!$A$3,"MA_HT","PNK","MA_QH","SKS")</f>
        <v>0</v>
      </c>
      <c r="AA57" s="52">
        <f ca="1" t="shared" si="21"/>
        <v>0</v>
      </c>
      <c r="AB57" s="22">
        <f ca="1">+GETPIVOTDATA("XBB4",'binhba (2016)'!$A$3,"MA_HT","PNK","MA_QH","DGT")</f>
        <v>0</v>
      </c>
      <c r="AC57" s="22">
        <f ca="1">+GETPIVOTDATA("XBB4",'binhba (2016)'!$A$3,"MA_HT","PNK","MA_QH","DTL")</f>
        <v>0</v>
      </c>
      <c r="AD57" s="22">
        <f ca="1">+GETPIVOTDATA("XBB4",'binhba (2016)'!$A$3,"MA_HT","PNK","MA_QH","DNL")</f>
        <v>0</v>
      </c>
      <c r="AE57" s="22">
        <f ca="1">+GETPIVOTDATA("XBB4",'binhba (2016)'!$A$3,"MA_HT","PNK","MA_QH","DBV")</f>
        <v>0</v>
      </c>
      <c r="AF57" s="22">
        <f ca="1">+GETPIVOTDATA("XBB4",'binhba (2016)'!$A$3,"MA_HT","PNK","MA_QH","DVH")</f>
        <v>0</v>
      </c>
      <c r="AG57" s="22">
        <f ca="1">+GETPIVOTDATA("XBB4",'binhba (2016)'!$A$3,"MA_HT","PNK","MA_QH","DYT")</f>
        <v>0</v>
      </c>
      <c r="AH57" s="22">
        <f ca="1">+GETPIVOTDATA("XBB4",'binhba (2016)'!$A$3,"MA_HT","PNK","MA_QH","DGD")</f>
        <v>0</v>
      </c>
      <c r="AI57" s="22">
        <f ca="1">+GETPIVOTDATA("XBB4",'binhba (2016)'!$A$3,"MA_HT","PNK","MA_QH","DTT")</f>
        <v>0</v>
      </c>
      <c r="AJ57" s="22">
        <f ca="1">+GETPIVOTDATA("XBB4",'binhba (2016)'!$A$3,"MA_HT","PNK","MA_QH","NCK")</f>
        <v>0</v>
      </c>
      <c r="AK57" s="22">
        <f ca="1">+GETPIVOTDATA("XBB4",'binhba (2016)'!$A$3,"MA_HT","PNK","MA_QH","DXH")</f>
        <v>0</v>
      </c>
      <c r="AL57" s="22">
        <f ca="1">+GETPIVOTDATA("XBB4",'binhba (2016)'!$A$3,"MA_HT","PNK","MA_QH","DCH")</f>
        <v>0</v>
      </c>
      <c r="AM57" s="22">
        <f ca="1">+GETPIVOTDATA("XBB4",'binhba (2016)'!$A$3,"MA_HT","PNK","MA_QH","DKG")</f>
        <v>0</v>
      </c>
      <c r="AN57" s="22">
        <f ca="1">+GETPIVOTDATA("XBB4",'binhba (2016)'!$A$3,"MA_HT","PNK","MA_QH","DDT")</f>
        <v>0</v>
      </c>
      <c r="AO57" s="22">
        <f ca="1">+GETPIVOTDATA("XBB4",'binhba (2016)'!$A$3,"MA_HT","PNK","MA_QH","DDL")</f>
        <v>0</v>
      </c>
      <c r="AP57" s="22">
        <f ca="1">+GETPIVOTDATA("XBB4",'binhba (2016)'!$A$3,"MA_HT","PNK","MA_QH","DRA")</f>
        <v>0</v>
      </c>
      <c r="AQ57" s="22">
        <f ca="1">+GETPIVOTDATA("XBB4",'binhba (2016)'!$A$3,"MA_HT","PNK","MA_QH","ONT")</f>
        <v>0</v>
      </c>
      <c r="AR57" s="22">
        <f ca="1">+GETPIVOTDATA("XBB4",'binhba (2016)'!$A$3,"MA_HT","PNK","MA_QH","ODT")</f>
        <v>0</v>
      </c>
      <c r="AS57" s="22">
        <f ca="1">+GETPIVOTDATA("XBB4",'binhba (2016)'!$A$3,"MA_HT","PNK","MA_QH","TSC")</f>
        <v>0</v>
      </c>
      <c r="AT57" s="22">
        <f ca="1">+GETPIVOTDATA("XBB4",'binhba (2016)'!$A$3,"MA_HT","PNK","MA_QH","DTS")</f>
        <v>0</v>
      </c>
      <c r="AU57" s="22">
        <f ca="1">+GETPIVOTDATA("XBB4",'binhba (2016)'!$A$3,"MA_HT","PNK","MA_QH","DNG")</f>
        <v>0</v>
      </c>
      <c r="AV57" s="22">
        <f ca="1">+GETPIVOTDATA("XBB4",'binhba (2016)'!$A$3,"MA_HT","PNK","MA_QH","TON")</f>
        <v>0</v>
      </c>
      <c r="AW57" s="22">
        <f ca="1">+GETPIVOTDATA("XBB4",'binhba (2016)'!$A$3,"MA_HT","PNK","MA_QH","NTD")</f>
        <v>0</v>
      </c>
      <c r="AX57" s="22">
        <f ca="1">+GETPIVOTDATA("XBB4",'binhba (2016)'!$A$3,"MA_HT","PNK","MA_QH","SKX")</f>
        <v>0</v>
      </c>
      <c r="AY57" s="22">
        <f ca="1">+GETPIVOTDATA("XBB4",'binhba (2016)'!$A$3,"MA_HT","PNK","MA_QH","DSH")</f>
        <v>0</v>
      </c>
      <c r="AZ57" s="22">
        <f ca="1">+GETPIVOTDATA("XBB4",'binhba (2016)'!$A$3,"MA_HT","PNK","MA_QH","DKV")</f>
        <v>0</v>
      </c>
      <c r="BA57" s="89">
        <f ca="1">+GETPIVOTDATA("XBB4",'binhba (2016)'!$A$3,"MA_HT","PNK","MA_QH","TIN")</f>
        <v>0</v>
      </c>
      <c r="BB57" s="50">
        <f ca="1">+GETPIVOTDATA("XBB4",'binhba (2016)'!$A$3,"MA_HT","PNK","MA_QH","SON")</f>
        <v>0</v>
      </c>
      <c r="BC57" s="50">
        <f ca="1">+GETPIVOTDATA("XBB4",'binhba (2016)'!$A$3,"MA_HT","PNK","MA_QH","MNC")</f>
        <v>0</v>
      </c>
      <c r="BD57" s="43" t="e">
        <f ca="1">$D57-$BF57</f>
        <v>#REF!</v>
      </c>
      <c r="BE57" s="71">
        <f ca="1">+GETPIVOTDATA("XBB4",'binhba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+GETPIVOTDATA("XBB4",'binhba (2016)'!$A$3,"MA_HT","CSD","MA_QH","LUC")</f>
        <v>0</v>
      </c>
      <c r="H58" s="71">
        <f ca="1">+GETPIVOTDATA("XBB4",'binhba (2016)'!$A$3,"MA_HT","CSD","MA_QH","LUK")</f>
        <v>0</v>
      </c>
      <c r="I58" s="71">
        <f ca="1">+GETPIVOTDATA("XBB4",'binhba (2016)'!$A$3,"MA_HT","CSD","MA_QH","LUN")</f>
        <v>0</v>
      </c>
      <c r="J58" s="71">
        <f ca="1">+GETPIVOTDATA("XBB4",'binhba (2016)'!$A$3,"MA_HT","CSD","MA_QH","HNK")</f>
        <v>0</v>
      </c>
      <c r="K58" s="71">
        <f ca="1">+GETPIVOTDATA("XBB4",'binhba (2016)'!$A$3,"MA_HT","CSD","MA_QH","CLN")</f>
        <v>0</v>
      </c>
      <c r="L58" s="71">
        <f ca="1">+GETPIVOTDATA("XBB4",'binhba (2016)'!$A$3,"MA_HT","CSD","MA_QH","RSX")</f>
        <v>0</v>
      </c>
      <c r="M58" s="71">
        <f ca="1">+GETPIVOTDATA("XBB4",'binhba (2016)'!$A$3,"MA_HT","CSD","MA_QH","RPH")</f>
        <v>0</v>
      </c>
      <c r="N58" s="71">
        <f ca="1">+GETPIVOTDATA("XBB4",'binhba (2016)'!$A$3,"MA_HT","CSD","MA_QH","RDD")</f>
        <v>0</v>
      </c>
      <c r="O58" s="71">
        <f ca="1">+GETPIVOTDATA("XBB4",'binhba (2016)'!$A$3,"MA_HT","CSD","MA_QH","NTS")</f>
        <v>0</v>
      </c>
      <c r="P58" s="71">
        <f ca="1">+GETPIVOTDATA("XBB4",'binhba (2016)'!$A$3,"MA_HT","CSD","MA_QH","LMU")</f>
        <v>0</v>
      </c>
      <c r="Q58" s="71">
        <f ca="1">+GETPIVOTDATA("XBB4",'binhba (2016)'!$A$3,"MA_HT","CSD","MA_QH","NKH")</f>
        <v>0</v>
      </c>
      <c r="R58" s="79">
        <f ca="1">SUM(S58:AA58,AN58:BD58)</f>
        <v>0</v>
      </c>
      <c r="S58" s="80">
        <f ca="1">+GETPIVOTDATA("XBB4",'binhba (2016)'!$A$3,"MA_HT","CSD","MA_QH","CQP")</f>
        <v>0</v>
      </c>
      <c r="T58" s="80">
        <f ca="1">+GETPIVOTDATA("XBB4",'binhba (2016)'!$A$3,"MA_HT","CSD","MA_QH","CAN")</f>
        <v>0</v>
      </c>
      <c r="U58" s="71">
        <f ca="1">+GETPIVOTDATA("XBB4",'binhba (2016)'!$A$3,"MA_HT","CSD","MA_QH","SKK")</f>
        <v>0</v>
      </c>
      <c r="V58" s="71">
        <f ca="1">+GETPIVOTDATA("XBB4",'binhba (2016)'!$A$3,"MA_HT","CSD","MA_QH","SKT")</f>
        <v>0</v>
      </c>
      <c r="W58" s="71">
        <f ca="1">+GETPIVOTDATA("XBB4",'binhba (2016)'!$A$3,"MA_HT","CSD","MA_QH","SKN")</f>
        <v>0</v>
      </c>
      <c r="X58" s="71">
        <f ca="1">+GETPIVOTDATA("XBB4",'binhba (2016)'!$A$3,"MA_HT","CSD","MA_QH","TMD")</f>
        <v>0</v>
      </c>
      <c r="Y58" s="71">
        <f ca="1">+GETPIVOTDATA("XBB4",'binhba (2016)'!$A$3,"MA_HT","CSD","MA_QH","SKC")</f>
        <v>0</v>
      </c>
      <c r="Z58" s="71">
        <f ca="1">+GETPIVOTDATA("XBB4",'binhba (2016)'!$A$3,"MA_HT","CSD","MA_QH","SKS")</f>
        <v>0</v>
      </c>
      <c r="AA58" s="52">
        <f ca="1" t="shared" si="21"/>
        <v>0</v>
      </c>
      <c r="AB58" s="80">
        <f ca="1">+GETPIVOTDATA("XBB4",'binhba (2016)'!$A$3,"MA_HT","CSD","MA_QH","DGT")</f>
        <v>0</v>
      </c>
      <c r="AC58" s="80">
        <f ca="1">+GETPIVOTDATA("XBB4",'binhba (2016)'!$A$3,"MA_HT","CSD","MA_QH","DTL")</f>
        <v>0</v>
      </c>
      <c r="AD58" s="80">
        <f ca="1">+GETPIVOTDATA("XBB4",'binhba (2016)'!$A$3,"MA_HT","CSD","MA_QH","DNL")</f>
        <v>0</v>
      </c>
      <c r="AE58" s="80">
        <f ca="1">+GETPIVOTDATA("XBB4",'binhba (2016)'!$A$3,"MA_HT","CSD","MA_QH","DBV")</f>
        <v>0</v>
      </c>
      <c r="AF58" s="80">
        <f ca="1">+GETPIVOTDATA("XBB4",'binhba (2016)'!$A$3,"MA_HT","CSD","MA_QH","DVH")</f>
        <v>0</v>
      </c>
      <c r="AG58" s="80">
        <f ca="1">+GETPIVOTDATA("XBB4",'binhba (2016)'!$A$3,"MA_HT","CSD","MA_QH","DYT")</f>
        <v>0</v>
      </c>
      <c r="AH58" s="80">
        <f ca="1">+GETPIVOTDATA("XBB4",'binhba (2016)'!$A$3,"MA_HT","CSD","MA_QH","DGD")</f>
        <v>0</v>
      </c>
      <c r="AI58" s="80">
        <f ca="1">+GETPIVOTDATA("XBB4",'binhba (2016)'!$A$3,"MA_HT","CSD","MA_QH","DTT")</f>
        <v>0</v>
      </c>
      <c r="AJ58" s="80">
        <f ca="1">+GETPIVOTDATA("XBB4",'binhba (2016)'!$A$3,"MA_HT","CSD","MA_QH","NCK")</f>
        <v>0</v>
      </c>
      <c r="AK58" s="80">
        <f ca="1">+GETPIVOTDATA("XBB4",'binhba (2016)'!$A$3,"MA_HT","CSD","MA_QH","DXH")</f>
        <v>0</v>
      </c>
      <c r="AL58" s="80">
        <f ca="1">+GETPIVOTDATA("XBB4",'binhba (2016)'!$A$3,"MA_HT","CSD","MA_QH","DCH")</f>
        <v>0</v>
      </c>
      <c r="AM58" s="80">
        <f ca="1">+GETPIVOTDATA("XBB4",'binhba (2016)'!$A$3,"MA_HT","CSD","MA_QH","DKG")</f>
        <v>0</v>
      </c>
      <c r="AN58" s="71">
        <f ca="1">+GETPIVOTDATA("XBB4",'binhba (2016)'!$A$3,"MA_HT","CSD","MA_QH","DDT")</f>
        <v>0</v>
      </c>
      <c r="AO58" s="71">
        <f ca="1">+GETPIVOTDATA("XBB4",'binhba (2016)'!$A$3,"MA_HT","CSD","MA_QH","DDL")</f>
        <v>0</v>
      </c>
      <c r="AP58" s="71">
        <f ca="1">+GETPIVOTDATA("XBB4",'binhba (2016)'!$A$3,"MA_HT","CSD","MA_QH","DRA")</f>
        <v>0</v>
      </c>
      <c r="AQ58" s="71">
        <f ca="1">+GETPIVOTDATA("XBB4",'binhba (2016)'!$A$3,"MA_HT","CSD","MA_QH","ONT")</f>
        <v>0</v>
      </c>
      <c r="AR58" s="71">
        <f ca="1">+GETPIVOTDATA("XBB4",'binhba (2016)'!$A$3,"MA_HT","CSD","MA_QH","ODT")</f>
        <v>0</v>
      </c>
      <c r="AS58" s="71">
        <f ca="1">+GETPIVOTDATA("XBB4",'binhba (2016)'!$A$3,"MA_HT","CSD","MA_QH","TSC")</f>
        <v>0</v>
      </c>
      <c r="AT58" s="71">
        <f ca="1">+GETPIVOTDATA("XBB4",'binhba (2016)'!$A$3,"MA_HT","CSD","MA_QH","DTS")</f>
        <v>0</v>
      </c>
      <c r="AU58" s="71">
        <f ca="1">+GETPIVOTDATA("XBB4",'binhba (2016)'!$A$3,"MA_HT","CSD","MA_QH","DNG")</f>
        <v>0</v>
      </c>
      <c r="AV58" s="71">
        <f ca="1">+GETPIVOTDATA("XBB4",'binhba (2016)'!$A$3,"MA_HT","CSD","MA_QH","TON")</f>
        <v>0</v>
      </c>
      <c r="AW58" s="71">
        <f ca="1">+GETPIVOTDATA("XBB4",'binhba (2016)'!$A$3,"MA_HT","CSD","MA_QH","NTD")</f>
        <v>0</v>
      </c>
      <c r="AX58" s="71">
        <f ca="1">+GETPIVOTDATA("XBB4",'binhba (2016)'!$A$3,"MA_HT","CSD","MA_QH","SKX")</f>
        <v>0</v>
      </c>
      <c r="AY58" s="71">
        <f ca="1">+GETPIVOTDATA("XBB4",'binhba (2016)'!$A$3,"MA_HT","CSD","MA_QH","DSH")</f>
        <v>0</v>
      </c>
      <c r="AZ58" s="71">
        <f ca="1">+GETPIVOTDATA("XBB4",'binhba (2016)'!$A$3,"MA_HT","CSD","MA_QH","DKV")</f>
        <v>0</v>
      </c>
      <c r="BA58" s="89">
        <f ca="1">+GETPIVOTDATA("XBB4",'binhba (2016)'!$A$3,"MA_HT","CSD","MA_QH","TIN")</f>
        <v>0</v>
      </c>
      <c r="BB58" s="80">
        <f ca="1">+GETPIVOTDATA("XBB4",'binhba (2016)'!$A$3,"MA_HT","CSD","MA_QH","SON")</f>
        <v>0</v>
      </c>
      <c r="BC58" s="80">
        <f ca="1">+GETPIVOTDATA("XBB4",'binhba (2016)'!$A$3,"MA_HT","CSD","MA_QH","MNC")</f>
        <v>0</v>
      </c>
      <c r="BD58" s="71">
        <f ca="1">+GETPIVOTDATA("XBB4",'binhba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2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+GETPIVOTDATA("XBG4",'binhgia (2016)'!$A$3,"MA_HT","LUC","MA_QH","LUK")</f>
        <v>0</v>
      </c>
      <c r="I8" s="50">
        <f ca="1">+GETPIVOTDATA("XBG4",'binhgia (2016)'!$A$3,"MA_HT","LUC","MA_QH","LUN")</f>
        <v>0</v>
      </c>
      <c r="J8" s="50">
        <f ca="1">+GETPIVOTDATA("XBG4",'binhgia (2016)'!$A$3,"MA_HT","LUC","MA_QH","HNK")</f>
        <v>0</v>
      </c>
      <c r="K8" s="50">
        <f ca="1">+GETPIVOTDATA("XBG4",'binhgia (2016)'!$A$3,"MA_HT","LUC","MA_QH","CLN")</f>
        <v>0</v>
      </c>
      <c r="L8" s="50">
        <f ca="1">+GETPIVOTDATA("XBG4",'binhgia (2016)'!$A$3,"MA_HT","LUC","MA_QH","RSX")</f>
        <v>0</v>
      </c>
      <c r="M8" s="50">
        <f ca="1">+GETPIVOTDATA("XBG4",'binhgia (2016)'!$A$3,"MA_HT","LUC","MA_QH","RPH")</f>
        <v>0</v>
      </c>
      <c r="N8" s="50">
        <f ca="1">+GETPIVOTDATA("XBG4",'binhgia (2016)'!$A$3,"MA_HT","LUC","MA_QH","RDD")</f>
        <v>0</v>
      </c>
      <c r="O8" s="50">
        <f ca="1">+GETPIVOTDATA("XBG4",'binhgia (2016)'!$A$3,"MA_HT","LUC","MA_QH","NTS")</f>
        <v>0</v>
      </c>
      <c r="P8" s="50">
        <f ca="1">+GETPIVOTDATA("XBG4",'binhgia (2016)'!$A$3,"MA_HT","LUC","MA_QH","LMU")</f>
        <v>0</v>
      </c>
      <c r="Q8" s="50">
        <f ca="1">+GETPIVOTDATA("XBG4",'binhgia (2016)'!$A$3,"MA_HT","LUC","MA_QH","NKH")</f>
        <v>0</v>
      </c>
      <c r="R8" s="48">
        <f ca="1" t="shared" si="2"/>
        <v>0</v>
      </c>
      <c r="S8" s="50">
        <f ca="1">+GETPIVOTDATA("XBG4",'binhgia (2016)'!$A$3,"MA_HT","LUC","MA_QH","CQP")</f>
        <v>0</v>
      </c>
      <c r="T8" s="50">
        <f ca="1">+GETPIVOTDATA("XBG4",'binhgia (2016)'!$A$3,"MA_HT","LUC","MA_QH","CAN")</f>
        <v>0</v>
      </c>
      <c r="U8" s="50">
        <f ca="1">+GETPIVOTDATA("XBG4",'binhgia (2016)'!$A$3,"MA_HT","LUC","MA_QH","SKK")</f>
        <v>0</v>
      </c>
      <c r="V8" s="50">
        <f ca="1">+GETPIVOTDATA("XBG4",'binhgia (2016)'!$A$3,"MA_HT","LUC","MA_QH","SKT")</f>
        <v>0</v>
      </c>
      <c r="W8" s="50">
        <f ca="1">+GETPIVOTDATA("XBG4",'binhgia (2016)'!$A$3,"MA_HT","LUC","MA_QH","SKN")</f>
        <v>0</v>
      </c>
      <c r="X8" s="50">
        <f ca="1">+GETPIVOTDATA("XBG4",'binhgia (2016)'!$A$3,"MA_HT","LUC","MA_QH","TMD")</f>
        <v>0</v>
      </c>
      <c r="Y8" s="50">
        <f ca="1">+GETPIVOTDATA("XBG4",'binhgia (2016)'!$A$3,"MA_HT","LUC","MA_QH","SKC")</f>
        <v>0</v>
      </c>
      <c r="Z8" s="50">
        <f ca="1">+GETPIVOTDATA("XBG4",'binhgia (2016)'!$A$3,"MA_HT","LUC","MA_QH","SKS")</f>
        <v>0</v>
      </c>
      <c r="AA8" s="52">
        <f ca="1" t="shared" si="4"/>
        <v>0</v>
      </c>
      <c r="AB8" s="50">
        <f ca="1">+GETPIVOTDATA("XBG4",'binhgia (2016)'!$A$3,"MA_HT","LUC","MA_QH","DGT")</f>
        <v>0</v>
      </c>
      <c r="AC8" s="50">
        <f ca="1">+GETPIVOTDATA("XBG4",'binhgia (2016)'!$A$3,"MA_HT","LUC","MA_QH","DTL")</f>
        <v>0</v>
      </c>
      <c r="AD8" s="50">
        <f ca="1">+GETPIVOTDATA("XBG4",'binhgia (2016)'!$A$3,"MA_HT","LUC","MA_QH","DNL")</f>
        <v>0</v>
      </c>
      <c r="AE8" s="50">
        <f ca="1">+GETPIVOTDATA("XBG4",'binhgia (2016)'!$A$3,"MA_HT","LUC","MA_QH","DBV")</f>
        <v>0</v>
      </c>
      <c r="AF8" s="50">
        <f ca="1">+GETPIVOTDATA("XBG4",'binhgia (2016)'!$A$3,"MA_HT","LUC","MA_QH","DVH")</f>
        <v>0</v>
      </c>
      <c r="AG8" s="50">
        <f ca="1">+GETPIVOTDATA("XBG4",'binhgia (2016)'!$A$3,"MA_HT","LUC","MA_QH","DYT")</f>
        <v>0</v>
      </c>
      <c r="AH8" s="50">
        <f ca="1">+GETPIVOTDATA("XBG4",'binhgia (2016)'!$A$3,"MA_HT","LUC","MA_QH","DGD")</f>
        <v>0</v>
      </c>
      <c r="AI8" s="50">
        <f ca="1">+GETPIVOTDATA("XBG4",'binhgia (2016)'!$A$3,"MA_HT","LUC","MA_QH","DTT")</f>
        <v>0</v>
      </c>
      <c r="AJ8" s="50">
        <f ca="1">+GETPIVOTDATA("XBG4",'binhgia (2016)'!$A$3,"MA_HT","LUC","MA_QH","NCK")</f>
        <v>0</v>
      </c>
      <c r="AK8" s="50">
        <f ca="1">+GETPIVOTDATA("XBG4",'binhgia (2016)'!$A$3,"MA_HT","LUC","MA_QH","DXH")</f>
        <v>0</v>
      </c>
      <c r="AL8" s="50">
        <f ca="1">+GETPIVOTDATA("XBG4",'binhgia (2016)'!$A$3,"MA_HT","LUC","MA_QH","DCH")</f>
        <v>0</v>
      </c>
      <c r="AM8" s="50">
        <f ca="1">+GETPIVOTDATA("XBG4",'binhgia (2016)'!$A$3,"MA_HT","LUC","MA_QH","DKG")</f>
        <v>0</v>
      </c>
      <c r="AN8" s="50">
        <f ca="1">+GETPIVOTDATA("XBG4",'binhgia (2016)'!$A$3,"MA_HT","LUC","MA_QH","DDT")</f>
        <v>0</v>
      </c>
      <c r="AO8" s="50">
        <f ca="1">+GETPIVOTDATA("XBG4",'binhgia (2016)'!$A$3,"MA_HT","LUC","MA_QH","DDL")</f>
        <v>0</v>
      </c>
      <c r="AP8" s="50">
        <f ca="1">+GETPIVOTDATA("XBG4",'binhgia (2016)'!$A$3,"MA_HT","LUC","MA_QH","DRA")</f>
        <v>0</v>
      </c>
      <c r="AQ8" s="50">
        <f ca="1">+GETPIVOTDATA("XBG4",'binhgia (2016)'!$A$3,"MA_HT","LUC","MA_QH","ONT")</f>
        <v>0</v>
      </c>
      <c r="AR8" s="50">
        <f ca="1">+GETPIVOTDATA("XBG4",'binhgia (2016)'!$A$3,"MA_HT","LUC","MA_QH","ODT")</f>
        <v>0</v>
      </c>
      <c r="AS8" s="50">
        <f ca="1">+GETPIVOTDATA("XBG4",'binhgia (2016)'!$A$3,"MA_HT","LUC","MA_QH","TSC")</f>
        <v>0</v>
      </c>
      <c r="AT8" s="50">
        <f ca="1">+GETPIVOTDATA("XBG4",'binhgia (2016)'!$A$3,"MA_HT","LUC","MA_QH","DTS")</f>
        <v>0</v>
      </c>
      <c r="AU8" s="50">
        <f ca="1">+GETPIVOTDATA("XBG4",'binhgia (2016)'!$A$3,"MA_HT","LUC","MA_QH","DNG")</f>
        <v>0</v>
      </c>
      <c r="AV8" s="50">
        <f ca="1">+GETPIVOTDATA("XBG4",'binhgia (2016)'!$A$3,"MA_HT","LUC","MA_QH","TON")</f>
        <v>0</v>
      </c>
      <c r="AW8" s="50">
        <f ca="1">+GETPIVOTDATA("XBG4",'binhgia (2016)'!$A$3,"MA_HT","LUC","MA_QH","NTD")</f>
        <v>0</v>
      </c>
      <c r="AX8" s="50">
        <f ca="1">+GETPIVOTDATA("XBG4",'binhgia (2016)'!$A$3,"MA_HT","LUC","MA_QH","SKX")</f>
        <v>0</v>
      </c>
      <c r="AY8" s="50">
        <f ca="1">+GETPIVOTDATA("XBG4",'binhgia (2016)'!$A$3,"MA_HT","LUC","MA_QH","DSH")</f>
        <v>0</v>
      </c>
      <c r="AZ8" s="50">
        <f ca="1">+GETPIVOTDATA("XBG4",'binhgia (2016)'!$A$3,"MA_HT","LUC","MA_QH","DKV")</f>
        <v>0</v>
      </c>
      <c r="BA8" s="88">
        <f ca="1">+GETPIVOTDATA("XBG4",'binhgia (2016)'!$A$3,"MA_HT","LUC","MA_QH","TIN")</f>
        <v>0</v>
      </c>
      <c r="BB8" s="50">
        <f ca="1">+GETPIVOTDATA("XBG4",'binhgia (2016)'!$A$3,"MA_HT","LUC","MA_QH","SON")</f>
        <v>0</v>
      </c>
      <c r="BC8" s="50">
        <f ca="1">+GETPIVOTDATA("XBG4",'binhgia (2016)'!$A$3,"MA_HT","LUC","MA_QH","MNC")</f>
        <v>0</v>
      </c>
      <c r="BD8" s="50">
        <f ca="1">+GETPIVOTDATA("XBG4",'binhgia (2016)'!$A$3,"MA_HT","LUC","MA_QH","PNK")</f>
        <v>0</v>
      </c>
      <c r="BE8" s="80">
        <f ca="1">+GETPIVOTDATA("XBG4",'binhgia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+GETPIVOTDATA("XBG4",'binhgia (2016)'!$A$3,"MA_HT","LUK","MA_QH","LUC")</f>
        <v>0</v>
      </c>
      <c r="H9" s="49" t="e">
        <f ca="1">$D9-$BF9</f>
        <v>#REF!</v>
      </c>
      <c r="I9" s="50">
        <f ca="1">+GETPIVOTDATA("XBG4",'binhgia (2016)'!$A$3,"MA_HT","LUK","MA_QH","LUN")</f>
        <v>0</v>
      </c>
      <c r="J9" s="50">
        <f ca="1">+GETPIVOTDATA("XBG4",'binhgia (2016)'!$A$3,"MA_HT","LUK","MA_QH","HNK")</f>
        <v>0</v>
      </c>
      <c r="K9" s="50">
        <f ca="1">+GETPIVOTDATA("XBG4",'binhgia (2016)'!$A$3,"MA_HT","LUK","MA_QH","CLN")</f>
        <v>0</v>
      </c>
      <c r="L9" s="50">
        <f ca="1">+GETPIVOTDATA("XBG4",'binhgia (2016)'!$A$3,"MA_HT","LUK","MA_QH","RSX")</f>
        <v>0</v>
      </c>
      <c r="M9" s="50">
        <f ca="1">+GETPIVOTDATA("XBG4",'binhgia (2016)'!$A$3,"MA_HT","LUK","MA_QH","RPH")</f>
        <v>0</v>
      </c>
      <c r="N9" s="50">
        <f ca="1">+GETPIVOTDATA("XBG4",'binhgia (2016)'!$A$3,"MA_HT","LUK","MA_QH","RDD")</f>
        <v>0</v>
      </c>
      <c r="O9" s="50">
        <f ca="1">+GETPIVOTDATA("XBG4",'binhgia (2016)'!$A$3,"MA_HT","LUK","MA_QH","NTS")</f>
        <v>0</v>
      </c>
      <c r="P9" s="50">
        <f ca="1">+GETPIVOTDATA("XBG4",'binhgia (2016)'!$A$3,"MA_HT","LUK","MA_QH","LMU")</f>
        <v>0</v>
      </c>
      <c r="Q9" s="50">
        <f ca="1">+GETPIVOTDATA("XBG4",'binhgia (2016)'!$A$3,"MA_HT","LUK","MA_QH","NKH")</f>
        <v>0</v>
      </c>
      <c r="R9" s="48">
        <f ca="1" t="shared" si="2"/>
        <v>0</v>
      </c>
      <c r="S9" s="50">
        <f ca="1">+GETPIVOTDATA("XBG4",'binhgia (2016)'!$A$3,"MA_HT","LUK","MA_QH","CQP")</f>
        <v>0</v>
      </c>
      <c r="T9" s="50">
        <f ca="1">+GETPIVOTDATA("XBG4",'binhgia (2016)'!$A$3,"MA_HT","LUK","MA_QH","CAN")</f>
        <v>0</v>
      </c>
      <c r="U9" s="50">
        <f ca="1">+GETPIVOTDATA("XBG4",'binhgia (2016)'!$A$3,"MA_HT","LUK","MA_QH","SKK")</f>
        <v>0</v>
      </c>
      <c r="V9" s="50">
        <f ca="1">+GETPIVOTDATA("XBG4",'binhgia (2016)'!$A$3,"MA_HT","LUK","MA_QH","SKT")</f>
        <v>0</v>
      </c>
      <c r="W9" s="50">
        <f ca="1">+GETPIVOTDATA("XBG4",'binhgia (2016)'!$A$3,"MA_HT","LUK","MA_QH","SKN")</f>
        <v>0</v>
      </c>
      <c r="X9" s="50">
        <f ca="1">+GETPIVOTDATA("XBG4",'binhgia (2016)'!$A$3,"MA_HT","LUK","MA_QH","TMD")</f>
        <v>0</v>
      </c>
      <c r="Y9" s="50">
        <f ca="1">+GETPIVOTDATA("XBG4",'binhgia (2016)'!$A$3,"MA_HT","LUK","MA_QH","SKC")</f>
        <v>0</v>
      </c>
      <c r="Z9" s="50">
        <f ca="1">+GETPIVOTDATA("XBG4",'binhgia (2016)'!$A$3,"MA_HT","LUK","MA_QH","SKS")</f>
        <v>0</v>
      </c>
      <c r="AA9" s="52">
        <f ca="1" t="shared" si="4"/>
        <v>0</v>
      </c>
      <c r="AB9" s="50">
        <f ca="1">+GETPIVOTDATA("XBG4",'binhgia (2016)'!$A$3,"MA_HT","LUK","MA_QH","DGT")</f>
        <v>0</v>
      </c>
      <c r="AC9" s="50">
        <f ca="1">+GETPIVOTDATA("XBG4",'binhgia (2016)'!$A$3,"MA_HT","LUK","MA_QH","DTL")</f>
        <v>0</v>
      </c>
      <c r="AD9" s="50">
        <f ca="1">+GETPIVOTDATA("XBG4",'binhgia (2016)'!$A$3,"MA_HT","LUK","MA_QH","DNL")</f>
        <v>0</v>
      </c>
      <c r="AE9" s="50">
        <f ca="1">+GETPIVOTDATA("XBG4",'binhgia (2016)'!$A$3,"MA_HT","LUK","MA_QH","DBV")</f>
        <v>0</v>
      </c>
      <c r="AF9" s="50">
        <f ca="1">+GETPIVOTDATA("XBG4",'binhgia (2016)'!$A$3,"MA_HT","LUK","MA_QH","DVH")</f>
        <v>0</v>
      </c>
      <c r="AG9" s="50">
        <f ca="1">+GETPIVOTDATA("XBG4",'binhgia (2016)'!$A$3,"MA_HT","LUK","MA_QH","DYT")</f>
        <v>0</v>
      </c>
      <c r="AH9" s="50">
        <f ca="1">+GETPIVOTDATA("XBG4",'binhgia (2016)'!$A$3,"MA_HT","LUK","MA_QH","DGD")</f>
        <v>0</v>
      </c>
      <c r="AI9" s="50">
        <f ca="1">+GETPIVOTDATA("XBG4",'binhgia (2016)'!$A$3,"MA_HT","LUK","MA_QH","DTT")</f>
        <v>0</v>
      </c>
      <c r="AJ9" s="50">
        <f ca="1">+GETPIVOTDATA("XBG4",'binhgia (2016)'!$A$3,"MA_HT","LUK","MA_QH","NCK")</f>
        <v>0</v>
      </c>
      <c r="AK9" s="50">
        <f ca="1">+GETPIVOTDATA("XBG4",'binhgia (2016)'!$A$3,"MA_HT","LUK","MA_QH","DXH")</f>
        <v>0</v>
      </c>
      <c r="AL9" s="50">
        <f ca="1">+GETPIVOTDATA("XBG4",'binhgia (2016)'!$A$3,"MA_HT","LUK","MA_QH","DCH")</f>
        <v>0</v>
      </c>
      <c r="AM9" s="50">
        <f ca="1">+GETPIVOTDATA("XBG4",'binhgia (2016)'!$A$3,"MA_HT","LUK","MA_QH","DKG")</f>
        <v>0</v>
      </c>
      <c r="AN9" s="50">
        <f ca="1">+GETPIVOTDATA("XBG4",'binhgia (2016)'!$A$3,"MA_HT","LUK","MA_QH","DDT")</f>
        <v>0</v>
      </c>
      <c r="AO9" s="50">
        <f ca="1">+GETPIVOTDATA("XBG4",'binhgia (2016)'!$A$3,"MA_HT","LUK","MA_QH","DDL")</f>
        <v>0</v>
      </c>
      <c r="AP9" s="50">
        <f ca="1">+GETPIVOTDATA("XBG4",'binhgia (2016)'!$A$3,"MA_HT","LUK","MA_QH","DRA")</f>
        <v>0</v>
      </c>
      <c r="AQ9" s="50">
        <f ca="1">+GETPIVOTDATA("XBG4",'binhgia (2016)'!$A$3,"MA_HT","LUK","MA_QH","ONT")</f>
        <v>0</v>
      </c>
      <c r="AR9" s="50">
        <f ca="1">+GETPIVOTDATA("XBG4",'binhgia (2016)'!$A$3,"MA_HT","LUK","MA_QH","ODT")</f>
        <v>0</v>
      </c>
      <c r="AS9" s="50">
        <f ca="1">+GETPIVOTDATA("XBG4",'binhgia (2016)'!$A$3,"MA_HT","LUK","MA_QH","TSC")</f>
        <v>0</v>
      </c>
      <c r="AT9" s="50">
        <f ca="1">+GETPIVOTDATA("XBG4",'binhgia (2016)'!$A$3,"MA_HT","LUK","MA_QH","DTS")</f>
        <v>0</v>
      </c>
      <c r="AU9" s="50">
        <f ca="1">+GETPIVOTDATA("XBG4",'binhgia (2016)'!$A$3,"MA_HT","LUK","MA_QH","DNG")</f>
        <v>0</v>
      </c>
      <c r="AV9" s="50">
        <f ca="1">+GETPIVOTDATA("XBG4",'binhgia (2016)'!$A$3,"MA_HT","LUK","MA_QH","TON")</f>
        <v>0</v>
      </c>
      <c r="AW9" s="50">
        <f ca="1">+GETPIVOTDATA("XBG4",'binhgia (2016)'!$A$3,"MA_HT","LUK","MA_QH","NTD")</f>
        <v>0</v>
      </c>
      <c r="AX9" s="50">
        <f ca="1">+GETPIVOTDATA("XBG4",'binhgia (2016)'!$A$3,"MA_HT","LUK","MA_QH","SKX")</f>
        <v>0</v>
      </c>
      <c r="AY9" s="50">
        <f ca="1">+GETPIVOTDATA("XBG4",'binhgia (2016)'!$A$3,"MA_HT","LUK","MA_QH","DSH")</f>
        <v>0</v>
      </c>
      <c r="AZ9" s="50">
        <f ca="1">+GETPIVOTDATA("XBG4",'binhgia (2016)'!$A$3,"MA_HT","LUK","MA_QH","DKV")</f>
        <v>0</v>
      </c>
      <c r="BA9" s="88">
        <f ca="1">+GETPIVOTDATA("XBG4",'binhgia (2016)'!$A$3,"MA_HT","LUK","MA_QH","TIN")</f>
        <v>0</v>
      </c>
      <c r="BB9" s="50">
        <f ca="1">+GETPIVOTDATA("XBG4",'binhgia (2016)'!$A$3,"MA_HT","LUK","MA_QH","SON")</f>
        <v>0</v>
      </c>
      <c r="BC9" s="50">
        <f ca="1">+GETPIVOTDATA("XBG4",'binhgia (2016)'!$A$3,"MA_HT","LUK","MA_QH","MNC")</f>
        <v>0</v>
      </c>
      <c r="BD9" s="50">
        <f ca="1">+GETPIVOTDATA("XBG4",'binhgia (2016)'!$A$3,"MA_HT","LUK","MA_QH","PNK")</f>
        <v>0</v>
      </c>
      <c r="BE9" s="80">
        <f ca="1">+GETPIVOTDATA("XBG4",'binhgia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+GETPIVOTDATA("XBG4",'binhgia (2016)'!$A$3,"MA_HT","LUN","MA_QH","LUC")</f>
        <v>0</v>
      </c>
      <c r="H10" s="50">
        <f ca="1">+GETPIVOTDATA("XBG4",'binhgia (2016)'!$A$3,"MA_HT","LUN","MA_QH","LUK")</f>
        <v>0</v>
      </c>
      <c r="I10" s="49" t="e">
        <f ca="1">$D10-$BF10</f>
        <v>#REF!</v>
      </c>
      <c r="J10" s="50">
        <f ca="1">+GETPIVOTDATA("XBG4",'binhgia (2016)'!$A$3,"MA_HT","LUN","MA_QH","HNK")</f>
        <v>0</v>
      </c>
      <c r="K10" s="50">
        <f ca="1">+GETPIVOTDATA("XBG4",'binhgia (2016)'!$A$3,"MA_HT","LUN","MA_QH","CLN")</f>
        <v>0</v>
      </c>
      <c r="L10" s="50">
        <f ca="1">+GETPIVOTDATA("XBG4",'binhgia (2016)'!$A$3,"MA_HT","LUN","MA_QH","RSX")</f>
        <v>0</v>
      </c>
      <c r="M10" s="50">
        <f ca="1">+GETPIVOTDATA("XBG4",'binhgia (2016)'!$A$3,"MA_HT","LUN","MA_QH","RPH")</f>
        <v>0</v>
      </c>
      <c r="N10" s="50">
        <f ca="1">+GETPIVOTDATA("XBG4",'binhgia (2016)'!$A$3,"MA_HT","LUN","MA_QH","RDD")</f>
        <v>0</v>
      </c>
      <c r="O10" s="50">
        <f ca="1">+GETPIVOTDATA("XBG4",'binhgia (2016)'!$A$3,"MA_HT","LUN","MA_QH","NTS")</f>
        <v>0</v>
      </c>
      <c r="P10" s="50">
        <f ca="1">+GETPIVOTDATA("XBG4",'binhgia (2016)'!$A$3,"MA_HT","LUN","MA_QH","LMU")</f>
        <v>0</v>
      </c>
      <c r="Q10" s="50">
        <f ca="1">+GETPIVOTDATA("XBG4",'binhgia (2016)'!$A$3,"MA_HT","LUN","MA_QH","NKH")</f>
        <v>0</v>
      </c>
      <c r="R10" s="48">
        <f ca="1" t="shared" si="2"/>
        <v>0</v>
      </c>
      <c r="S10" s="50">
        <f ca="1">+GETPIVOTDATA("XBG4",'binhgia (2016)'!$A$3,"MA_HT","LUN","MA_QH","CQP")</f>
        <v>0</v>
      </c>
      <c r="T10" s="50">
        <f ca="1">+GETPIVOTDATA("XBG4",'binhgia (2016)'!$A$3,"MA_HT","LUN","MA_QH","CAN")</f>
        <v>0</v>
      </c>
      <c r="U10" s="50">
        <f ca="1">+GETPIVOTDATA("XBG4",'binhgia (2016)'!$A$3,"MA_HT","LUN","MA_QH","SKK")</f>
        <v>0</v>
      </c>
      <c r="V10" s="50">
        <f ca="1">+GETPIVOTDATA("XBG4",'binhgia (2016)'!$A$3,"MA_HT","LUN","MA_QH","SKT")</f>
        <v>0</v>
      </c>
      <c r="W10" s="50">
        <f ca="1">+GETPIVOTDATA("XBG4",'binhgia (2016)'!$A$3,"MA_HT","LUN","MA_QH","SKN")</f>
        <v>0</v>
      </c>
      <c r="X10" s="50">
        <f ca="1">+GETPIVOTDATA("XBG4",'binhgia (2016)'!$A$3,"MA_HT","LUN","MA_QH","TMD")</f>
        <v>0</v>
      </c>
      <c r="Y10" s="50">
        <f ca="1">+GETPIVOTDATA("XBG4",'binhgia (2016)'!$A$3,"MA_HT","LUN","MA_QH","SKC")</f>
        <v>0</v>
      </c>
      <c r="Z10" s="50">
        <f ca="1">+GETPIVOTDATA("XBG4",'binhgia (2016)'!$A$3,"MA_HT","LUN","MA_QH","SKS")</f>
        <v>0</v>
      </c>
      <c r="AA10" s="52">
        <f ca="1" t="shared" si="4"/>
        <v>0</v>
      </c>
      <c r="AB10" s="50">
        <f ca="1">+GETPIVOTDATA("XBG4",'binhgia (2016)'!$A$3,"MA_HT","LUN","MA_QH","DGT")</f>
        <v>0</v>
      </c>
      <c r="AC10" s="50">
        <f ca="1">+GETPIVOTDATA("XBG4",'binhgia (2016)'!$A$3,"MA_HT","LUN","MA_QH","DTL")</f>
        <v>0</v>
      </c>
      <c r="AD10" s="50">
        <f ca="1">+GETPIVOTDATA("XBG4",'binhgia (2016)'!$A$3,"MA_HT","LUN","MA_QH","DNL")</f>
        <v>0</v>
      </c>
      <c r="AE10" s="50">
        <f ca="1">+GETPIVOTDATA("XBG4",'binhgia (2016)'!$A$3,"MA_HT","LUN","MA_QH","DBV")</f>
        <v>0</v>
      </c>
      <c r="AF10" s="50">
        <f ca="1">+GETPIVOTDATA("XBG4",'binhgia (2016)'!$A$3,"MA_HT","LUN","MA_QH","DVH")</f>
        <v>0</v>
      </c>
      <c r="AG10" s="50">
        <f ca="1">+GETPIVOTDATA("XBG4",'binhgia (2016)'!$A$3,"MA_HT","LUN","MA_QH","DYT")</f>
        <v>0</v>
      </c>
      <c r="AH10" s="50">
        <f ca="1">+GETPIVOTDATA("XBG4",'binhgia (2016)'!$A$3,"MA_HT","LUN","MA_QH","DGD")</f>
        <v>0</v>
      </c>
      <c r="AI10" s="50">
        <f ca="1">+GETPIVOTDATA("XBG4",'binhgia (2016)'!$A$3,"MA_HT","LUN","MA_QH","DTT")</f>
        <v>0</v>
      </c>
      <c r="AJ10" s="50">
        <f ca="1">+GETPIVOTDATA("XBG4",'binhgia (2016)'!$A$3,"MA_HT","LUN","MA_QH","NCK")</f>
        <v>0</v>
      </c>
      <c r="AK10" s="50">
        <f ca="1">+GETPIVOTDATA("XBG4",'binhgia (2016)'!$A$3,"MA_HT","LUN","MA_QH","DXH")</f>
        <v>0</v>
      </c>
      <c r="AL10" s="50">
        <f ca="1">+GETPIVOTDATA("XBG4",'binhgia (2016)'!$A$3,"MA_HT","LUN","MA_QH","DCH")</f>
        <v>0</v>
      </c>
      <c r="AM10" s="50">
        <f ca="1">+GETPIVOTDATA("XBG4",'binhgia (2016)'!$A$3,"MA_HT","LUN","MA_QH","DKG")</f>
        <v>0</v>
      </c>
      <c r="AN10" s="50">
        <f ca="1">+GETPIVOTDATA("XBG4",'binhgia (2016)'!$A$3,"MA_HT","LUN","MA_QH","DDT")</f>
        <v>0</v>
      </c>
      <c r="AO10" s="50">
        <f ca="1">+GETPIVOTDATA("XBG4",'binhgia (2016)'!$A$3,"MA_HT","LUN","MA_QH","DDL")</f>
        <v>0</v>
      </c>
      <c r="AP10" s="50">
        <f ca="1">+GETPIVOTDATA("XBG4",'binhgia (2016)'!$A$3,"MA_HT","LUN","MA_QH","DRA")</f>
        <v>0</v>
      </c>
      <c r="AQ10" s="50">
        <f ca="1">+GETPIVOTDATA("XBG4",'binhgia (2016)'!$A$3,"MA_HT","LUN","MA_QH","ONT")</f>
        <v>0</v>
      </c>
      <c r="AR10" s="50">
        <f ca="1">+GETPIVOTDATA("XBG4",'binhgia (2016)'!$A$3,"MA_HT","LUN","MA_QH","ODT")</f>
        <v>0</v>
      </c>
      <c r="AS10" s="50">
        <f ca="1">+GETPIVOTDATA("XBG4",'binhgia (2016)'!$A$3,"MA_HT","LUN","MA_QH","TSC")</f>
        <v>0</v>
      </c>
      <c r="AT10" s="50">
        <f ca="1">+GETPIVOTDATA("XBG4",'binhgia (2016)'!$A$3,"MA_HT","LUN","MA_QH","DTS")</f>
        <v>0</v>
      </c>
      <c r="AU10" s="50">
        <f ca="1">+GETPIVOTDATA("XBG4",'binhgia (2016)'!$A$3,"MA_HT","LUN","MA_QH","DNG")</f>
        <v>0</v>
      </c>
      <c r="AV10" s="50">
        <f ca="1">+GETPIVOTDATA("XBG4",'binhgia (2016)'!$A$3,"MA_HT","LUN","MA_QH","TON")</f>
        <v>0</v>
      </c>
      <c r="AW10" s="50">
        <f ca="1">+GETPIVOTDATA("XBG4",'binhgia (2016)'!$A$3,"MA_HT","LUN","MA_QH","NTD")</f>
        <v>0</v>
      </c>
      <c r="AX10" s="50">
        <f ca="1">+GETPIVOTDATA("XBG4",'binhgia (2016)'!$A$3,"MA_HT","LUN","MA_QH","SKX")</f>
        <v>0</v>
      </c>
      <c r="AY10" s="50">
        <f ca="1">+GETPIVOTDATA("XBG4",'binhgia (2016)'!$A$3,"MA_HT","LUN","MA_QH","DSH")</f>
        <v>0</v>
      </c>
      <c r="AZ10" s="50">
        <f ca="1">+GETPIVOTDATA("XBG4",'binhgia (2016)'!$A$3,"MA_HT","LUN","MA_QH","DKV")</f>
        <v>0</v>
      </c>
      <c r="BA10" s="88">
        <f ca="1">+GETPIVOTDATA("XBG4",'binhgia (2016)'!$A$3,"MA_HT","LUN","MA_QH","TIN")</f>
        <v>0</v>
      </c>
      <c r="BB10" s="50">
        <f ca="1">+GETPIVOTDATA("XBG4",'binhgia (2016)'!$A$3,"MA_HT","LUN","MA_QH","SON")</f>
        <v>0</v>
      </c>
      <c r="BC10" s="50">
        <f ca="1">+GETPIVOTDATA("XBG4",'binhgia (2016)'!$A$3,"MA_HT","LUN","MA_QH","MNC")</f>
        <v>0</v>
      </c>
      <c r="BD10" s="50">
        <f ca="1">+GETPIVOTDATA("XBG4",'binhgia (2016)'!$A$3,"MA_HT","LUN","MA_QH","PNK")</f>
        <v>0</v>
      </c>
      <c r="BE10" s="80">
        <f ca="1">+GETPIVOTDATA("XBG4",'binhgia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+GETPIVOTDATA("XBG4",'binhgia (2016)'!$A$3,"MA_HT","HNK","MA_QH","LUC")</f>
        <v>0</v>
      </c>
      <c r="H11" s="22">
        <f ca="1">+GETPIVOTDATA("XBG4",'binhgia (2016)'!$A$3,"MA_HT","HNK","MA_QH","LUK")</f>
        <v>0</v>
      </c>
      <c r="I11" s="22">
        <f ca="1">+GETPIVOTDATA("XBG4",'binhgia (2016)'!$A$3,"MA_HT","HNK","MA_QH","LUN")</f>
        <v>0</v>
      </c>
      <c r="J11" s="43" t="e">
        <f ca="1">$D11-$BF11</f>
        <v>#REF!</v>
      </c>
      <c r="K11" s="22">
        <f ca="1">+GETPIVOTDATA("XBG4",'binhgia (2016)'!$A$3,"MA_HT","HNK","MA_QH","CLN")</f>
        <v>0</v>
      </c>
      <c r="L11" s="22">
        <f ca="1">+GETPIVOTDATA("XBG4",'binhgia (2016)'!$A$3,"MA_HT","HNK","MA_QH","RSX")</f>
        <v>0</v>
      </c>
      <c r="M11" s="22">
        <f ca="1">+GETPIVOTDATA("XBG4",'binhgia (2016)'!$A$3,"MA_HT","HNK","MA_QH","RPH")</f>
        <v>0</v>
      </c>
      <c r="N11" s="22">
        <f ca="1">+GETPIVOTDATA("XBG4",'binhgia (2016)'!$A$3,"MA_HT","HNK","MA_QH","RDD")</f>
        <v>0</v>
      </c>
      <c r="O11" s="22">
        <f ca="1">+GETPIVOTDATA("XBG4",'binhgia (2016)'!$A$3,"MA_HT","HNK","MA_QH","NTS")</f>
        <v>0</v>
      </c>
      <c r="P11" s="22">
        <f ca="1">+GETPIVOTDATA("XBG4",'binhgia (2016)'!$A$3,"MA_HT","HNK","MA_QH","LMU")</f>
        <v>0</v>
      </c>
      <c r="Q11" s="22">
        <f ca="1">+GETPIVOTDATA("XBG4",'binhgia (2016)'!$A$3,"MA_HT","HNK","MA_QH","NKH")</f>
        <v>0</v>
      </c>
      <c r="R11" s="42">
        <f ca="1" t="shared" si="2"/>
        <v>0</v>
      </c>
      <c r="S11" s="22">
        <f ca="1">+GETPIVOTDATA("XBG4",'binhgia (2016)'!$A$3,"MA_HT","HNK","MA_QH","CQP")</f>
        <v>0</v>
      </c>
      <c r="T11" s="22">
        <f ca="1">+GETPIVOTDATA("XBG4",'binhgia (2016)'!$A$3,"MA_HT","HNK","MA_QH","CAN")</f>
        <v>0</v>
      </c>
      <c r="U11" s="22">
        <f ca="1">+GETPIVOTDATA("XBG4",'binhgia (2016)'!$A$3,"MA_HT","HNK","MA_QH","SKK")</f>
        <v>0</v>
      </c>
      <c r="V11" s="22">
        <f ca="1">+GETPIVOTDATA("XBG4",'binhgia (2016)'!$A$3,"MA_HT","HNK","MA_QH","SKT")</f>
        <v>0</v>
      </c>
      <c r="W11" s="22">
        <f ca="1">+GETPIVOTDATA("XBG4",'binhgia (2016)'!$A$3,"MA_HT","HNK","MA_QH","SKN")</f>
        <v>0</v>
      </c>
      <c r="X11" s="22">
        <f ca="1">+GETPIVOTDATA("XBG4",'binhgia (2016)'!$A$3,"MA_HT","HNK","MA_QH","TMD")</f>
        <v>0</v>
      </c>
      <c r="Y11" s="22">
        <f ca="1">+GETPIVOTDATA("XBG4",'binhgia (2016)'!$A$3,"MA_HT","HNK","MA_QH","SKC")</f>
        <v>0</v>
      </c>
      <c r="Z11" s="22">
        <f ca="1">+GETPIVOTDATA("XBG4",'binhgia (2016)'!$A$3,"MA_HT","HNK","MA_QH","SKS")</f>
        <v>0</v>
      </c>
      <c r="AA11" s="52">
        <f ca="1" t="shared" si="4"/>
        <v>0</v>
      </c>
      <c r="AB11" s="22">
        <f ca="1">+GETPIVOTDATA("XBG4",'binhgia (2016)'!$A$3,"MA_HT","HNK","MA_QH","DGT")</f>
        <v>0</v>
      </c>
      <c r="AC11" s="22">
        <f ca="1">+GETPIVOTDATA("XBG4",'binhgia (2016)'!$A$3,"MA_HT","HNK","MA_QH","DTL")</f>
        <v>0</v>
      </c>
      <c r="AD11" s="22">
        <f ca="1">+GETPIVOTDATA("XBG4",'binhgia (2016)'!$A$3,"MA_HT","HNK","MA_QH","DNL")</f>
        <v>0</v>
      </c>
      <c r="AE11" s="22">
        <f ca="1">+GETPIVOTDATA("XBG4",'binhgia (2016)'!$A$3,"MA_HT","HNK","MA_QH","DBV")</f>
        <v>0</v>
      </c>
      <c r="AF11" s="22">
        <f ca="1">+GETPIVOTDATA("XBG4",'binhgia (2016)'!$A$3,"MA_HT","HNK","MA_QH","DVH")</f>
        <v>0</v>
      </c>
      <c r="AG11" s="22">
        <f ca="1">+GETPIVOTDATA("XBG4",'binhgia (2016)'!$A$3,"MA_HT","HNK","MA_QH","DYT")</f>
        <v>0</v>
      </c>
      <c r="AH11" s="22">
        <f ca="1">+GETPIVOTDATA("XBG4",'binhgia (2016)'!$A$3,"MA_HT","HNK","MA_QH","DGD")</f>
        <v>0</v>
      </c>
      <c r="AI11" s="22">
        <f ca="1">+GETPIVOTDATA("XBG4",'binhgia (2016)'!$A$3,"MA_HT","HNK","MA_QH","DTT")</f>
        <v>0</v>
      </c>
      <c r="AJ11" s="22">
        <f ca="1">+GETPIVOTDATA("XBG4",'binhgia (2016)'!$A$3,"MA_HT","HNK","MA_QH","NCK")</f>
        <v>0</v>
      </c>
      <c r="AK11" s="22">
        <f ca="1">+GETPIVOTDATA("XBG4",'binhgia (2016)'!$A$3,"MA_HT","HNK","MA_QH","DXH")</f>
        <v>0</v>
      </c>
      <c r="AL11" s="22">
        <f ca="1">+GETPIVOTDATA("XBG4",'binhgia (2016)'!$A$3,"MA_HT","HNK","MA_QH","DCH")</f>
        <v>0</v>
      </c>
      <c r="AM11" s="22">
        <f ca="1">+GETPIVOTDATA("XBG4",'binhgia (2016)'!$A$3,"MA_HT","HNK","MA_QH","DKG")</f>
        <v>0</v>
      </c>
      <c r="AN11" s="22">
        <f ca="1">+GETPIVOTDATA("XBG4",'binhgia (2016)'!$A$3,"MA_HT","HNK","MA_QH","DDT")</f>
        <v>0</v>
      </c>
      <c r="AO11" s="22">
        <f ca="1">+GETPIVOTDATA("XBG4",'binhgia (2016)'!$A$3,"MA_HT","HNK","MA_QH","DDL")</f>
        <v>0</v>
      </c>
      <c r="AP11" s="22">
        <f ca="1">+GETPIVOTDATA("XBG4",'binhgia (2016)'!$A$3,"MA_HT","HNK","MA_QH","DRA")</f>
        <v>0</v>
      </c>
      <c r="AQ11" s="22">
        <f ca="1">+GETPIVOTDATA("XBG4",'binhgia (2016)'!$A$3,"MA_HT","HNK","MA_QH","ONT")</f>
        <v>0</v>
      </c>
      <c r="AR11" s="22">
        <f ca="1">+GETPIVOTDATA("XBG4",'binhgia (2016)'!$A$3,"MA_HT","HNK","MA_QH","ODT")</f>
        <v>0</v>
      </c>
      <c r="AS11" s="22">
        <f ca="1">+GETPIVOTDATA("XBG4",'binhgia (2016)'!$A$3,"MA_HT","HNK","MA_QH","TSC")</f>
        <v>0</v>
      </c>
      <c r="AT11" s="22">
        <f ca="1">+GETPIVOTDATA("XBG4",'binhgia (2016)'!$A$3,"MA_HT","HNK","MA_QH","DTS")</f>
        <v>0</v>
      </c>
      <c r="AU11" s="22">
        <f ca="1">+GETPIVOTDATA("XBG4",'binhgia (2016)'!$A$3,"MA_HT","HNK","MA_QH","DNG")</f>
        <v>0</v>
      </c>
      <c r="AV11" s="22">
        <f ca="1">+GETPIVOTDATA("XBG4",'binhgia (2016)'!$A$3,"MA_HT","HNK","MA_QH","TON")</f>
        <v>0</v>
      </c>
      <c r="AW11" s="22">
        <f ca="1">+GETPIVOTDATA("XBG4",'binhgia (2016)'!$A$3,"MA_HT","HNK","MA_QH","NTD")</f>
        <v>0</v>
      </c>
      <c r="AX11" s="22">
        <f ca="1">+GETPIVOTDATA("XBG4",'binhgia (2016)'!$A$3,"MA_HT","HNK","MA_QH","SKX")</f>
        <v>0</v>
      </c>
      <c r="AY11" s="22">
        <f ca="1">+GETPIVOTDATA("XBG4",'binhgia (2016)'!$A$3,"MA_HT","HNK","MA_QH","DSH")</f>
        <v>0</v>
      </c>
      <c r="AZ11" s="22">
        <f ca="1">+GETPIVOTDATA("XBG4",'binhgia (2016)'!$A$3,"MA_HT","HNK","MA_QH","DKV")</f>
        <v>0</v>
      </c>
      <c r="BA11" s="89">
        <f ca="1">+GETPIVOTDATA("XBG4",'binhgia (2016)'!$A$3,"MA_HT","HNK","MA_QH","TIN")</f>
        <v>0</v>
      </c>
      <c r="BB11" s="50">
        <f ca="1">+GETPIVOTDATA("XBG4",'binhgia (2016)'!$A$3,"MA_HT","HNK","MA_QH","SON")</f>
        <v>0</v>
      </c>
      <c r="BC11" s="50">
        <f ca="1">+GETPIVOTDATA("XBG4",'binhgia (2016)'!$A$3,"MA_HT","HNK","MA_QH","MNC")</f>
        <v>0</v>
      </c>
      <c r="BD11" s="22">
        <f ca="1">+GETPIVOTDATA("XBG4",'binhgia (2016)'!$A$3,"MA_HT","HNK","MA_QH","PNK")</f>
        <v>0</v>
      </c>
      <c r="BE11" s="71">
        <f ca="1">+GETPIVOTDATA("XBG4",'binhgia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+GETPIVOTDATA("XBG4",'binhgia (2016)'!$A$3,"MA_HT","CLN","MA_QH","LUC")</f>
        <v>0</v>
      </c>
      <c r="H12" s="22">
        <f ca="1">+GETPIVOTDATA("XBG4",'binhgia (2016)'!$A$3,"MA_HT","CLN","MA_QH","LUK")</f>
        <v>0</v>
      </c>
      <c r="I12" s="22">
        <f ca="1">+GETPIVOTDATA("XBG4",'binhgia (2016)'!$A$3,"MA_HT","CLN","MA_QH","LUN")</f>
        <v>0</v>
      </c>
      <c r="J12" s="22">
        <f ca="1">+GETPIVOTDATA("XBG4",'binhgia (2016)'!$A$3,"MA_HT","CLN","MA_QH","HNK")</f>
        <v>0</v>
      </c>
      <c r="K12" s="43" t="e">
        <f ca="1">$D12-$BF12</f>
        <v>#REF!</v>
      </c>
      <c r="L12" s="22">
        <f ca="1">+GETPIVOTDATA("XBG4",'binhgia (2016)'!$A$3,"MA_HT","CLN","MA_QH","RSX")</f>
        <v>0</v>
      </c>
      <c r="M12" s="22">
        <f ca="1">+GETPIVOTDATA("XBG4",'binhgia (2016)'!$A$3,"MA_HT","CLN","MA_QH","RPH")</f>
        <v>0</v>
      </c>
      <c r="N12" s="22">
        <f ca="1">+GETPIVOTDATA("XBG4",'binhgia (2016)'!$A$3,"MA_HT","CLN","MA_QH","RDD")</f>
        <v>0</v>
      </c>
      <c r="O12" s="22">
        <f ca="1">+GETPIVOTDATA("XBG4",'binhgia (2016)'!$A$3,"MA_HT","CLN","MA_QH","NTS")</f>
        <v>0</v>
      </c>
      <c r="P12" s="22">
        <f ca="1">+GETPIVOTDATA("XBG4",'binhgia (2016)'!$A$3,"MA_HT","CLN","MA_QH","LMU")</f>
        <v>0</v>
      </c>
      <c r="Q12" s="22">
        <f ca="1">+GETPIVOTDATA("XBG4",'binhgia (2016)'!$A$3,"MA_HT","CLN","MA_QH","NKH")</f>
        <v>0</v>
      </c>
      <c r="R12" s="42">
        <f ca="1" t="shared" si="2"/>
        <v>0</v>
      </c>
      <c r="S12" s="22">
        <f ca="1">+GETPIVOTDATA("XBG4",'binhgia (2016)'!$A$3,"MA_HT","CLN","MA_QH","CQP")</f>
        <v>0</v>
      </c>
      <c r="T12" s="22">
        <f ca="1">+GETPIVOTDATA("XBG4",'binhgia (2016)'!$A$3,"MA_HT","CLN","MA_QH","CAN")</f>
        <v>0</v>
      </c>
      <c r="U12" s="22">
        <f ca="1">+GETPIVOTDATA("XBG4",'binhgia (2016)'!$A$3,"MA_HT","CLN","MA_QH","SKK")</f>
        <v>0</v>
      </c>
      <c r="V12" s="22">
        <f ca="1">+GETPIVOTDATA("XBG4",'binhgia (2016)'!$A$3,"MA_HT","CLN","MA_QH","SKT")</f>
        <v>0</v>
      </c>
      <c r="W12" s="22">
        <f ca="1">+GETPIVOTDATA("XBG4",'binhgia (2016)'!$A$3,"MA_HT","CLN","MA_QH","SKN")</f>
        <v>0</v>
      </c>
      <c r="X12" s="22">
        <f ca="1">+GETPIVOTDATA("XBG4",'binhgia (2016)'!$A$3,"MA_HT","CLN","MA_QH","TMD")</f>
        <v>0</v>
      </c>
      <c r="Y12" s="22">
        <f ca="1">+GETPIVOTDATA("XBG4",'binhgia (2016)'!$A$3,"MA_HT","CLN","MA_QH","SKC")</f>
        <v>0</v>
      </c>
      <c r="Z12" s="22">
        <f ca="1">+GETPIVOTDATA("XBG4",'binhgia (2016)'!$A$3,"MA_HT","CLN","MA_QH","SKS")</f>
        <v>0</v>
      </c>
      <c r="AA12" s="52">
        <f ca="1" t="shared" si="4"/>
        <v>0</v>
      </c>
      <c r="AB12" s="22">
        <f ca="1">+GETPIVOTDATA("XBG4",'binhgia (2016)'!$A$3,"MA_HT","CLN","MA_QH","DGT")</f>
        <v>0</v>
      </c>
      <c r="AC12" s="22">
        <f ca="1">+GETPIVOTDATA("XBG4",'binhgia (2016)'!$A$3,"MA_HT","CLN","MA_QH","DTL")</f>
        <v>0</v>
      </c>
      <c r="AD12" s="22">
        <f ca="1">+GETPIVOTDATA("XBG4",'binhgia (2016)'!$A$3,"MA_HT","CLN","MA_QH","DNL")</f>
        <v>0</v>
      </c>
      <c r="AE12" s="22">
        <f ca="1">+GETPIVOTDATA("XBG4",'binhgia (2016)'!$A$3,"MA_HT","CLN","MA_QH","DBV")</f>
        <v>0</v>
      </c>
      <c r="AF12" s="22">
        <f ca="1">+GETPIVOTDATA("XBG4",'binhgia (2016)'!$A$3,"MA_HT","CLN","MA_QH","DVH")</f>
        <v>0</v>
      </c>
      <c r="AG12" s="22">
        <f ca="1">+GETPIVOTDATA("XBG4",'binhgia (2016)'!$A$3,"MA_HT","CLN","MA_QH","DYT")</f>
        <v>0</v>
      </c>
      <c r="AH12" s="22">
        <f ca="1">+GETPIVOTDATA("XBG4",'binhgia (2016)'!$A$3,"MA_HT","CLN","MA_QH","DGD")</f>
        <v>0</v>
      </c>
      <c r="AI12" s="22">
        <f ca="1">+GETPIVOTDATA("XBG4",'binhgia (2016)'!$A$3,"MA_HT","CLN","MA_QH","DTT")</f>
        <v>0</v>
      </c>
      <c r="AJ12" s="22">
        <f ca="1">+GETPIVOTDATA("XBG4",'binhgia (2016)'!$A$3,"MA_HT","CLN","MA_QH","NCK")</f>
        <v>0</v>
      </c>
      <c r="AK12" s="22">
        <f ca="1">+GETPIVOTDATA("XBG4",'binhgia (2016)'!$A$3,"MA_HT","CLN","MA_QH","DXH")</f>
        <v>0</v>
      </c>
      <c r="AL12" s="22">
        <f ca="1">+GETPIVOTDATA("XBG4",'binhgia (2016)'!$A$3,"MA_HT","CLN","MA_QH","DCH")</f>
        <v>0</v>
      </c>
      <c r="AM12" s="22">
        <f ca="1">+GETPIVOTDATA("XBG4",'binhgia (2016)'!$A$3,"MA_HT","CLN","MA_QH","DKG")</f>
        <v>0</v>
      </c>
      <c r="AN12" s="22">
        <f ca="1">+GETPIVOTDATA("XBG4",'binhgia (2016)'!$A$3,"MA_HT","CLN","MA_QH","DDT")</f>
        <v>0</v>
      </c>
      <c r="AO12" s="22">
        <f ca="1">+GETPIVOTDATA("XBG4",'binhgia (2016)'!$A$3,"MA_HT","CLN","MA_QH","DDL")</f>
        <v>0</v>
      </c>
      <c r="AP12" s="22">
        <f ca="1">+GETPIVOTDATA("XBG4",'binhgia (2016)'!$A$3,"MA_HT","CLN","MA_QH","DRA")</f>
        <v>0</v>
      </c>
      <c r="AQ12" s="22">
        <f ca="1">+GETPIVOTDATA("XBG4",'binhgia (2016)'!$A$3,"MA_HT","CLN","MA_QH","ONT")</f>
        <v>0</v>
      </c>
      <c r="AR12" s="22">
        <f ca="1">+GETPIVOTDATA("XBG4",'binhgia (2016)'!$A$3,"MA_HT","CLN","MA_QH","ODT")</f>
        <v>0</v>
      </c>
      <c r="AS12" s="22">
        <f ca="1">+GETPIVOTDATA("XBG4",'binhgia (2016)'!$A$3,"MA_HT","CLN","MA_QH","TSC")</f>
        <v>0</v>
      </c>
      <c r="AT12" s="22">
        <f ca="1">+GETPIVOTDATA("XBG4",'binhgia (2016)'!$A$3,"MA_HT","CLN","MA_QH","DTS")</f>
        <v>0</v>
      </c>
      <c r="AU12" s="22">
        <f ca="1">+GETPIVOTDATA("XBG4",'binhgia (2016)'!$A$3,"MA_HT","CLN","MA_QH","DNG")</f>
        <v>0</v>
      </c>
      <c r="AV12" s="22">
        <f ca="1">+GETPIVOTDATA("XBG4",'binhgia (2016)'!$A$3,"MA_HT","CLN","MA_QH","TON")</f>
        <v>0</v>
      </c>
      <c r="AW12" s="22">
        <f ca="1">+GETPIVOTDATA("XBG4",'binhgia (2016)'!$A$3,"MA_HT","CLN","MA_QH","NTD")</f>
        <v>0</v>
      </c>
      <c r="AX12" s="22">
        <f ca="1">+GETPIVOTDATA("XBG4",'binhgia (2016)'!$A$3,"MA_HT","CLN","MA_QH","SKX")</f>
        <v>0</v>
      </c>
      <c r="AY12" s="22">
        <f ca="1">+GETPIVOTDATA("XBG4",'binhgia (2016)'!$A$3,"MA_HT","CLN","MA_QH","DSH")</f>
        <v>0</v>
      </c>
      <c r="AZ12" s="22">
        <f ca="1">+GETPIVOTDATA("XBG4",'binhgia (2016)'!$A$3,"MA_HT","CLN","MA_QH","DKV")</f>
        <v>0</v>
      </c>
      <c r="BA12" s="89">
        <f ca="1">+GETPIVOTDATA("XBG4",'binhgia (2016)'!$A$3,"MA_HT","CLN","MA_QH","TIN")</f>
        <v>0</v>
      </c>
      <c r="BB12" s="50">
        <f ca="1">+GETPIVOTDATA("XBG4",'binhgia (2016)'!$A$3,"MA_HT","CLN","MA_QH","SON")</f>
        <v>0</v>
      </c>
      <c r="BC12" s="50">
        <f ca="1">+GETPIVOTDATA("XBG4",'binhgia (2016)'!$A$3,"MA_HT","CLN","MA_QH","MNC")</f>
        <v>0</v>
      </c>
      <c r="BD12" s="22">
        <f ca="1">+GETPIVOTDATA("XBG4",'binhgia (2016)'!$A$3,"MA_HT","CLN","MA_QH","PNK")</f>
        <v>0</v>
      </c>
      <c r="BE12" s="71">
        <f ca="1">+GETPIVOTDATA("XBG4",'binhgia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+GETPIVOTDATA("XBG4",'binhgia (2016)'!$A$3,"MA_HT","RSX","MA_QH","LUC")</f>
        <v>0</v>
      </c>
      <c r="H13" s="22">
        <f ca="1">+GETPIVOTDATA("XBG4",'binhgia (2016)'!$A$3,"MA_HT","RSX","MA_QH","LUK")</f>
        <v>0</v>
      </c>
      <c r="I13" s="22">
        <f ca="1">+GETPIVOTDATA("XBG4",'binhgia (2016)'!$A$3,"MA_HT","RSX","MA_QH","LUN")</f>
        <v>0</v>
      </c>
      <c r="J13" s="22">
        <f ca="1">+GETPIVOTDATA("XBG4",'binhgia (2016)'!$A$3,"MA_HT","RSX","MA_QH","HNK")</f>
        <v>0</v>
      </c>
      <c r="K13" s="22">
        <f ca="1">+GETPIVOTDATA("XBG4",'binhgia (2016)'!$A$3,"MA_HT","RSX","MA_QH","CLN")</f>
        <v>0</v>
      </c>
      <c r="L13" s="43" t="e">
        <f ca="1">$D13-$BF13</f>
        <v>#REF!</v>
      </c>
      <c r="M13" s="22">
        <f ca="1">+GETPIVOTDATA("XBG4",'binhgia (2016)'!$A$3,"MA_HT","RSX","MA_QH","RPH")</f>
        <v>0</v>
      </c>
      <c r="N13" s="22">
        <f ca="1">+GETPIVOTDATA("XBG4",'binhgia (2016)'!$A$3,"MA_HT","RSX","MA_QH","RDD")</f>
        <v>0</v>
      </c>
      <c r="O13" s="22">
        <f ca="1">+GETPIVOTDATA("XBG4",'binhgia (2016)'!$A$3,"MA_HT","RSX","MA_QH","NTS")</f>
        <v>0</v>
      </c>
      <c r="P13" s="22">
        <f ca="1">+GETPIVOTDATA("XBG4",'binhgia (2016)'!$A$3,"MA_HT","RSX","MA_QH","LMU")</f>
        <v>0</v>
      </c>
      <c r="Q13" s="22">
        <f ca="1">+GETPIVOTDATA("XBG4",'binhgia (2016)'!$A$3,"MA_HT","RSX","MA_QH","NKH")</f>
        <v>0</v>
      </c>
      <c r="R13" s="42">
        <f ca="1" t="shared" si="2"/>
        <v>0</v>
      </c>
      <c r="S13" s="22">
        <f ca="1">+GETPIVOTDATA("XBG4",'binhgia (2016)'!$A$3,"MA_HT","RSX","MA_QH","CQP")</f>
        <v>0</v>
      </c>
      <c r="T13" s="22">
        <f ca="1">+GETPIVOTDATA("XBG4",'binhgia (2016)'!$A$3,"MA_HT","RSX","MA_QH","CAN")</f>
        <v>0</v>
      </c>
      <c r="U13" s="22">
        <f ca="1">+GETPIVOTDATA("XBG4",'binhgia (2016)'!$A$3,"MA_HT","RSX","MA_QH","SKK")</f>
        <v>0</v>
      </c>
      <c r="V13" s="22">
        <f ca="1">+GETPIVOTDATA("XBG4",'binhgia (2016)'!$A$3,"MA_HT","RSX","MA_QH","SKT")</f>
        <v>0</v>
      </c>
      <c r="W13" s="22">
        <f ca="1">+GETPIVOTDATA("XBG4",'binhgia (2016)'!$A$3,"MA_HT","RSX","MA_QH","SKN")</f>
        <v>0</v>
      </c>
      <c r="X13" s="22">
        <f ca="1">+GETPIVOTDATA("XBG4",'binhgia (2016)'!$A$3,"MA_HT","RSX","MA_QH","TMD")</f>
        <v>0</v>
      </c>
      <c r="Y13" s="22">
        <f ca="1">+GETPIVOTDATA("XBG4",'binhgia (2016)'!$A$3,"MA_HT","RSX","MA_QH","SKC")</f>
        <v>0</v>
      </c>
      <c r="Z13" s="22">
        <f ca="1">+GETPIVOTDATA("XBG4",'binhgia (2016)'!$A$3,"MA_HT","RSX","MA_QH","SKS")</f>
        <v>0</v>
      </c>
      <c r="AA13" s="52">
        <f ca="1" t="shared" si="4"/>
        <v>0</v>
      </c>
      <c r="AB13" s="22">
        <f ca="1">+GETPIVOTDATA("XBG4",'binhgia (2016)'!$A$3,"MA_HT","RSX","MA_QH","DGT")</f>
        <v>0</v>
      </c>
      <c r="AC13" s="22">
        <f ca="1">+GETPIVOTDATA("XBG4",'binhgia (2016)'!$A$3,"MA_HT","RSX","MA_QH","DTL")</f>
        <v>0</v>
      </c>
      <c r="AD13" s="22">
        <f ca="1">+GETPIVOTDATA("XBG4",'binhgia (2016)'!$A$3,"MA_HT","RSX","MA_QH","DNL")</f>
        <v>0</v>
      </c>
      <c r="AE13" s="22">
        <f ca="1">+GETPIVOTDATA("XBG4",'binhgia (2016)'!$A$3,"MA_HT","RSX","MA_QH","DBV")</f>
        <v>0</v>
      </c>
      <c r="AF13" s="22">
        <f ca="1">+GETPIVOTDATA("XBG4",'binhgia (2016)'!$A$3,"MA_HT","RSX","MA_QH","DVH")</f>
        <v>0</v>
      </c>
      <c r="AG13" s="22">
        <f ca="1">+GETPIVOTDATA("XBG4",'binhgia (2016)'!$A$3,"MA_HT","RSX","MA_QH","DYT")</f>
        <v>0</v>
      </c>
      <c r="AH13" s="22">
        <f ca="1">+GETPIVOTDATA("XBG4",'binhgia (2016)'!$A$3,"MA_HT","RSX","MA_QH","DGD")</f>
        <v>0</v>
      </c>
      <c r="AI13" s="22">
        <f ca="1">+GETPIVOTDATA("XBG4",'binhgia (2016)'!$A$3,"MA_HT","RSX","MA_QH","DTT")</f>
        <v>0</v>
      </c>
      <c r="AJ13" s="22">
        <f ca="1">+GETPIVOTDATA("XBG4",'binhgia (2016)'!$A$3,"MA_HT","RSX","MA_QH","NCK")</f>
        <v>0</v>
      </c>
      <c r="AK13" s="22">
        <f ca="1">+GETPIVOTDATA("XBG4",'binhgia (2016)'!$A$3,"MA_HT","RSX","MA_QH","DXH")</f>
        <v>0</v>
      </c>
      <c r="AL13" s="22">
        <f ca="1">+GETPIVOTDATA("XBG4",'binhgia (2016)'!$A$3,"MA_HT","RSX","MA_QH","DCH")</f>
        <v>0</v>
      </c>
      <c r="AM13" s="22">
        <f ca="1">+GETPIVOTDATA("XBG4",'binhgia (2016)'!$A$3,"MA_HT","RSX","MA_QH","DKG")</f>
        <v>0</v>
      </c>
      <c r="AN13" s="22">
        <f ca="1">+GETPIVOTDATA("XBG4",'binhgia (2016)'!$A$3,"MA_HT","RSX","MA_QH","DDT")</f>
        <v>0</v>
      </c>
      <c r="AO13" s="22">
        <f ca="1">+GETPIVOTDATA("XBG4",'binhgia (2016)'!$A$3,"MA_HT","RSX","MA_QH","DDL")</f>
        <v>0</v>
      </c>
      <c r="AP13" s="22">
        <f ca="1">+GETPIVOTDATA("XBG4",'binhgia (2016)'!$A$3,"MA_HT","RSX","MA_QH","DRA")</f>
        <v>0</v>
      </c>
      <c r="AQ13" s="22">
        <f ca="1">+GETPIVOTDATA("XBG4",'binhgia (2016)'!$A$3,"MA_HT","RSX","MA_QH","ONT")</f>
        <v>0</v>
      </c>
      <c r="AR13" s="22">
        <f ca="1">+GETPIVOTDATA("XBG4",'binhgia (2016)'!$A$3,"MA_HT","RSX","MA_QH","ODT")</f>
        <v>0</v>
      </c>
      <c r="AS13" s="22">
        <f ca="1">+GETPIVOTDATA("XBG4",'binhgia (2016)'!$A$3,"MA_HT","RSX","MA_QH","TSC")</f>
        <v>0</v>
      </c>
      <c r="AT13" s="22">
        <f ca="1">+GETPIVOTDATA("XBG4",'binhgia (2016)'!$A$3,"MA_HT","RSX","MA_QH","DTS")</f>
        <v>0</v>
      </c>
      <c r="AU13" s="22">
        <f ca="1">+GETPIVOTDATA("XBG4",'binhgia (2016)'!$A$3,"MA_HT","RSX","MA_QH","DNG")</f>
        <v>0</v>
      </c>
      <c r="AV13" s="22">
        <f ca="1">+GETPIVOTDATA("XBG4",'binhgia (2016)'!$A$3,"MA_HT","RSX","MA_QH","TON")</f>
        <v>0</v>
      </c>
      <c r="AW13" s="22">
        <f ca="1">+GETPIVOTDATA("XBG4",'binhgia (2016)'!$A$3,"MA_HT","RSX","MA_QH","NTD")</f>
        <v>0</v>
      </c>
      <c r="AX13" s="22">
        <f ca="1">+GETPIVOTDATA("XBG4",'binhgia (2016)'!$A$3,"MA_HT","RSX","MA_QH","SKX")</f>
        <v>0</v>
      </c>
      <c r="AY13" s="22">
        <f ca="1">+GETPIVOTDATA("XBG4",'binhgia (2016)'!$A$3,"MA_HT","RSX","MA_QH","DSH")</f>
        <v>0</v>
      </c>
      <c r="AZ13" s="22">
        <f ca="1">+GETPIVOTDATA("XBG4",'binhgia (2016)'!$A$3,"MA_HT","RSX","MA_QH","DKV")</f>
        <v>0</v>
      </c>
      <c r="BA13" s="89">
        <f ca="1">+GETPIVOTDATA("XBG4",'binhgia (2016)'!$A$3,"MA_HT","RSX","MA_QH","TIN")</f>
        <v>0</v>
      </c>
      <c r="BB13" s="50">
        <f ca="1">+GETPIVOTDATA("XBG4",'binhgia (2016)'!$A$3,"MA_HT","RSX","MA_QH","SON")</f>
        <v>0</v>
      </c>
      <c r="BC13" s="50">
        <f ca="1">+GETPIVOTDATA("XBG4",'binhgia (2016)'!$A$3,"MA_HT","RSX","MA_QH","MNC")</f>
        <v>0</v>
      </c>
      <c r="BD13" s="22">
        <f ca="1">+GETPIVOTDATA("XBG4",'binhgia (2016)'!$A$3,"MA_HT","RSX","MA_QH","PNK")</f>
        <v>0</v>
      </c>
      <c r="BE13" s="71">
        <f ca="1">+GETPIVOTDATA("XBG4",'binhgia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+GETPIVOTDATA("XBG4",'binhgia (2016)'!$A$3,"MA_HT","RPH","MA_QH","LUC")</f>
        <v>0</v>
      </c>
      <c r="H14" s="22">
        <f ca="1">+GETPIVOTDATA("XBG4",'binhgia (2016)'!$A$3,"MA_HT","RPH","MA_QH","LUK")</f>
        <v>0</v>
      </c>
      <c r="I14" s="22">
        <f ca="1">+GETPIVOTDATA("XBG4",'binhgia (2016)'!$A$3,"MA_HT","RPH","MA_QH","LUN")</f>
        <v>0</v>
      </c>
      <c r="J14" s="22">
        <f ca="1">+GETPIVOTDATA("XBG4",'binhgia (2016)'!$A$3,"MA_HT","RPH","MA_QH","HNK")</f>
        <v>0</v>
      </c>
      <c r="K14" s="22">
        <f ca="1">+GETPIVOTDATA("XBG4",'binhgia (2016)'!$A$3,"MA_HT","RPH","MA_QH","CLN")</f>
        <v>0</v>
      </c>
      <c r="L14" s="22">
        <f ca="1">+GETPIVOTDATA("XBG4",'binhgia (2016)'!$A$3,"MA_HT","RPH","MA_QH","RSX")</f>
        <v>0</v>
      </c>
      <c r="M14" s="43" t="e">
        <f ca="1">$D14-$BF14</f>
        <v>#REF!</v>
      </c>
      <c r="N14" s="22">
        <f ca="1">+GETPIVOTDATA("XBG4",'binhgia (2016)'!$A$3,"MA_HT","RPH","MA_QH","RDD")</f>
        <v>0</v>
      </c>
      <c r="O14" s="22">
        <f ca="1">+GETPIVOTDATA("XBG4",'binhgia (2016)'!$A$3,"MA_HT","RPH","MA_QH","NTS")</f>
        <v>0</v>
      </c>
      <c r="P14" s="22">
        <f ca="1">+GETPIVOTDATA("XBG4",'binhgia (2016)'!$A$3,"MA_HT","RPH","MA_QH","LMU")</f>
        <v>0</v>
      </c>
      <c r="Q14" s="22">
        <f ca="1">+GETPIVOTDATA("XBG4",'binhgia (2016)'!$A$3,"MA_HT","RPH","MA_QH","NKH")</f>
        <v>0</v>
      </c>
      <c r="R14" s="42">
        <f ca="1" t="shared" si="2"/>
        <v>0</v>
      </c>
      <c r="S14" s="22">
        <f ca="1">+GETPIVOTDATA("XBG4",'binhgia (2016)'!$A$3,"MA_HT","RPH","MA_QH","CQP")</f>
        <v>0</v>
      </c>
      <c r="T14" s="22">
        <f ca="1">+GETPIVOTDATA("XBG4",'binhgia (2016)'!$A$3,"MA_HT","RPH","MA_QH","CAN")</f>
        <v>0</v>
      </c>
      <c r="U14" s="22">
        <f ca="1">+GETPIVOTDATA("XBG4",'binhgia (2016)'!$A$3,"MA_HT","RPH","MA_QH","SKK")</f>
        <v>0</v>
      </c>
      <c r="V14" s="22">
        <f ca="1">+GETPIVOTDATA("XBG4",'binhgia (2016)'!$A$3,"MA_HT","RPH","MA_QH","SKT")</f>
        <v>0</v>
      </c>
      <c r="W14" s="22">
        <f ca="1">+GETPIVOTDATA("XBG4",'binhgia (2016)'!$A$3,"MA_HT","RPH","MA_QH","SKN")</f>
        <v>0</v>
      </c>
      <c r="X14" s="22">
        <f ca="1">+GETPIVOTDATA("XBG4",'binhgia (2016)'!$A$3,"MA_HT","RPH","MA_QH","TMD")</f>
        <v>0</v>
      </c>
      <c r="Y14" s="22">
        <f ca="1">+GETPIVOTDATA("XBG4",'binhgia (2016)'!$A$3,"MA_HT","RPH","MA_QH","SKC")</f>
        <v>0</v>
      </c>
      <c r="Z14" s="22">
        <f ca="1">+GETPIVOTDATA("XBG4",'binhgia (2016)'!$A$3,"MA_HT","RPH","MA_QH","SKS")</f>
        <v>0</v>
      </c>
      <c r="AA14" s="52">
        <f ca="1" t="shared" si="4"/>
        <v>0</v>
      </c>
      <c r="AB14" s="22">
        <f ca="1">+GETPIVOTDATA("XBG4",'binhgia (2016)'!$A$3,"MA_HT","RPH","MA_QH","DGT")</f>
        <v>0</v>
      </c>
      <c r="AC14" s="22">
        <f ca="1">+GETPIVOTDATA("XBG4",'binhgia (2016)'!$A$3,"MA_HT","RPH","MA_QH","DTL")</f>
        <v>0</v>
      </c>
      <c r="AD14" s="22">
        <f ca="1">+GETPIVOTDATA("XBG4",'binhgia (2016)'!$A$3,"MA_HT","RPH","MA_QH","DNL")</f>
        <v>0</v>
      </c>
      <c r="AE14" s="22">
        <f ca="1">+GETPIVOTDATA("XBG4",'binhgia (2016)'!$A$3,"MA_HT","RPH","MA_QH","DBV")</f>
        <v>0</v>
      </c>
      <c r="AF14" s="22">
        <f ca="1">+GETPIVOTDATA("XBG4",'binhgia (2016)'!$A$3,"MA_HT","RPH","MA_QH","DVH")</f>
        <v>0</v>
      </c>
      <c r="AG14" s="22">
        <f ca="1">+GETPIVOTDATA("XBG4",'binhgia (2016)'!$A$3,"MA_HT","RPH","MA_QH","DYT")</f>
        <v>0</v>
      </c>
      <c r="AH14" s="22">
        <f ca="1">+GETPIVOTDATA("XBG4",'binhgia (2016)'!$A$3,"MA_HT","RPH","MA_QH","DGD")</f>
        <v>0</v>
      </c>
      <c r="AI14" s="22">
        <f ca="1">+GETPIVOTDATA("XBG4",'binhgia (2016)'!$A$3,"MA_HT","RPH","MA_QH","DTT")</f>
        <v>0</v>
      </c>
      <c r="AJ14" s="22">
        <f ca="1">+GETPIVOTDATA("XBG4",'binhgia (2016)'!$A$3,"MA_HT","RPH","MA_QH","NCK")</f>
        <v>0</v>
      </c>
      <c r="AK14" s="22">
        <f ca="1">+GETPIVOTDATA("XBG4",'binhgia (2016)'!$A$3,"MA_HT","RPH","MA_QH","DXH")</f>
        <v>0</v>
      </c>
      <c r="AL14" s="22">
        <f ca="1">+GETPIVOTDATA("XBG4",'binhgia (2016)'!$A$3,"MA_HT","RPH","MA_QH","DCH")</f>
        <v>0</v>
      </c>
      <c r="AM14" s="22">
        <f ca="1">+GETPIVOTDATA("XBG4",'binhgia (2016)'!$A$3,"MA_HT","RPH","MA_QH","DKG")</f>
        <v>0</v>
      </c>
      <c r="AN14" s="22">
        <f ca="1">+GETPIVOTDATA("XBG4",'binhgia (2016)'!$A$3,"MA_HT","RPH","MA_QH","DDT")</f>
        <v>0</v>
      </c>
      <c r="AO14" s="22">
        <f ca="1">+GETPIVOTDATA("XBG4",'binhgia (2016)'!$A$3,"MA_HT","RPH","MA_QH","DDL")</f>
        <v>0</v>
      </c>
      <c r="AP14" s="22">
        <f ca="1">+GETPIVOTDATA("XBG4",'binhgia (2016)'!$A$3,"MA_HT","RPH","MA_QH","DRA")</f>
        <v>0</v>
      </c>
      <c r="AQ14" s="22">
        <f ca="1">+GETPIVOTDATA("XBG4",'binhgia (2016)'!$A$3,"MA_HT","RPH","MA_QH","ONT")</f>
        <v>0</v>
      </c>
      <c r="AR14" s="22">
        <f ca="1">+GETPIVOTDATA("XBG4",'binhgia (2016)'!$A$3,"MA_HT","RPH","MA_QH","ODT")</f>
        <v>0</v>
      </c>
      <c r="AS14" s="22">
        <f ca="1">+GETPIVOTDATA("XBG4",'binhgia (2016)'!$A$3,"MA_HT","RPH","MA_QH","TSC")</f>
        <v>0</v>
      </c>
      <c r="AT14" s="22">
        <f ca="1">+GETPIVOTDATA("XBG4",'binhgia (2016)'!$A$3,"MA_HT","RPH","MA_QH","DTS")</f>
        <v>0</v>
      </c>
      <c r="AU14" s="22">
        <f ca="1">+GETPIVOTDATA("XBG4",'binhgia (2016)'!$A$3,"MA_HT","RPH","MA_QH","DNG")</f>
        <v>0</v>
      </c>
      <c r="AV14" s="22">
        <f ca="1">+GETPIVOTDATA("XBG4",'binhgia (2016)'!$A$3,"MA_HT","RPH","MA_QH","TON")</f>
        <v>0</v>
      </c>
      <c r="AW14" s="22">
        <f ca="1">+GETPIVOTDATA("XBG4",'binhgia (2016)'!$A$3,"MA_HT","RPH","MA_QH","NTD")</f>
        <v>0</v>
      </c>
      <c r="AX14" s="22">
        <f ca="1">+GETPIVOTDATA("XBG4",'binhgia (2016)'!$A$3,"MA_HT","RPH","MA_QH","SKX")</f>
        <v>0</v>
      </c>
      <c r="AY14" s="22">
        <f ca="1">+GETPIVOTDATA("XBG4",'binhgia (2016)'!$A$3,"MA_HT","RPH","MA_QH","DSH")</f>
        <v>0</v>
      </c>
      <c r="AZ14" s="22">
        <f ca="1">+GETPIVOTDATA("XBG4",'binhgia (2016)'!$A$3,"MA_HT","RPH","MA_QH","DKV")</f>
        <v>0</v>
      </c>
      <c r="BA14" s="89">
        <f ca="1">+GETPIVOTDATA("XBG4",'binhgia (2016)'!$A$3,"MA_HT","RPH","MA_QH","TIN")</f>
        <v>0</v>
      </c>
      <c r="BB14" s="50">
        <f ca="1">+GETPIVOTDATA("XBG4",'binhgia (2016)'!$A$3,"MA_HT","RPH","MA_QH","SON")</f>
        <v>0</v>
      </c>
      <c r="BC14" s="50">
        <f ca="1">+GETPIVOTDATA("XBG4",'binhgia (2016)'!$A$3,"MA_HT","RPH","MA_QH","MNC")</f>
        <v>0</v>
      </c>
      <c r="BD14" s="22">
        <f ca="1">+GETPIVOTDATA("XBG4",'binhgia (2016)'!$A$3,"MA_HT","RPH","MA_QH","PNK")</f>
        <v>0</v>
      </c>
      <c r="BE14" s="71">
        <f ca="1">+GETPIVOTDATA("XBG4",'binhgia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+GETPIVOTDATA("XBG4",'binhgia (2016)'!$A$3,"MA_HT","RDD","MA_QH","LUC")</f>
        <v>0</v>
      </c>
      <c r="H15" s="22">
        <f ca="1">+GETPIVOTDATA("XBG4",'binhgia (2016)'!$A$3,"MA_HT","RDD","MA_QH","LUK")</f>
        <v>0</v>
      </c>
      <c r="I15" s="22">
        <f ca="1">+GETPIVOTDATA("XBG4",'binhgia (2016)'!$A$3,"MA_HT","RDD","MA_QH","LUN")</f>
        <v>0</v>
      </c>
      <c r="J15" s="22">
        <f ca="1">+GETPIVOTDATA("XBG4",'binhgia (2016)'!$A$3,"MA_HT","RDD","MA_QH","HNK")</f>
        <v>0</v>
      </c>
      <c r="K15" s="22">
        <f ca="1">+GETPIVOTDATA("XBG4",'binhgia (2016)'!$A$3,"MA_HT","RDD","MA_QH","CLN")</f>
        <v>0</v>
      </c>
      <c r="L15" s="22">
        <f ca="1">+GETPIVOTDATA("XBG4",'binhgia (2016)'!$A$3,"MA_HT","RDD","MA_QH","RSX")</f>
        <v>0</v>
      </c>
      <c r="M15" s="22">
        <f ca="1">+GETPIVOTDATA("XBG4",'binhgia (2016)'!$A$3,"MA_HT","RDD","MA_QH","RPH")</f>
        <v>0</v>
      </c>
      <c r="N15" s="43" t="e">
        <f ca="1">$D15-$BF15</f>
        <v>#REF!</v>
      </c>
      <c r="O15" s="22">
        <f ca="1">+GETPIVOTDATA("XBG4",'binhgia (2016)'!$A$3,"MA_HT","RDD","MA_QH","NTS")</f>
        <v>0</v>
      </c>
      <c r="P15" s="22">
        <f ca="1">+GETPIVOTDATA("XBG4",'binhgia (2016)'!$A$3,"MA_HT","RDD","MA_QH","LMU")</f>
        <v>0</v>
      </c>
      <c r="Q15" s="22">
        <f ca="1">+GETPIVOTDATA("XBG4",'binhgia (2016)'!$A$3,"MA_HT","RDD","MA_QH","NKH")</f>
        <v>0</v>
      </c>
      <c r="R15" s="42">
        <f ca="1" t="shared" si="2"/>
        <v>0</v>
      </c>
      <c r="S15" s="22">
        <f ca="1">+GETPIVOTDATA("XBG4",'binhgia (2016)'!$A$3,"MA_HT","RDD","MA_QH","CQP")</f>
        <v>0</v>
      </c>
      <c r="T15" s="22">
        <f ca="1">+GETPIVOTDATA("XBG4",'binhgia (2016)'!$A$3,"MA_HT","RDD","MA_QH","CAN")</f>
        <v>0</v>
      </c>
      <c r="U15" s="22">
        <f ca="1">+GETPIVOTDATA("XBG4",'binhgia (2016)'!$A$3,"MA_HT","RDD","MA_QH","SKK")</f>
        <v>0</v>
      </c>
      <c r="V15" s="22">
        <f ca="1">+GETPIVOTDATA("XBG4",'binhgia (2016)'!$A$3,"MA_HT","RDD","MA_QH","SKT")</f>
        <v>0</v>
      </c>
      <c r="W15" s="22">
        <f ca="1">+GETPIVOTDATA("XBG4",'binhgia (2016)'!$A$3,"MA_HT","RDD","MA_QH","SKN")</f>
        <v>0</v>
      </c>
      <c r="X15" s="22">
        <f ca="1">+GETPIVOTDATA("XBG4",'binhgia (2016)'!$A$3,"MA_HT","RDD","MA_QH","TMD")</f>
        <v>0</v>
      </c>
      <c r="Y15" s="22">
        <f ca="1">+GETPIVOTDATA("XBG4",'binhgia (2016)'!$A$3,"MA_HT","RDD","MA_QH","SKC")</f>
        <v>0</v>
      </c>
      <c r="Z15" s="22">
        <f ca="1">+GETPIVOTDATA("XBG4",'binhgia (2016)'!$A$3,"MA_HT","RDD","MA_QH","SKS")</f>
        <v>0</v>
      </c>
      <c r="AA15" s="52">
        <f ca="1" t="shared" si="4"/>
        <v>0</v>
      </c>
      <c r="AB15" s="22">
        <f ca="1">+GETPIVOTDATA("XBG4",'binhgia (2016)'!$A$3,"MA_HT","RDD","MA_QH","DGT")</f>
        <v>0</v>
      </c>
      <c r="AC15" s="22">
        <f ca="1">+GETPIVOTDATA("XBG4",'binhgia (2016)'!$A$3,"MA_HT","RDD","MA_QH","DTL")</f>
        <v>0</v>
      </c>
      <c r="AD15" s="22">
        <f ca="1">+GETPIVOTDATA("XBG4",'binhgia (2016)'!$A$3,"MA_HT","RDD","MA_QH","DNL")</f>
        <v>0</v>
      </c>
      <c r="AE15" s="22">
        <f ca="1">+GETPIVOTDATA("XBG4",'binhgia (2016)'!$A$3,"MA_HT","RDD","MA_QH","DBV")</f>
        <v>0</v>
      </c>
      <c r="AF15" s="22">
        <f ca="1">+GETPIVOTDATA("XBG4",'binhgia (2016)'!$A$3,"MA_HT","RDD","MA_QH","DVH")</f>
        <v>0</v>
      </c>
      <c r="AG15" s="22">
        <f ca="1">+GETPIVOTDATA("XBG4",'binhgia (2016)'!$A$3,"MA_HT","RDD","MA_QH","DYT")</f>
        <v>0</v>
      </c>
      <c r="AH15" s="22">
        <f ca="1">+GETPIVOTDATA("XBG4",'binhgia (2016)'!$A$3,"MA_HT","RDD","MA_QH","DGD")</f>
        <v>0</v>
      </c>
      <c r="AI15" s="22">
        <f ca="1">+GETPIVOTDATA("XBG4",'binhgia (2016)'!$A$3,"MA_HT","RDD","MA_QH","DTT")</f>
        <v>0</v>
      </c>
      <c r="AJ15" s="22">
        <f ca="1">+GETPIVOTDATA("XBG4",'binhgia (2016)'!$A$3,"MA_HT","RDD","MA_QH","NCK")</f>
        <v>0</v>
      </c>
      <c r="AK15" s="22">
        <f ca="1">+GETPIVOTDATA("XBG4",'binhgia (2016)'!$A$3,"MA_HT","RDD","MA_QH","DXH")</f>
        <v>0</v>
      </c>
      <c r="AL15" s="22">
        <f ca="1">+GETPIVOTDATA("XBG4",'binhgia (2016)'!$A$3,"MA_HT","RDD","MA_QH","DCH")</f>
        <v>0</v>
      </c>
      <c r="AM15" s="22">
        <f ca="1">+GETPIVOTDATA("XBG4",'binhgia (2016)'!$A$3,"MA_HT","RDD","MA_QH","DKG")</f>
        <v>0</v>
      </c>
      <c r="AN15" s="22">
        <f ca="1">+GETPIVOTDATA("XBG4",'binhgia (2016)'!$A$3,"MA_HT","RDD","MA_QH","DDT")</f>
        <v>0</v>
      </c>
      <c r="AO15" s="22">
        <f ca="1">+GETPIVOTDATA("XBG4",'binhgia (2016)'!$A$3,"MA_HT","RDD","MA_QH","DDL")</f>
        <v>0</v>
      </c>
      <c r="AP15" s="22">
        <f ca="1">+GETPIVOTDATA("XBG4",'binhgia (2016)'!$A$3,"MA_HT","RDD","MA_QH","DRA")</f>
        <v>0</v>
      </c>
      <c r="AQ15" s="22">
        <f ca="1">+GETPIVOTDATA("XBG4",'binhgia (2016)'!$A$3,"MA_HT","RDD","MA_QH","ONT")</f>
        <v>0</v>
      </c>
      <c r="AR15" s="22">
        <f ca="1">+GETPIVOTDATA("XBG4",'binhgia (2016)'!$A$3,"MA_HT","RDD","MA_QH","ODT")</f>
        <v>0</v>
      </c>
      <c r="AS15" s="22">
        <f ca="1">+GETPIVOTDATA("XBG4",'binhgia (2016)'!$A$3,"MA_HT","RDD","MA_QH","TSC")</f>
        <v>0</v>
      </c>
      <c r="AT15" s="22">
        <f ca="1">+GETPIVOTDATA("XBG4",'binhgia (2016)'!$A$3,"MA_HT","RDD","MA_QH","DTS")</f>
        <v>0</v>
      </c>
      <c r="AU15" s="22">
        <f ca="1">+GETPIVOTDATA("XBG4",'binhgia (2016)'!$A$3,"MA_HT","RDD","MA_QH","DNG")</f>
        <v>0</v>
      </c>
      <c r="AV15" s="22">
        <f ca="1">+GETPIVOTDATA("XBG4",'binhgia (2016)'!$A$3,"MA_HT","RDD","MA_QH","TON")</f>
        <v>0</v>
      </c>
      <c r="AW15" s="22">
        <f ca="1">+GETPIVOTDATA("XBG4",'binhgia (2016)'!$A$3,"MA_HT","RDD","MA_QH","NTD")</f>
        <v>0</v>
      </c>
      <c r="AX15" s="22">
        <f ca="1">+GETPIVOTDATA("XBG4",'binhgia (2016)'!$A$3,"MA_HT","RDD","MA_QH","SKX")</f>
        <v>0</v>
      </c>
      <c r="AY15" s="22">
        <f ca="1">+GETPIVOTDATA("XBG4",'binhgia (2016)'!$A$3,"MA_HT","RDD","MA_QH","DSH")</f>
        <v>0</v>
      </c>
      <c r="AZ15" s="22">
        <f ca="1">+GETPIVOTDATA("XBG4",'binhgia (2016)'!$A$3,"MA_HT","RDD","MA_QH","DKV")</f>
        <v>0</v>
      </c>
      <c r="BA15" s="89">
        <f ca="1">+GETPIVOTDATA("XBG4",'binhgia (2016)'!$A$3,"MA_HT","RDD","MA_QH","TIN")</f>
        <v>0</v>
      </c>
      <c r="BB15" s="50">
        <f ca="1">+GETPIVOTDATA("XBG4",'binhgia (2016)'!$A$3,"MA_HT","RDD","MA_QH","SON")</f>
        <v>0</v>
      </c>
      <c r="BC15" s="50">
        <f ca="1">+GETPIVOTDATA("XBG4",'binhgia (2016)'!$A$3,"MA_HT","RDD","MA_QH","MNC")</f>
        <v>0</v>
      </c>
      <c r="BD15" s="22">
        <f ca="1">+GETPIVOTDATA("XBG4",'binhgia (2016)'!$A$3,"MA_HT","RDD","MA_QH","PNK")</f>
        <v>0</v>
      </c>
      <c r="BE15" s="71">
        <f ca="1">+GETPIVOTDATA("XBG4",'binhgia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+GETPIVOTDATA("XBG4",'binhgia (2016)'!$A$3,"MA_HT","NTS","MA_QH","LUC")</f>
        <v>0</v>
      </c>
      <c r="H16" s="22">
        <f ca="1">+GETPIVOTDATA("XBG4",'binhgia (2016)'!$A$3,"MA_HT","NTS","MA_QH","LUK")</f>
        <v>0</v>
      </c>
      <c r="I16" s="22">
        <f ca="1">+GETPIVOTDATA("XBG4",'binhgia (2016)'!$A$3,"MA_HT","NTS","MA_QH","LUN")</f>
        <v>0</v>
      </c>
      <c r="J16" s="22">
        <f ca="1">+GETPIVOTDATA("XBG4",'binhgia (2016)'!$A$3,"MA_HT","NTS","MA_QH","HNK")</f>
        <v>0</v>
      </c>
      <c r="K16" s="22">
        <f ca="1">+GETPIVOTDATA("XBG4",'binhgia (2016)'!$A$3,"MA_HT","NTS","MA_QH","CLN")</f>
        <v>0</v>
      </c>
      <c r="L16" s="22">
        <f ca="1">+GETPIVOTDATA("XBG4",'binhgia (2016)'!$A$3,"MA_HT","NTS","MA_QH","RSX")</f>
        <v>0</v>
      </c>
      <c r="M16" s="22">
        <f ca="1">+GETPIVOTDATA("XBG4",'binhgia (2016)'!$A$3,"MA_HT","NTS","MA_QH","RPH")</f>
        <v>0</v>
      </c>
      <c r="N16" s="22">
        <f ca="1">+GETPIVOTDATA("XBG4",'binhgia (2016)'!$A$3,"MA_HT","NTS","MA_QH","RDD")</f>
        <v>0</v>
      </c>
      <c r="O16" s="43" t="e">
        <f ca="1">$D16-$BF16</f>
        <v>#REF!</v>
      </c>
      <c r="P16" s="22">
        <f ca="1">+GETPIVOTDATA("XBG4",'binhgia (2016)'!$A$3,"MA_HT","NTS","MA_QH","LMU")</f>
        <v>0</v>
      </c>
      <c r="Q16" s="22">
        <f ca="1">+GETPIVOTDATA("XBG4",'binhgia (2016)'!$A$3,"MA_HT","NTS","MA_QH","NKH")</f>
        <v>0</v>
      </c>
      <c r="R16" s="42">
        <f ca="1" t="shared" si="2"/>
        <v>0</v>
      </c>
      <c r="S16" s="22">
        <f ca="1">+GETPIVOTDATA("XBG4",'binhgia (2016)'!$A$3,"MA_HT","NTS","MA_QH","CQP")</f>
        <v>0</v>
      </c>
      <c r="T16" s="22">
        <f ca="1">+GETPIVOTDATA("XBG4",'binhgia (2016)'!$A$3,"MA_HT","NTS","MA_QH","CAN")</f>
        <v>0</v>
      </c>
      <c r="U16" s="22">
        <f ca="1">+GETPIVOTDATA("XBG4",'binhgia (2016)'!$A$3,"MA_HT","NTS","MA_QH","SKK")</f>
        <v>0</v>
      </c>
      <c r="V16" s="22">
        <f ca="1">+GETPIVOTDATA("XBG4",'binhgia (2016)'!$A$3,"MA_HT","NTS","MA_QH","SKT")</f>
        <v>0</v>
      </c>
      <c r="W16" s="22">
        <f ca="1">+GETPIVOTDATA("XBG4",'binhgia (2016)'!$A$3,"MA_HT","NTS","MA_QH","SKN")</f>
        <v>0</v>
      </c>
      <c r="X16" s="22">
        <f ca="1">+GETPIVOTDATA("XBG4",'binhgia (2016)'!$A$3,"MA_HT","NTS","MA_QH","TMD")</f>
        <v>0</v>
      </c>
      <c r="Y16" s="22">
        <f ca="1">+GETPIVOTDATA("XBG4",'binhgia (2016)'!$A$3,"MA_HT","NTS","MA_QH","SKC")</f>
        <v>0</v>
      </c>
      <c r="Z16" s="22">
        <f ca="1">+GETPIVOTDATA("XBG4",'binhgia (2016)'!$A$3,"MA_HT","NTS","MA_QH","SKS")</f>
        <v>0</v>
      </c>
      <c r="AA16" s="52">
        <f ca="1" t="shared" si="4"/>
        <v>0</v>
      </c>
      <c r="AB16" s="22">
        <f ca="1">+GETPIVOTDATA("XBG4",'binhgia (2016)'!$A$3,"MA_HT","NTS","MA_QH","DGT")</f>
        <v>0</v>
      </c>
      <c r="AC16" s="22">
        <f ca="1">+GETPIVOTDATA("XBG4",'binhgia (2016)'!$A$3,"MA_HT","NTS","MA_QH","DTL")</f>
        <v>0</v>
      </c>
      <c r="AD16" s="22">
        <f ca="1">+GETPIVOTDATA("XBG4",'binhgia (2016)'!$A$3,"MA_HT","NTS","MA_QH","DNL")</f>
        <v>0</v>
      </c>
      <c r="AE16" s="22">
        <f ca="1">+GETPIVOTDATA("XBG4",'binhgia (2016)'!$A$3,"MA_HT","NTS","MA_QH","DBV")</f>
        <v>0</v>
      </c>
      <c r="AF16" s="22">
        <f ca="1">+GETPIVOTDATA("XBG4",'binhgia (2016)'!$A$3,"MA_HT","NTS","MA_QH","DVH")</f>
        <v>0</v>
      </c>
      <c r="AG16" s="22">
        <f ca="1">+GETPIVOTDATA("XBG4",'binhgia (2016)'!$A$3,"MA_HT","NTS","MA_QH","DYT")</f>
        <v>0</v>
      </c>
      <c r="AH16" s="22">
        <f ca="1">+GETPIVOTDATA("XBG4",'binhgia (2016)'!$A$3,"MA_HT","NTS","MA_QH","DGD")</f>
        <v>0</v>
      </c>
      <c r="AI16" s="22">
        <f ca="1">+GETPIVOTDATA("XBG4",'binhgia (2016)'!$A$3,"MA_HT","NTS","MA_QH","DTT")</f>
        <v>0</v>
      </c>
      <c r="AJ16" s="22">
        <f ca="1">+GETPIVOTDATA("XBG4",'binhgia (2016)'!$A$3,"MA_HT","NTS","MA_QH","NCK")</f>
        <v>0</v>
      </c>
      <c r="AK16" s="22">
        <f ca="1">+GETPIVOTDATA("XBG4",'binhgia (2016)'!$A$3,"MA_HT","NTS","MA_QH","DXH")</f>
        <v>0</v>
      </c>
      <c r="AL16" s="22">
        <f ca="1">+GETPIVOTDATA("XBG4",'binhgia (2016)'!$A$3,"MA_HT","NTS","MA_QH","DCH")</f>
        <v>0</v>
      </c>
      <c r="AM16" s="22">
        <f ca="1">+GETPIVOTDATA("XBG4",'binhgia (2016)'!$A$3,"MA_HT","NTS","MA_QH","DKG")</f>
        <v>0</v>
      </c>
      <c r="AN16" s="22">
        <f ca="1">+GETPIVOTDATA("XBG4",'binhgia (2016)'!$A$3,"MA_HT","NTS","MA_QH","DDT")</f>
        <v>0</v>
      </c>
      <c r="AO16" s="22">
        <f ca="1">+GETPIVOTDATA("XBG4",'binhgia (2016)'!$A$3,"MA_HT","NTS","MA_QH","DDL")</f>
        <v>0</v>
      </c>
      <c r="AP16" s="22">
        <f ca="1">+GETPIVOTDATA("XBG4",'binhgia (2016)'!$A$3,"MA_HT","NTS","MA_QH","DRA")</f>
        <v>0</v>
      </c>
      <c r="AQ16" s="22">
        <f ca="1">+GETPIVOTDATA("XBG4",'binhgia (2016)'!$A$3,"MA_HT","NTS","MA_QH","ONT")</f>
        <v>0</v>
      </c>
      <c r="AR16" s="22">
        <f ca="1">+GETPIVOTDATA("XBG4",'binhgia (2016)'!$A$3,"MA_HT","NTS","MA_QH","ODT")</f>
        <v>0</v>
      </c>
      <c r="AS16" s="22">
        <f ca="1">+GETPIVOTDATA("XBG4",'binhgia (2016)'!$A$3,"MA_HT","NTS","MA_QH","TSC")</f>
        <v>0</v>
      </c>
      <c r="AT16" s="22">
        <f ca="1">+GETPIVOTDATA("XBG4",'binhgia (2016)'!$A$3,"MA_HT","NTS","MA_QH","DTS")</f>
        <v>0</v>
      </c>
      <c r="AU16" s="22">
        <f ca="1">+GETPIVOTDATA("XBG4",'binhgia (2016)'!$A$3,"MA_HT","NTS","MA_QH","DNG")</f>
        <v>0</v>
      </c>
      <c r="AV16" s="22">
        <f ca="1">+GETPIVOTDATA("XBG4",'binhgia (2016)'!$A$3,"MA_HT","NTS","MA_QH","TON")</f>
        <v>0</v>
      </c>
      <c r="AW16" s="22">
        <f ca="1">+GETPIVOTDATA("XBG4",'binhgia (2016)'!$A$3,"MA_HT","NTS","MA_QH","NTD")</f>
        <v>0</v>
      </c>
      <c r="AX16" s="22">
        <f ca="1">+GETPIVOTDATA("XBG4",'binhgia (2016)'!$A$3,"MA_HT","NTS","MA_QH","SKX")</f>
        <v>0</v>
      </c>
      <c r="AY16" s="22">
        <f ca="1">+GETPIVOTDATA("XBG4",'binhgia (2016)'!$A$3,"MA_HT","NTS","MA_QH","DSH")</f>
        <v>0</v>
      </c>
      <c r="AZ16" s="22">
        <f ca="1">+GETPIVOTDATA("XBG4",'binhgia (2016)'!$A$3,"MA_HT","NTS","MA_QH","DKV")</f>
        <v>0</v>
      </c>
      <c r="BA16" s="89">
        <f ca="1">+GETPIVOTDATA("XBG4",'binhgia (2016)'!$A$3,"MA_HT","NTS","MA_QH","TIN")</f>
        <v>0</v>
      </c>
      <c r="BB16" s="50">
        <f ca="1">+GETPIVOTDATA("XBG4",'binhgia (2016)'!$A$3,"MA_HT","NTS","MA_QH","SON")</f>
        <v>0</v>
      </c>
      <c r="BC16" s="50">
        <f ca="1">+GETPIVOTDATA("XBG4",'binhgia (2016)'!$A$3,"MA_HT","NTS","MA_QH","MNC")</f>
        <v>0</v>
      </c>
      <c r="BD16" s="22">
        <f ca="1">+GETPIVOTDATA("XBG4",'binhgia (2016)'!$A$3,"MA_HT","NTS","MA_QH","PNK")</f>
        <v>0</v>
      </c>
      <c r="BE16" s="71">
        <f ca="1">+GETPIVOTDATA("XBG4",'binhgia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+GETPIVOTDATA("XBG4",'binhgia (2016)'!$A$3,"MA_HT","LMU","MA_QH","LUC")</f>
        <v>0</v>
      </c>
      <c r="H17" s="22">
        <f ca="1">+GETPIVOTDATA("XBG4",'binhgia (2016)'!$A$3,"MA_HT","LMU","MA_QH","LUK")</f>
        <v>0</v>
      </c>
      <c r="I17" s="22">
        <f ca="1">+GETPIVOTDATA("XBG4",'binhgia (2016)'!$A$3,"MA_HT","LMU","MA_QH","LUN")</f>
        <v>0</v>
      </c>
      <c r="J17" s="22">
        <f ca="1">+GETPIVOTDATA("XBG4",'binhgia (2016)'!$A$3,"MA_HT","LMU","MA_QH","HNK")</f>
        <v>0</v>
      </c>
      <c r="K17" s="22">
        <f ca="1">+GETPIVOTDATA("XBG4",'binhgia (2016)'!$A$3,"MA_HT","LMU","MA_QH","CLN")</f>
        <v>0</v>
      </c>
      <c r="L17" s="22">
        <f ca="1">+GETPIVOTDATA("XBG4",'binhgia (2016)'!$A$3,"MA_HT","LMU","MA_QH","RSX")</f>
        <v>0</v>
      </c>
      <c r="M17" s="22">
        <f ca="1">+GETPIVOTDATA("XBG4",'binhgia (2016)'!$A$3,"MA_HT","LMU","MA_QH","RPH")</f>
        <v>0</v>
      </c>
      <c r="N17" s="22">
        <f ca="1">+GETPIVOTDATA("XBG4",'binhgia (2016)'!$A$3,"MA_HT","LMU","MA_QH","RDD")</f>
        <v>0</v>
      </c>
      <c r="O17" s="22">
        <f ca="1">+GETPIVOTDATA("XBG4",'binhgia (2016)'!$A$3,"MA_HT","LMU","MA_QH","NTS")</f>
        <v>0</v>
      </c>
      <c r="P17" s="43" t="e">
        <f ca="1">$D17-$BF17</f>
        <v>#REF!</v>
      </c>
      <c r="Q17" s="22">
        <f ca="1">+GETPIVOTDATA("XBG4",'binhgia (2016)'!$A$3,"MA_HT","LMU","MA_QH","NKH")</f>
        <v>0</v>
      </c>
      <c r="R17" s="42">
        <f ca="1" t="shared" si="2"/>
        <v>0</v>
      </c>
      <c r="S17" s="22">
        <f ca="1">+GETPIVOTDATA("XBG4",'binhgia (2016)'!$A$3,"MA_HT","LMU","MA_QH","CQP")</f>
        <v>0</v>
      </c>
      <c r="T17" s="22">
        <f ca="1">+GETPIVOTDATA("XBG4",'binhgia (2016)'!$A$3,"MA_HT","LMU","MA_QH","CAN")</f>
        <v>0</v>
      </c>
      <c r="U17" s="22">
        <f ca="1">+GETPIVOTDATA("XBG4",'binhgia (2016)'!$A$3,"MA_HT","LMU","MA_QH","SKK")</f>
        <v>0</v>
      </c>
      <c r="V17" s="22">
        <f ca="1">+GETPIVOTDATA("XBG4",'binhgia (2016)'!$A$3,"MA_HT","LMU","MA_QH","SKT")</f>
        <v>0</v>
      </c>
      <c r="W17" s="22">
        <f ca="1">+GETPIVOTDATA("XBG4",'binhgia (2016)'!$A$3,"MA_HT","LMU","MA_QH","SKN")</f>
        <v>0</v>
      </c>
      <c r="X17" s="22">
        <f ca="1">+GETPIVOTDATA("XBG4",'binhgia (2016)'!$A$3,"MA_HT","LMU","MA_QH","TMD")</f>
        <v>0</v>
      </c>
      <c r="Y17" s="22">
        <f ca="1">+GETPIVOTDATA("XBG4",'binhgia (2016)'!$A$3,"MA_HT","LMU","MA_QH","SKC")</f>
        <v>0</v>
      </c>
      <c r="Z17" s="22">
        <f ca="1">+GETPIVOTDATA("XBG4",'binhgia (2016)'!$A$3,"MA_HT","LMU","MA_QH","SKS")</f>
        <v>0</v>
      </c>
      <c r="AA17" s="52">
        <f ca="1" t="shared" si="4"/>
        <v>0</v>
      </c>
      <c r="AB17" s="22">
        <f ca="1">+GETPIVOTDATA("XBG4",'binhgia (2016)'!$A$3,"MA_HT","LMU","MA_QH","DGT")</f>
        <v>0</v>
      </c>
      <c r="AC17" s="22">
        <f ca="1">+GETPIVOTDATA("XBG4",'binhgia (2016)'!$A$3,"MA_HT","LMU","MA_QH","DTL")</f>
        <v>0</v>
      </c>
      <c r="AD17" s="22">
        <f ca="1">+GETPIVOTDATA("XBG4",'binhgia (2016)'!$A$3,"MA_HT","LMU","MA_QH","DNL")</f>
        <v>0</v>
      </c>
      <c r="AE17" s="22">
        <f ca="1">+GETPIVOTDATA("XBG4",'binhgia (2016)'!$A$3,"MA_HT","LMU","MA_QH","DBV")</f>
        <v>0</v>
      </c>
      <c r="AF17" s="22">
        <f ca="1">+GETPIVOTDATA("XBG4",'binhgia (2016)'!$A$3,"MA_HT","LMU","MA_QH","DVH")</f>
        <v>0</v>
      </c>
      <c r="AG17" s="22">
        <f ca="1">+GETPIVOTDATA("XBG4",'binhgia (2016)'!$A$3,"MA_HT","LMU","MA_QH","DYT")</f>
        <v>0</v>
      </c>
      <c r="AH17" s="22">
        <f ca="1">+GETPIVOTDATA("XBG4",'binhgia (2016)'!$A$3,"MA_HT","LMU","MA_QH","DGD")</f>
        <v>0</v>
      </c>
      <c r="AI17" s="22">
        <f ca="1">+GETPIVOTDATA("XBG4",'binhgia (2016)'!$A$3,"MA_HT","LMU","MA_QH","DTT")</f>
        <v>0</v>
      </c>
      <c r="AJ17" s="22">
        <f ca="1">+GETPIVOTDATA("XBG4",'binhgia (2016)'!$A$3,"MA_HT","LMU","MA_QH","NCK")</f>
        <v>0</v>
      </c>
      <c r="AK17" s="22">
        <f ca="1">+GETPIVOTDATA("XBG4",'binhgia (2016)'!$A$3,"MA_HT","LMU","MA_QH","DXH")</f>
        <v>0</v>
      </c>
      <c r="AL17" s="22">
        <f ca="1">+GETPIVOTDATA("XBG4",'binhgia (2016)'!$A$3,"MA_HT","LMU","MA_QH","DCH")</f>
        <v>0</v>
      </c>
      <c r="AM17" s="22">
        <f ca="1">+GETPIVOTDATA("XBG4",'binhgia (2016)'!$A$3,"MA_HT","LMU","MA_QH","DKG")</f>
        <v>0</v>
      </c>
      <c r="AN17" s="22">
        <f ca="1">+GETPIVOTDATA("XBG4",'binhgia (2016)'!$A$3,"MA_HT","LMU","MA_QH","DDT")</f>
        <v>0</v>
      </c>
      <c r="AO17" s="22">
        <f ca="1">+GETPIVOTDATA("XBG4",'binhgia (2016)'!$A$3,"MA_HT","LMU","MA_QH","DDL")</f>
        <v>0</v>
      </c>
      <c r="AP17" s="22">
        <f ca="1">+GETPIVOTDATA("XBG4",'binhgia (2016)'!$A$3,"MA_HT","LMU","MA_QH","DRA")</f>
        <v>0</v>
      </c>
      <c r="AQ17" s="22">
        <f ca="1">+GETPIVOTDATA("XBG4",'binhgia (2016)'!$A$3,"MA_HT","LMU","MA_QH","ONT")</f>
        <v>0</v>
      </c>
      <c r="AR17" s="22">
        <f ca="1">+GETPIVOTDATA("XBG4",'binhgia (2016)'!$A$3,"MA_HT","LMU","MA_QH","ODT")</f>
        <v>0</v>
      </c>
      <c r="AS17" s="22">
        <f ca="1">+GETPIVOTDATA("XBG4",'binhgia (2016)'!$A$3,"MA_HT","LMU","MA_QH","TSC")</f>
        <v>0</v>
      </c>
      <c r="AT17" s="22">
        <f ca="1">+GETPIVOTDATA("XBG4",'binhgia (2016)'!$A$3,"MA_HT","LMU","MA_QH","DTS")</f>
        <v>0</v>
      </c>
      <c r="AU17" s="22">
        <f ca="1">+GETPIVOTDATA("XBG4",'binhgia (2016)'!$A$3,"MA_HT","LMU","MA_QH","DNG")</f>
        <v>0</v>
      </c>
      <c r="AV17" s="22">
        <f ca="1">+GETPIVOTDATA("XBG4",'binhgia (2016)'!$A$3,"MA_HT","LMU","MA_QH","TON")</f>
        <v>0</v>
      </c>
      <c r="AW17" s="22">
        <f ca="1">+GETPIVOTDATA("XBG4",'binhgia (2016)'!$A$3,"MA_HT","LMU","MA_QH","NTD")</f>
        <v>0</v>
      </c>
      <c r="AX17" s="22">
        <f ca="1">+GETPIVOTDATA("XBG4",'binhgia (2016)'!$A$3,"MA_HT","LMU","MA_QH","SKX")</f>
        <v>0</v>
      </c>
      <c r="AY17" s="22">
        <f ca="1">+GETPIVOTDATA("XBG4",'binhgia (2016)'!$A$3,"MA_HT","LMU","MA_QH","DSH")</f>
        <v>0</v>
      </c>
      <c r="AZ17" s="22">
        <f ca="1">+GETPIVOTDATA("XBG4",'binhgia (2016)'!$A$3,"MA_HT","LMU","MA_QH","DKV")</f>
        <v>0</v>
      </c>
      <c r="BA17" s="89">
        <f ca="1">+GETPIVOTDATA("XBG4",'binhgia (2016)'!$A$3,"MA_HT","LMU","MA_QH","TIN")</f>
        <v>0</v>
      </c>
      <c r="BB17" s="50">
        <f ca="1">+GETPIVOTDATA("XBG4",'binhgia (2016)'!$A$3,"MA_HT","LMU","MA_QH","SON")</f>
        <v>0</v>
      </c>
      <c r="BC17" s="50">
        <f ca="1">+GETPIVOTDATA("XBG4",'binhgia (2016)'!$A$3,"MA_HT","LMU","MA_QH","MNC")</f>
        <v>0</v>
      </c>
      <c r="BD17" s="22">
        <f ca="1">+GETPIVOTDATA("XBG4",'binhgia (2016)'!$A$3,"MA_HT","LMU","MA_QH","PNK")</f>
        <v>0</v>
      </c>
      <c r="BE17" s="71">
        <f ca="1">+GETPIVOTDATA("XBG4",'binhgia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+GETPIVOTDATA("XBG4",'binhgia (2016)'!$A$3,"MA_HT","NKH","MA_QH","LUC")</f>
        <v>0</v>
      </c>
      <c r="H18" s="22">
        <f ca="1">+GETPIVOTDATA("XBG4",'binhgia (2016)'!$A$3,"MA_HT","NKH","MA_QH","LUK")</f>
        <v>0</v>
      </c>
      <c r="I18" s="22">
        <f ca="1">+GETPIVOTDATA("XBG4",'binhgia (2016)'!$A$3,"MA_HT","NKH","MA_QH","LUN")</f>
        <v>0</v>
      </c>
      <c r="J18" s="22">
        <f ca="1">+GETPIVOTDATA("XBG4",'binhgia (2016)'!$A$3,"MA_HT","NKH","MA_QH","HNK")</f>
        <v>0</v>
      </c>
      <c r="K18" s="22">
        <f ca="1">+GETPIVOTDATA("XBG4",'binhgia (2016)'!$A$3,"MA_HT","NKH","MA_QH","CLN")</f>
        <v>0</v>
      </c>
      <c r="L18" s="22">
        <f ca="1">+GETPIVOTDATA("XBG4",'binhgia (2016)'!$A$3,"MA_HT","NKH","MA_QH","RSX")</f>
        <v>0</v>
      </c>
      <c r="M18" s="22">
        <f ca="1">+GETPIVOTDATA("XBG4",'binhgia (2016)'!$A$3,"MA_HT","NKH","MA_QH","RPH")</f>
        <v>0</v>
      </c>
      <c r="N18" s="22">
        <f ca="1">+GETPIVOTDATA("XBG4",'binhgia (2016)'!$A$3,"MA_HT","NKH","MA_QH","RDD")</f>
        <v>0</v>
      </c>
      <c r="O18" s="22">
        <f ca="1">+GETPIVOTDATA("XBG4",'binhgia (2016)'!$A$3,"MA_HT","NKH","MA_QH","NTS")</f>
        <v>0</v>
      </c>
      <c r="P18" s="22">
        <f ca="1">+GETPIVOTDATA("XBG4",'binhgia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+GETPIVOTDATA("XBG4",'binhgia (2016)'!$A$3,"MA_HT","NKH","MA_QH","CQP")</f>
        <v>0</v>
      </c>
      <c r="T18" s="22">
        <f ca="1">+GETPIVOTDATA("XBG4",'binhgia (2016)'!$A$3,"MA_HT","NKH","MA_QH","CAN")</f>
        <v>0</v>
      </c>
      <c r="U18" s="22">
        <f ca="1">+GETPIVOTDATA("XBG4",'binhgia (2016)'!$A$3,"MA_HT","NKH","MA_QH","SKK")</f>
        <v>0</v>
      </c>
      <c r="V18" s="22">
        <f ca="1">+GETPIVOTDATA("XBG4",'binhgia (2016)'!$A$3,"MA_HT","NKH","MA_QH","SKT")</f>
        <v>0</v>
      </c>
      <c r="W18" s="22">
        <f ca="1">+GETPIVOTDATA("XBG4",'binhgia (2016)'!$A$3,"MA_HT","NKH","MA_QH","SKN")</f>
        <v>0</v>
      </c>
      <c r="X18" s="22">
        <f ca="1">+GETPIVOTDATA("XBG4",'binhgia (2016)'!$A$3,"MA_HT","NKH","MA_QH","TMD")</f>
        <v>0</v>
      </c>
      <c r="Y18" s="22">
        <f ca="1">+GETPIVOTDATA("XBG4",'binhgia (2016)'!$A$3,"MA_HT","NKH","MA_QH","SKC")</f>
        <v>0</v>
      </c>
      <c r="Z18" s="22">
        <f ca="1">+GETPIVOTDATA("XBG4",'binhgia (2016)'!$A$3,"MA_HT","NKH","MA_QH","SKS")</f>
        <v>0</v>
      </c>
      <c r="AA18" s="52">
        <f ca="1" t="shared" si="4"/>
        <v>0</v>
      </c>
      <c r="AB18" s="22">
        <f ca="1">+GETPIVOTDATA("XBG4",'binhgia (2016)'!$A$3,"MA_HT","NKH","MA_QH","DGT")</f>
        <v>0</v>
      </c>
      <c r="AC18" s="22">
        <f ca="1">+GETPIVOTDATA("XBG4",'binhgia (2016)'!$A$3,"MA_HT","NKH","MA_QH","DTL")</f>
        <v>0</v>
      </c>
      <c r="AD18" s="22">
        <f ca="1">+GETPIVOTDATA("XBG4",'binhgia (2016)'!$A$3,"MA_HT","NKH","MA_QH","DNL")</f>
        <v>0</v>
      </c>
      <c r="AE18" s="22">
        <f ca="1">+GETPIVOTDATA("XBG4",'binhgia (2016)'!$A$3,"MA_HT","NKH","MA_QH","DBV")</f>
        <v>0</v>
      </c>
      <c r="AF18" s="22">
        <f ca="1">+GETPIVOTDATA("XBG4",'binhgia (2016)'!$A$3,"MA_HT","NKH","MA_QH","DVH")</f>
        <v>0</v>
      </c>
      <c r="AG18" s="22">
        <f ca="1">+GETPIVOTDATA("XBG4",'binhgia (2016)'!$A$3,"MA_HT","NKH","MA_QH","DYT")</f>
        <v>0</v>
      </c>
      <c r="AH18" s="22">
        <f ca="1">+GETPIVOTDATA("XBG4",'binhgia (2016)'!$A$3,"MA_HT","NKH","MA_QH","DGD")</f>
        <v>0</v>
      </c>
      <c r="AI18" s="22">
        <f ca="1">+GETPIVOTDATA("XBG4",'binhgia (2016)'!$A$3,"MA_HT","NKH","MA_QH","DTT")</f>
        <v>0</v>
      </c>
      <c r="AJ18" s="22">
        <f ca="1">+GETPIVOTDATA("XBG4",'binhgia (2016)'!$A$3,"MA_HT","NKH","MA_QH","NCK")</f>
        <v>0</v>
      </c>
      <c r="AK18" s="22">
        <f ca="1">+GETPIVOTDATA("XBG4",'binhgia (2016)'!$A$3,"MA_HT","NKH","MA_QH","DXH")</f>
        <v>0</v>
      </c>
      <c r="AL18" s="22">
        <f ca="1">+GETPIVOTDATA("XBG4",'binhgia (2016)'!$A$3,"MA_HT","NKH","MA_QH","DCH")</f>
        <v>0</v>
      </c>
      <c r="AM18" s="22">
        <f ca="1">+GETPIVOTDATA("XBG4",'binhgia (2016)'!$A$3,"MA_HT","NKH","MA_QH","DKG")</f>
        <v>0</v>
      </c>
      <c r="AN18" s="22">
        <f ca="1">+GETPIVOTDATA("XBG4",'binhgia (2016)'!$A$3,"MA_HT","NKH","MA_QH","DDT")</f>
        <v>0</v>
      </c>
      <c r="AO18" s="22">
        <f ca="1">+GETPIVOTDATA("XBG4",'binhgia (2016)'!$A$3,"MA_HT","NKH","MA_QH","DDL")</f>
        <v>0</v>
      </c>
      <c r="AP18" s="22">
        <f ca="1">+GETPIVOTDATA("XBG4",'binhgia (2016)'!$A$3,"MA_HT","NKH","MA_QH","DRA")</f>
        <v>0</v>
      </c>
      <c r="AQ18" s="22">
        <f ca="1">+GETPIVOTDATA("XBG4",'binhgia (2016)'!$A$3,"MA_HT","NKH","MA_QH","ONT")</f>
        <v>0</v>
      </c>
      <c r="AR18" s="22">
        <f ca="1">+GETPIVOTDATA("XBG4",'binhgia (2016)'!$A$3,"MA_HT","NKH","MA_QH","ODT")</f>
        <v>0</v>
      </c>
      <c r="AS18" s="22">
        <f ca="1">+GETPIVOTDATA("XBG4",'binhgia (2016)'!$A$3,"MA_HT","NKH","MA_QH","TSC")</f>
        <v>0</v>
      </c>
      <c r="AT18" s="22">
        <f ca="1">+GETPIVOTDATA("XBG4",'binhgia (2016)'!$A$3,"MA_HT","NKH","MA_QH","DTS")</f>
        <v>0</v>
      </c>
      <c r="AU18" s="22">
        <f ca="1">+GETPIVOTDATA("XBG4",'binhgia (2016)'!$A$3,"MA_HT","NKH","MA_QH","DNG")</f>
        <v>0</v>
      </c>
      <c r="AV18" s="22">
        <f ca="1">+GETPIVOTDATA("XBG4",'binhgia (2016)'!$A$3,"MA_HT","NKH","MA_QH","TON")</f>
        <v>0</v>
      </c>
      <c r="AW18" s="22">
        <f ca="1">+GETPIVOTDATA("XBG4",'binhgia (2016)'!$A$3,"MA_HT","NKH","MA_QH","NTD")</f>
        <v>0</v>
      </c>
      <c r="AX18" s="22">
        <f ca="1">+GETPIVOTDATA("XBG4",'binhgia (2016)'!$A$3,"MA_HT","NKH","MA_QH","SKX")</f>
        <v>0</v>
      </c>
      <c r="AY18" s="22">
        <f ca="1">+GETPIVOTDATA("XBG4",'binhgia (2016)'!$A$3,"MA_HT","NKH","MA_QH","DSH")</f>
        <v>0</v>
      </c>
      <c r="AZ18" s="22">
        <f ca="1">+GETPIVOTDATA("XBG4",'binhgia (2016)'!$A$3,"MA_HT","NKH","MA_QH","DKV")</f>
        <v>0</v>
      </c>
      <c r="BA18" s="89">
        <f ca="1">+GETPIVOTDATA("XBG4",'binhgia (2016)'!$A$3,"MA_HT","NKH","MA_QH","TIN")</f>
        <v>0</v>
      </c>
      <c r="BB18" s="50">
        <f ca="1">+GETPIVOTDATA("XBG4",'binhgia (2016)'!$A$3,"MA_HT","NKH","MA_QH","SON")</f>
        <v>0</v>
      </c>
      <c r="BC18" s="50">
        <f ca="1">+GETPIVOTDATA("XBG4",'binhgia (2016)'!$A$3,"MA_HT","NKH","MA_QH","MNC")</f>
        <v>0</v>
      </c>
      <c r="BD18" s="22">
        <f ca="1">+GETPIVOTDATA("XBG4",'binhgia (2016)'!$A$3,"MA_HT","NKH","MA_QH","PNK")</f>
        <v>0</v>
      </c>
      <c r="BE18" s="71">
        <f ca="1">+GETPIVOTDATA("XBG4",'binhgia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+GETPIVOTDATA("XBG4",'binhgia (2016)'!$A$3,"MA_HT","CQP","MA_QH","LUC")</f>
        <v>0</v>
      </c>
      <c r="H20" s="22">
        <f ca="1">+GETPIVOTDATA("XBG4",'binhgia (2016)'!$A$3,"MA_HT","CQP","MA_QH","LUK")</f>
        <v>0</v>
      </c>
      <c r="I20" s="22">
        <f ca="1">+GETPIVOTDATA("XBG4",'binhgia (2016)'!$A$3,"MA_HT","CQP","MA_QH","LUN")</f>
        <v>0</v>
      </c>
      <c r="J20" s="22">
        <f ca="1">+GETPIVOTDATA("XBG4",'binhgia (2016)'!$A$3,"MA_HT","CQP","MA_QH","HNK")</f>
        <v>0</v>
      </c>
      <c r="K20" s="22">
        <f ca="1">+GETPIVOTDATA("XBG4",'binhgia (2016)'!$A$3,"MA_HT","CQP","MA_QH","CLN")</f>
        <v>0</v>
      </c>
      <c r="L20" s="22">
        <f ca="1">+GETPIVOTDATA("XBG4",'binhgia (2016)'!$A$3,"MA_HT","CQP","MA_QH","RSX")</f>
        <v>0</v>
      </c>
      <c r="M20" s="22">
        <f ca="1">+GETPIVOTDATA("XBG4",'binhgia (2016)'!$A$3,"MA_HT","CQP","MA_QH","RPH")</f>
        <v>0</v>
      </c>
      <c r="N20" s="22">
        <f ca="1">+GETPIVOTDATA("XBG4",'binhgia (2016)'!$A$3,"MA_HT","CQP","MA_QH","RDD")</f>
        <v>0</v>
      </c>
      <c r="O20" s="22">
        <f ca="1">+GETPIVOTDATA("XBG4",'binhgia (2016)'!$A$3,"MA_HT","CQP","MA_QH","NTS")</f>
        <v>0</v>
      </c>
      <c r="P20" s="22">
        <f ca="1">+GETPIVOTDATA("XBG4",'binhgia (2016)'!$A$3,"MA_HT","CQP","MA_QH","LMU")</f>
        <v>0</v>
      </c>
      <c r="Q20" s="22">
        <f ca="1">+GETPIVOTDATA("XBG4",'binhgia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+GETPIVOTDATA("XBG4",'binhgia (2016)'!$A$3,"MA_HT","CQP","MA_QH","CAN")</f>
        <v>0</v>
      </c>
      <c r="U20" s="22">
        <f ca="1">+GETPIVOTDATA("XBG4",'binhgia (2016)'!$A$3,"MA_HT","CQP","MA_QH","SKK")</f>
        <v>0</v>
      </c>
      <c r="V20" s="22">
        <f ca="1">+GETPIVOTDATA("XBG4",'binhgia (2016)'!$A$3,"MA_HT","CQP","MA_QH","SKT")</f>
        <v>0</v>
      </c>
      <c r="W20" s="22">
        <f ca="1">+GETPIVOTDATA("XBG4",'binhgia (2016)'!$A$3,"MA_HT","CQP","MA_QH","SKN")</f>
        <v>0</v>
      </c>
      <c r="X20" s="22">
        <f ca="1">+GETPIVOTDATA("XBG4",'binhgia (2016)'!$A$3,"MA_HT","CQP","MA_QH","TMD")</f>
        <v>0</v>
      </c>
      <c r="Y20" s="22">
        <f ca="1">+GETPIVOTDATA("XBG4",'binhgia (2016)'!$A$3,"MA_HT","CQP","MA_QH","SKC")</f>
        <v>0</v>
      </c>
      <c r="Z20" s="22">
        <f ca="1">+GETPIVOTDATA("XBG4",'binhgia (2016)'!$A$3,"MA_HT","CQP","MA_QH","SKS")</f>
        <v>0</v>
      </c>
      <c r="AA20" s="52">
        <f ca="1" t="shared" ref="AA20:AA27" si="12">+SUM(AB20:AM20)</f>
        <v>0</v>
      </c>
      <c r="AB20" s="22">
        <f ca="1">+GETPIVOTDATA("XBG4",'binhgia (2016)'!$A$3,"MA_HT","CQP","MA_QH","DGT")</f>
        <v>0</v>
      </c>
      <c r="AC20" s="22">
        <f ca="1">+GETPIVOTDATA("XBG4",'binhgia (2016)'!$A$3,"MA_HT","CQP","MA_QH","DTL")</f>
        <v>0</v>
      </c>
      <c r="AD20" s="22">
        <f ca="1">+GETPIVOTDATA("XBG4",'binhgia (2016)'!$A$3,"MA_HT","CQP","MA_QH","DNL")</f>
        <v>0</v>
      </c>
      <c r="AE20" s="22">
        <f ca="1">+GETPIVOTDATA("XBG4",'binhgia (2016)'!$A$3,"MA_HT","CQP","MA_QH","DBV")</f>
        <v>0</v>
      </c>
      <c r="AF20" s="22">
        <f ca="1">+GETPIVOTDATA("XBG4",'binhgia (2016)'!$A$3,"MA_HT","CQP","MA_QH","DVH")</f>
        <v>0</v>
      </c>
      <c r="AG20" s="22">
        <f ca="1">+GETPIVOTDATA("XBG4",'binhgia (2016)'!$A$3,"MA_HT","CQP","MA_QH","DYT")</f>
        <v>0</v>
      </c>
      <c r="AH20" s="22">
        <f ca="1">+GETPIVOTDATA("XBG4",'binhgia (2016)'!$A$3,"MA_HT","CQP","MA_QH","DGD")</f>
        <v>0</v>
      </c>
      <c r="AI20" s="22">
        <f ca="1">+GETPIVOTDATA("XBG4",'binhgia (2016)'!$A$3,"MA_HT","CQP","MA_QH","DTT")</f>
        <v>0</v>
      </c>
      <c r="AJ20" s="22">
        <f ca="1">+GETPIVOTDATA("XBG4",'binhgia (2016)'!$A$3,"MA_HT","CQP","MA_QH","NCK")</f>
        <v>0</v>
      </c>
      <c r="AK20" s="22">
        <f ca="1">+GETPIVOTDATA("XBG4",'binhgia (2016)'!$A$3,"MA_HT","CQP","MA_QH","DXH")</f>
        <v>0</v>
      </c>
      <c r="AL20" s="22">
        <f ca="1">+GETPIVOTDATA("XBG4",'binhgia (2016)'!$A$3,"MA_HT","CQP","MA_QH","DCH")</f>
        <v>0</v>
      </c>
      <c r="AM20" s="22">
        <f ca="1">+GETPIVOTDATA("XBG4",'binhgia (2016)'!$A$3,"MA_HT","CQP","MA_QH","DKG")</f>
        <v>0</v>
      </c>
      <c r="AN20" s="22">
        <f ca="1">+GETPIVOTDATA("XBG4",'binhgia (2016)'!$A$3,"MA_HT","CQP","MA_QH","DDT")</f>
        <v>0</v>
      </c>
      <c r="AO20" s="22">
        <f ca="1">+GETPIVOTDATA("XBG4",'binhgia (2016)'!$A$3,"MA_HT","CQP","MA_QH","DDL")</f>
        <v>0</v>
      </c>
      <c r="AP20" s="22">
        <f ca="1">+GETPIVOTDATA("XBG4",'binhgia (2016)'!$A$3,"MA_HT","CQP","MA_QH","DRA")</f>
        <v>0</v>
      </c>
      <c r="AQ20" s="22">
        <f ca="1">+GETPIVOTDATA("XBG4",'binhgia (2016)'!$A$3,"MA_HT","CQP","MA_QH","ONT")</f>
        <v>0</v>
      </c>
      <c r="AR20" s="22">
        <f ca="1">+GETPIVOTDATA("XBG4",'binhgia (2016)'!$A$3,"MA_HT","CQP","MA_QH","ODT")</f>
        <v>0</v>
      </c>
      <c r="AS20" s="22">
        <f ca="1">+GETPIVOTDATA("XBG4",'binhgia (2016)'!$A$3,"MA_HT","CQP","MA_QH","TSC")</f>
        <v>0</v>
      </c>
      <c r="AT20" s="22">
        <f ca="1">+GETPIVOTDATA("XBG4",'binhgia (2016)'!$A$3,"MA_HT","CQP","MA_QH","DTS")</f>
        <v>0</v>
      </c>
      <c r="AU20" s="22">
        <f ca="1">+GETPIVOTDATA("XBG4",'binhgia (2016)'!$A$3,"MA_HT","CQP","MA_QH","DNG")</f>
        <v>0</v>
      </c>
      <c r="AV20" s="22">
        <f ca="1">+GETPIVOTDATA("XBG4",'binhgia (2016)'!$A$3,"MA_HT","CQP","MA_QH","TON")</f>
        <v>0</v>
      </c>
      <c r="AW20" s="22">
        <f ca="1">+GETPIVOTDATA("XBG4",'binhgia (2016)'!$A$3,"MA_HT","CQP","MA_QH","NTD")</f>
        <v>0</v>
      </c>
      <c r="AX20" s="22">
        <f ca="1">+GETPIVOTDATA("XBG4",'binhgia (2016)'!$A$3,"MA_HT","CQP","MA_QH","SKX")</f>
        <v>0</v>
      </c>
      <c r="AY20" s="22">
        <f ca="1">+GETPIVOTDATA("XBG4",'binhgia (2016)'!$A$3,"MA_HT","CQP","MA_QH","DSH")</f>
        <v>0</v>
      </c>
      <c r="AZ20" s="22">
        <f ca="1">+GETPIVOTDATA("XBG4",'binhgia (2016)'!$A$3,"MA_HT","CQP","MA_QH","DKV")</f>
        <v>0</v>
      </c>
      <c r="BA20" s="89">
        <f ca="1">+GETPIVOTDATA("XBG4",'binhgia (2016)'!$A$3,"MA_HT","CQP","MA_QH","TIN")</f>
        <v>0</v>
      </c>
      <c r="BB20" s="50">
        <f ca="1">+GETPIVOTDATA("XBG4",'binhgia (2016)'!$A$3,"MA_HT","CQP","MA_QH","SON")</f>
        <v>0</v>
      </c>
      <c r="BC20" s="50">
        <f ca="1">+GETPIVOTDATA("XBG4",'binhgia (2016)'!$A$3,"MA_HT","CQP","MA_QH","MNC")</f>
        <v>0</v>
      </c>
      <c r="BD20" s="22">
        <f ca="1">+GETPIVOTDATA("XBG4",'binhgia (2016)'!$A$3,"MA_HT","CQP","MA_QH","PNK")</f>
        <v>0</v>
      </c>
      <c r="BE20" s="71">
        <f ca="1">+GETPIVOTDATA("XBG4",'binhgia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+GETPIVOTDATA("XBG4",'binhgia (2016)'!$A$3,"MA_HT","CAN","MA_QH","LUC")</f>
        <v>0</v>
      </c>
      <c r="H21" s="22">
        <f ca="1">+GETPIVOTDATA("XBG4",'binhgia (2016)'!$A$3,"MA_HT","CAN","MA_QH","LUK")</f>
        <v>0</v>
      </c>
      <c r="I21" s="22">
        <f ca="1">+GETPIVOTDATA("XBG4",'binhgia (2016)'!$A$3,"MA_HT","CAN","MA_QH","LUN")</f>
        <v>0</v>
      </c>
      <c r="J21" s="22">
        <f ca="1">+GETPIVOTDATA("XBG4",'binhgia (2016)'!$A$3,"MA_HT","CAN","MA_QH","HNK")</f>
        <v>0</v>
      </c>
      <c r="K21" s="22">
        <f ca="1">+GETPIVOTDATA("XBG4",'binhgia (2016)'!$A$3,"MA_HT","CAN","MA_QH","CLN")</f>
        <v>0</v>
      </c>
      <c r="L21" s="22">
        <f ca="1">+GETPIVOTDATA("XBG4",'binhgia (2016)'!$A$3,"MA_HT","CAN","MA_QH","RSX")</f>
        <v>0</v>
      </c>
      <c r="M21" s="22">
        <f ca="1">+GETPIVOTDATA("XBG4",'binhgia (2016)'!$A$3,"MA_HT","CAN","MA_QH","RPH")</f>
        <v>0</v>
      </c>
      <c r="N21" s="22">
        <f ca="1">+GETPIVOTDATA("XBG4",'binhgia (2016)'!$A$3,"MA_HT","CAN","MA_QH","RDD")</f>
        <v>0</v>
      </c>
      <c r="O21" s="22">
        <f ca="1">+GETPIVOTDATA("XBG4",'binhgia (2016)'!$A$3,"MA_HT","CAN","MA_QH","NTS")</f>
        <v>0</v>
      </c>
      <c r="P21" s="22">
        <f ca="1">+GETPIVOTDATA("XBG4",'binhgia (2016)'!$A$3,"MA_HT","CAN","MA_QH","LMU")</f>
        <v>0</v>
      </c>
      <c r="Q21" s="22">
        <f ca="1">+GETPIVOTDATA("XBG4",'binhgia (2016)'!$A$3,"MA_HT","CAN","MA_QH","NKH")</f>
        <v>0</v>
      </c>
      <c r="R21" s="42">
        <f ca="1">SUM(S21,U21:AA21,AN21:BD21)</f>
        <v>0</v>
      </c>
      <c r="S21" s="22">
        <f ca="1">+GETPIVOTDATA("XBG4",'binhgia (2016)'!$A$3,"MA_HT","CAN","MA_QH","CQP")</f>
        <v>0</v>
      </c>
      <c r="T21" s="43" t="e">
        <f ca="1">$D21-$BF21</f>
        <v>#REF!</v>
      </c>
      <c r="U21" s="22">
        <f ca="1">+GETPIVOTDATA("XBG4",'binhgia (2016)'!$A$3,"MA_HT","CAN","MA_QH","SKK")</f>
        <v>0</v>
      </c>
      <c r="V21" s="22">
        <f ca="1">+GETPIVOTDATA("XBG4",'binhgia (2016)'!$A$3,"MA_HT","CAN","MA_QH","SKT")</f>
        <v>0</v>
      </c>
      <c r="W21" s="22">
        <f ca="1">+GETPIVOTDATA("XBG4",'binhgia (2016)'!$A$3,"MA_HT","CAN","MA_QH","SKN")</f>
        <v>0</v>
      </c>
      <c r="X21" s="22">
        <f ca="1">+GETPIVOTDATA("XBG4",'binhgia (2016)'!$A$3,"MA_HT","CAN","MA_QH","TMD")</f>
        <v>0</v>
      </c>
      <c r="Y21" s="22">
        <f ca="1">+GETPIVOTDATA("XBG4",'binhgia (2016)'!$A$3,"MA_HT","CAN","MA_QH","SKC")</f>
        <v>0</v>
      </c>
      <c r="Z21" s="22">
        <f ca="1">+GETPIVOTDATA("XBG4",'binhgia (2016)'!$A$3,"MA_HT","CAN","MA_QH","SKS")</f>
        <v>0</v>
      </c>
      <c r="AA21" s="52">
        <f ca="1" t="shared" si="12"/>
        <v>0</v>
      </c>
      <c r="AB21" s="22">
        <f ca="1">+GETPIVOTDATA("XBG4",'binhgia (2016)'!$A$3,"MA_HT","CAN","MA_QH","DGT")</f>
        <v>0</v>
      </c>
      <c r="AC21" s="22">
        <f ca="1">+GETPIVOTDATA("XBG4",'binhgia (2016)'!$A$3,"MA_HT","CAN","MA_QH","DTL")</f>
        <v>0</v>
      </c>
      <c r="AD21" s="22">
        <f ca="1">+GETPIVOTDATA("XBG4",'binhgia (2016)'!$A$3,"MA_HT","CAN","MA_QH","DNL")</f>
        <v>0</v>
      </c>
      <c r="AE21" s="22">
        <f ca="1">+GETPIVOTDATA("XBG4",'binhgia (2016)'!$A$3,"MA_HT","CAN","MA_QH","DBV")</f>
        <v>0</v>
      </c>
      <c r="AF21" s="22">
        <f ca="1">+GETPIVOTDATA("XBG4",'binhgia (2016)'!$A$3,"MA_HT","CAN","MA_QH","DVH")</f>
        <v>0</v>
      </c>
      <c r="AG21" s="22">
        <f ca="1">+GETPIVOTDATA("XBG4",'binhgia (2016)'!$A$3,"MA_HT","CAN","MA_QH","DYT")</f>
        <v>0</v>
      </c>
      <c r="AH21" s="22">
        <f ca="1">+GETPIVOTDATA("XBG4",'binhgia (2016)'!$A$3,"MA_HT","CAN","MA_QH","DGD")</f>
        <v>0</v>
      </c>
      <c r="AI21" s="22">
        <f ca="1">+GETPIVOTDATA("XBG4",'binhgia (2016)'!$A$3,"MA_HT","CAN","MA_QH","DTT")</f>
        <v>0</v>
      </c>
      <c r="AJ21" s="22">
        <f ca="1">+GETPIVOTDATA("XBG4",'binhgia (2016)'!$A$3,"MA_HT","CAN","MA_QH","NCK")</f>
        <v>0</v>
      </c>
      <c r="AK21" s="22">
        <f ca="1">+GETPIVOTDATA("XBG4",'binhgia (2016)'!$A$3,"MA_HT","CAN","MA_QH","DXH")</f>
        <v>0</v>
      </c>
      <c r="AL21" s="22">
        <f ca="1">+GETPIVOTDATA("XBG4",'binhgia (2016)'!$A$3,"MA_HT","CAN","MA_QH","DCH")</f>
        <v>0</v>
      </c>
      <c r="AM21" s="22">
        <f ca="1">+GETPIVOTDATA("XBG4",'binhgia (2016)'!$A$3,"MA_HT","CAN","MA_QH","DKG")</f>
        <v>0</v>
      </c>
      <c r="AN21" s="22">
        <f ca="1">+GETPIVOTDATA("XBG4",'binhgia (2016)'!$A$3,"MA_HT","CAN","MA_QH","DDT")</f>
        <v>0</v>
      </c>
      <c r="AO21" s="22">
        <f ca="1">+GETPIVOTDATA("XBG4",'binhgia (2016)'!$A$3,"MA_HT","CAN","MA_QH","DDL")</f>
        <v>0</v>
      </c>
      <c r="AP21" s="22">
        <f ca="1">+GETPIVOTDATA("XBG4",'binhgia (2016)'!$A$3,"MA_HT","CAN","MA_QH","DRA")</f>
        <v>0</v>
      </c>
      <c r="AQ21" s="22">
        <f ca="1">+GETPIVOTDATA("XBG4",'binhgia (2016)'!$A$3,"MA_HT","CAN","MA_QH","ONT")</f>
        <v>0</v>
      </c>
      <c r="AR21" s="22">
        <f ca="1">+GETPIVOTDATA("XBG4",'binhgia (2016)'!$A$3,"MA_HT","CAN","MA_QH","ODT")</f>
        <v>0</v>
      </c>
      <c r="AS21" s="22">
        <f ca="1">+GETPIVOTDATA("XBG4",'binhgia (2016)'!$A$3,"MA_HT","CAN","MA_QH","TSC")</f>
        <v>0</v>
      </c>
      <c r="AT21" s="22">
        <f ca="1">+GETPIVOTDATA("XBG4",'binhgia (2016)'!$A$3,"MA_HT","CAN","MA_QH","DTS")</f>
        <v>0</v>
      </c>
      <c r="AU21" s="22">
        <f ca="1">+GETPIVOTDATA("XBG4",'binhgia (2016)'!$A$3,"MA_HT","CAN","MA_QH","DNG")</f>
        <v>0</v>
      </c>
      <c r="AV21" s="22">
        <f ca="1">+GETPIVOTDATA("XBG4",'binhgia (2016)'!$A$3,"MA_HT","CAN","MA_QH","TON")</f>
        <v>0</v>
      </c>
      <c r="AW21" s="22">
        <f ca="1">+GETPIVOTDATA("XBG4",'binhgia (2016)'!$A$3,"MA_HT","CAN","MA_QH","NTD")</f>
        <v>0</v>
      </c>
      <c r="AX21" s="22">
        <f ca="1">+GETPIVOTDATA("XBG4",'binhgia (2016)'!$A$3,"MA_HT","CAN","MA_QH","SKX")</f>
        <v>0</v>
      </c>
      <c r="AY21" s="22">
        <f ca="1">+GETPIVOTDATA("XBG4",'binhgia (2016)'!$A$3,"MA_HT","CAN","MA_QH","DSH")</f>
        <v>0</v>
      </c>
      <c r="AZ21" s="22">
        <f ca="1">+GETPIVOTDATA("XBG4",'binhgia (2016)'!$A$3,"MA_HT","CAN","MA_QH","DKV")</f>
        <v>0</v>
      </c>
      <c r="BA21" s="89">
        <f ca="1">+GETPIVOTDATA("XBG4",'binhgia (2016)'!$A$3,"MA_HT","CAN","MA_QH","TIN")</f>
        <v>0</v>
      </c>
      <c r="BB21" s="50">
        <f ca="1">+GETPIVOTDATA("XBG4",'binhgia (2016)'!$A$3,"MA_HT","CAN","MA_QH","SON")</f>
        <v>0</v>
      </c>
      <c r="BC21" s="50">
        <f ca="1">+GETPIVOTDATA("XBG4",'binhgia (2016)'!$A$3,"MA_HT","CAN","MA_QH","MNC")</f>
        <v>0</v>
      </c>
      <c r="BD21" s="22">
        <f ca="1">+GETPIVOTDATA("XBG4",'binhgia (2016)'!$A$3,"MA_HT","CAN","MA_QH","PNK")</f>
        <v>0</v>
      </c>
      <c r="BE21" s="71">
        <f ca="1">+GETPIVOTDATA("XBG4",'binhgia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+GETPIVOTDATA("XBG4",'binhgia (2016)'!$A$3,"MA_HT","SKK","MA_QH","LUC")</f>
        <v>0</v>
      </c>
      <c r="H22" s="22">
        <f ca="1">+GETPIVOTDATA("XBG4",'binhgia (2016)'!$A$3,"MA_HT","SKK","MA_QH","LUK")</f>
        <v>0</v>
      </c>
      <c r="I22" s="22">
        <f ca="1">+GETPIVOTDATA("XBG4",'binhgia (2016)'!$A$3,"MA_HT","SKK","MA_QH","LUN")</f>
        <v>0</v>
      </c>
      <c r="J22" s="22">
        <f ca="1">+GETPIVOTDATA("XBG4",'binhgia (2016)'!$A$3,"MA_HT","SKK","MA_QH","HNK")</f>
        <v>0</v>
      </c>
      <c r="K22" s="22">
        <f ca="1">+GETPIVOTDATA("XBG4",'binhgia (2016)'!$A$3,"MA_HT","SKK","MA_QH","CLN")</f>
        <v>0</v>
      </c>
      <c r="L22" s="22">
        <f ca="1">+GETPIVOTDATA("XBG4",'binhgia (2016)'!$A$3,"MA_HT","SKK","MA_QH","RSX")</f>
        <v>0</v>
      </c>
      <c r="M22" s="22">
        <f ca="1">+GETPIVOTDATA("XBG4",'binhgia (2016)'!$A$3,"MA_HT","SKK","MA_QH","RPH")</f>
        <v>0</v>
      </c>
      <c r="N22" s="22">
        <f ca="1">+GETPIVOTDATA("XBG4",'binhgia (2016)'!$A$3,"MA_HT","SKK","MA_QH","RDD")</f>
        <v>0</v>
      </c>
      <c r="O22" s="22">
        <f ca="1">+GETPIVOTDATA("XBG4",'binhgia (2016)'!$A$3,"MA_HT","SKK","MA_QH","NTS")</f>
        <v>0</v>
      </c>
      <c r="P22" s="22">
        <f ca="1">+GETPIVOTDATA("XBG4",'binhgia (2016)'!$A$3,"MA_HT","SKK","MA_QH","LMU")</f>
        <v>0</v>
      </c>
      <c r="Q22" s="22">
        <f ca="1">+GETPIVOTDATA("XBG4",'binhgia (2016)'!$A$3,"MA_HT","SKK","MA_QH","NKH")</f>
        <v>0</v>
      </c>
      <c r="R22" s="42">
        <f ca="1">SUM(S22:T22,V22:AA22,AN22:BD22)</f>
        <v>0</v>
      </c>
      <c r="S22" s="22">
        <f ca="1">+GETPIVOTDATA("XBG4",'binhgia (2016)'!$A$3,"MA_HT","SKK","MA_QH","CQP")</f>
        <v>0</v>
      </c>
      <c r="T22" s="22">
        <f ca="1">+GETPIVOTDATA("XBG4",'binhgia (2016)'!$A$3,"MA_HT","SKK","MA_QH","CAN")</f>
        <v>0</v>
      </c>
      <c r="U22" s="43" t="e">
        <f ca="1">$D22-$BF22</f>
        <v>#REF!</v>
      </c>
      <c r="V22" s="22">
        <f ca="1">+GETPIVOTDATA("XBG4",'binhgia (2016)'!$A$3,"MA_HT","SKK","MA_QH","SKT")</f>
        <v>0</v>
      </c>
      <c r="W22" s="22">
        <f ca="1">+GETPIVOTDATA("XBG4",'binhgia (2016)'!$A$3,"MA_HT","SKK","MA_QH","SKN")</f>
        <v>0</v>
      </c>
      <c r="X22" s="22">
        <f ca="1">+GETPIVOTDATA("XBG4",'binhgia (2016)'!$A$3,"MA_HT","SKK","MA_QH","TMD")</f>
        <v>0</v>
      </c>
      <c r="Y22" s="22">
        <f ca="1">+GETPIVOTDATA("XBG4",'binhgia (2016)'!$A$3,"MA_HT","SKK","MA_QH","SKC")</f>
        <v>0</v>
      </c>
      <c r="Z22" s="22">
        <f ca="1">+GETPIVOTDATA("XBG4",'binhgia (2016)'!$A$3,"MA_HT","SKK","MA_QH","SKS")</f>
        <v>0</v>
      </c>
      <c r="AA22" s="52">
        <f ca="1" t="shared" si="12"/>
        <v>0</v>
      </c>
      <c r="AB22" s="22">
        <f ca="1">+GETPIVOTDATA("XBG4",'binhgia (2016)'!$A$3,"MA_HT","SKK","MA_QH","DGT")</f>
        <v>0</v>
      </c>
      <c r="AC22" s="22">
        <f ca="1">+GETPIVOTDATA("XBG4",'binhgia (2016)'!$A$3,"MA_HT","SKK","MA_QH","DTL")</f>
        <v>0</v>
      </c>
      <c r="AD22" s="22">
        <f ca="1">+GETPIVOTDATA("XBG4",'binhgia (2016)'!$A$3,"MA_HT","SKK","MA_QH","DNL")</f>
        <v>0</v>
      </c>
      <c r="AE22" s="22">
        <f ca="1">+GETPIVOTDATA("XBG4",'binhgia (2016)'!$A$3,"MA_HT","SKK","MA_QH","DBV")</f>
        <v>0</v>
      </c>
      <c r="AF22" s="22">
        <f ca="1">+GETPIVOTDATA("XBG4",'binhgia (2016)'!$A$3,"MA_HT","SKK","MA_QH","DVH")</f>
        <v>0</v>
      </c>
      <c r="AG22" s="22">
        <f ca="1">+GETPIVOTDATA("XBG4",'binhgia (2016)'!$A$3,"MA_HT","SKK","MA_QH","DYT")</f>
        <v>0</v>
      </c>
      <c r="AH22" s="22">
        <f ca="1">+GETPIVOTDATA("XBG4",'binhgia (2016)'!$A$3,"MA_HT","SKK","MA_QH","DGD")</f>
        <v>0</v>
      </c>
      <c r="AI22" s="22">
        <f ca="1">+GETPIVOTDATA("XBG4",'binhgia (2016)'!$A$3,"MA_HT","SKK","MA_QH","DTT")</f>
        <v>0</v>
      </c>
      <c r="AJ22" s="22">
        <f ca="1">+GETPIVOTDATA("XBG4",'binhgia (2016)'!$A$3,"MA_HT","SKK","MA_QH","NCK")</f>
        <v>0</v>
      </c>
      <c r="AK22" s="22">
        <f ca="1">+GETPIVOTDATA("XBG4",'binhgia (2016)'!$A$3,"MA_HT","SKK","MA_QH","DXH")</f>
        <v>0</v>
      </c>
      <c r="AL22" s="22">
        <f ca="1">+GETPIVOTDATA("XBG4",'binhgia (2016)'!$A$3,"MA_HT","SKK","MA_QH","DCH")</f>
        <v>0</v>
      </c>
      <c r="AM22" s="22">
        <f ca="1">+GETPIVOTDATA("XBG4",'binhgia (2016)'!$A$3,"MA_HT","SKK","MA_QH","DKG")</f>
        <v>0</v>
      </c>
      <c r="AN22" s="22">
        <f ca="1">+GETPIVOTDATA("XBG4",'binhgia (2016)'!$A$3,"MA_HT","SKK","MA_QH","DDT")</f>
        <v>0</v>
      </c>
      <c r="AO22" s="22">
        <f ca="1">+GETPIVOTDATA("XBG4",'binhgia (2016)'!$A$3,"MA_HT","SKK","MA_QH","DDL")</f>
        <v>0</v>
      </c>
      <c r="AP22" s="22">
        <f ca="1">+GETPIVOTDATA("XBG4",'binhgia (2016)'!$A$3,"MA_HT","SKK","MA_QH","DRA")</f>
        <v>0</v>
      </c>
      <c r="AQ22" s="22">
        <f ca="1">+GETPIVOTDATA("XBG4",'binhgia (2016)'!$A$3,"MA_HT","SKK","MA_QH","ONT")</f>
        <v>0</v>
      </c>
      <c r="AR22" s="22">
        <f ca="1">+GETPIVOTDATA("XBG4",'binhgia (2016)'!$A$3,"MA_HT","SKK","MA_QH","ODT")</f>
        <v>0</v>
      </c>
      <c r="AS22" s="22">
        <f ca="1">+GETPIVOTDATA("XBG4",'binhgia (2016)'!$A$3,"MA_HT","SKK","MA_QH","TSC")</f>
        <v>0</v>
      </c>
      <c r="AT22" s="22">
        <f ca="1">+GETPIVOTDATA("XBG4",'binhgia (2016)'!$A$3,"MA_HT","SKK","MA_QH","DTS")</f>
        <v>0</v>
      </c>
      <c r="AU22" s="22">
        <f ca="1">+GETPIVOTDATA("XBG4",'binhgia (2016)'!$A$3,"MA_HT","SKK","MA_QH","DNG")</f>
        <v>0</v>
      </c>
      <c r="AV22" s="22">
        <f ca="1">+GETPIVOTDATA("XBG4",'binhgia (2016)'!$A$3,"MA_HT","SKK","MA_QH","TON")</f>
        <v>0</v>
      </c>
      <c r="AW22" s="22">
        <f ca="1">+GETPIVOTDATA("XBG4",'binhgia (2016)'!$A$3,"MA_HT","SKK","MA_QH","NTD")</f>
        <v>0</v>
      </c>
      <c r="AX22" s="22">
        <f ca="1">+GETPIVOTDATA("XBG4",'binhgia (2016)'!$A$3,"MA_HT","SKK","MA_QH","SKX")</f>
        <v>0</v>
      </c>
      <c r="AY22" s="22">
        <f ca="1">+GETPIVOTDATA("XBG4",'binhgia (2016)'!$A$3,"MA_HT","SKK","MA_QH","DSH")</f>
        <v>0</v>
      </c>
      <c r="AZ22" s="22">
        <f ca="1">+GETPIVOTDATA("XBG4",'binhgia (2016)'!$A$3,"MA_HT","SKK","MA_QH","DKV")</f>
        <v>0</v>
      </c>
      <c r="BA22" s="89">
        <f ca="1">+GETPIVOTDATA("XBG4",'binhgia (2016)'!$A$3,"MA_HT","SKK","MA_QH","TIN")</f>
        <v>0</v>
      </c>
      <c r="BB22" s="50">
        <f ca="1">+GETPIVOTDATA("XBG4",'binhgia (2016)'!$A$3,"MA_HT","SKK","MA_QH","SON")</f>
        <v>0</v>
      </c>
      <c r="BC22" s="50">
        <f ca="1">+GETPIVOTDATA("XBG4",'binhgia (2016)'!$A$3,"MA_HT","SKK","MA_QH","MNC")</f>
        <v>0</v>
      </c>
      <c r="BD22" s="22">
        <f ca="1">+GETPIVOTDATA("XBG4",'binhgia (2016)'!$A$3,"MA_HT","SKK","MA_QH","PNK")</f>
        <v>0</v>
      </c>
      <c r="BE22" s="71">
        <f ca="1">+GETPIVOTDATA("XBG4",'binhgia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+GETPIVOTDATA("XBG4",'binhgia (2016)'!$A$3,"MA_HT","SKT","MA_QH","LUC")</f>
        <v>0</v>
      </c>
      <c r="H23" s="22">
        <f ca="1">+GETPIVOTDATA("XBG4",'binhgia (2016)'!$A$3,"MA_HT","SKT","MA_QH","LUK")</f>
        <v>0</v>
      </c>
      <c r="I23" s="22">
        <f ca="1">+GETPIVOTDATA("XBG4",'binhgia (2016)'!$A$3,"MA_HT","SKT","MA_QH","LUN")</f>
        <v>0</v>
      </c>
      <c r="J23" s="22">
        <f ca="1">+GETPIVOTDATA("XBG4",'binhgia (2016)'!$A$3,"MA_HT","SKT","MA_QH","HNK")</f>
        <v>0</v>
      </c>
      <c r="K23" s="22">
        <f ca="1">+GETPIVOTDATA("XBG4",'binhgia (2016)'!$A$3,"MA_HT","SKT","MA_QH","CLN")</f>
        <v>0</v>
      </c>
      <c r="L23" s="22">
        <f ca="1">+GETPIVOTDATA("XBG4",'binhgia (2016)'!$A$3,"MA_HT","SKT","MA_QH","RSX")</f>
        <v>0</v>
      </c>
      <c r="M23" s="22">
        <f ca="1">+GETPIVOTDATA("XBG4",'binhgia (2016)'!$A$3,"MA_HT","SKT","MA_QH","RPH")</f>
        <v>0</v>
      </c>
      <c r="N23" s="22">
        <f ca="1">+GETPIVOTDATA("XBG4",'binhgia (2016)'!$A$3,"MA_HT","SKT","MA_QH","RDD")</f>
        <v>0</v>
      </c>
      <c r="O23" s="22">
        <f ca="1">+GETPIVOTDATA("XBG4",'binhgia (2016)'!$A$3,"MA_HT","SKT","MA_QH","NTS")</f>
        <v>0</v>
      </c>
      <c r="P23" s="22">
        <f ca="1">+GETPIVOTDATA("XBG4",'binhgia (2016)'!$A$3,"MA_HT","SKT","MA_QH","LMU")</f>
        <v>0</v>
      </c>
      <c r="Q23" s="22">
        <f ca="1">+GETPIVOTDATA("XBG4",'binhgia (2016)'!$A$3,"MA_HT","SKT","MA_QH","NKH")</f>
        <v>0</v>
      </c>
      <c r="R23" s="42">
        <f ca="1">SUM(S23:U23,W23:AA23,AN23:BD23)</f>
        <v>0</v>
      </c>
      <c r="S23" s="22">
        <f ca="1">+GETPIVOTDATA("XBG4",'binhgia (2016)'!$A$3,"MA_HT","SKT","MA_QH","CQP")</f>
        <v>0</v>
      </c>
      <c r="T23" s="22">
        <f ca="1">+GETPIVOTDATA("XBG4",'binhgia (2016)'!$A$3,"MA_HT","SKT","MA_QH","CAN")</f>
        <v>0</v>
      </c>
      <c r="U23" s="22">
        <f ca="1">+GETPIVOTDATA("XBG4",'binhgia (2016)'!$A$3,"MA_HT","SKT","MA_QH","SKK")</f>
        <v>0</v>
      </c>
      <c r="V23" s="43" t="e">
        <f ca="1">$D23-$BF23</f>
        <v>#REF!</v>
      </c>
      <c r="W23" s="22">
        <f ca="1">+GETPIVOTDATA("XBG4",'binhgia (2016)'!$A$3,"MA_HT","SKT","MA_QH","SKN")</f>
        <v>0</v>
      </c>
      <c r="X23" s="22">
        <f ca="1">+GETPIVOTDATA("XBG4",'binhgia (2016)'!$A$3,"MA_HT","SKT","MA_QH","TMD")</f>
        <v>0</v>
      </c>
      <c r="Y23" s="22">
        <f ca="1">+GETPIVOTDATA("XBG4",'binhgia (2016)'!$A$3,"MA_HT","SKT","MA_QH","SKC")</f>
        <v>0</v>
      </c>
      <c r="Z23" s="22">
        <f ca="1">+GETPIVOTDATA("XBG4",'binhgia (2016)'!$A$3,"MA_HT","SKT","MA_QH","SKS")</f>
        <v>0</v>
      </c>
      <c r="AA23" s="52">
        <f ca="1" t="shared" si="12"/>
        <v>0</v>
      </c>
      <c r="AB23" s="22">
        <f ca="1">+GETPIVOTDATA("XBG4",'binhgia (2016)'!$A$3,"MA_HT","SKT","MA_QH","DGT")</f>
        <v>0</v>
      </c>
      <c r="AC23" s="22">
        <f ca="1">+GETPIVOTDATA("XBG4",'binhgia (2016)'!$A$3,"MA_HT","SKT","MA_QH","DTL")</f>
        <v>0</v>
      </c>
      <c r="AD23" s="22">
        <f ca="1">+GETPIVOTDATA("XBG4",'binhgia (2016)'!$A$3,"MA_HT","SKT","MA_QH","DNL")</f>
        <v>0</v>
      </c>
      <c r="AE23" s="22">
        <f ca="1">+GETPIVOTDATA("XBG4",'binhgia (2016)'!$A$3,"MA_HT","SKT","MA_QH","DBV")</f>
        <v>0</v>
      </c>
      <c r="AF23" s="22">
        <f ca="1">+GETPIVOTDATA("XBG4",'binhgia (2016)'!$A$3,"MA_HT","SKT","MA_QH","DVH")</f>
        <v>0</v>
      </c>
      <c r="AG23" s="22">
        <f ca="1">+GETPIVOTDATA("XBG4",'binhgia (2016)'!$A$3,"MA_HT","SKT","MA_QH","DYT")</f>
        <v>0</v>
      </c>
      <c r="AH23" s="22">
        <f ca="1">+GETPIVOTDATA("XBG4",'binhgia (2016)'!$A$3,"MA_HT","SKT","MA_QH","DGD")</f>
        <v>0</v>
      </c>
      <c r="AI23" s="22">
        <f ca="1">+GETPIVOTDATA("XBG4",'binhgia (2016)'!$A$3,"MA_HT","SKT","MA_QH","DTT")</f>
        <v>0</v>
      </c>
      <c r="AJ23" s="22">
        <f ca="1">+GETPIVOTDATA("XBG4",'binhgia (2016)'!$A$3,"MA_HT","SKT","MA_QH","NCK")</f>
        <v>0</v>
      </c>
      <c r="AK23" s="22">
        <f ca="1">+GETPIVOTDATA("XBG4",'binhgia (2016)'!$A$3,"MA_HT","SKT","MA_QH","DXH")</f>
        <v>0</v>
      </c>
      <c r="AL23" s="22">
        <f ca="1">+GETPIVOTDATA("XBG4",'binhgia (2016)'!$A$3,"MA_HT","SKT","MA_QH","DCH")</f>
        <v>0</v>
      </c>
      <c r="AM23" s="22">
        <f ca="1">+GETPIVOTDATA("XBG4",'binhgia (2016)'!$A$3,"MA_HT","SKT","MA_QH","DKG")</f>
        <v>0</v>
      </c>
      <c r="AN23" s="22">
        <f ca="1">+GETPIVOTDATA("XBG4",'binhgia (2016)'!$A$3,"MA_HT","SKT","MA_QH","DDT")</f>
        <v>0</v>
      </c>
      <c r="AO23" s="22">
        <f ca="1">+GETPIVOTDATA("XBG4",'binhgia (2016)'!$A$3,"MA_HT","SKT","MA_QH","DDL")</f>
        <v>0</v>
      </c>
      <c r="AP23" s="22">
        <f ca="1">+GETPIVOTDATA("XBG4",'binhgia (2016)'!$A$3,"MA_HT","SKT","MA_QH","DRA")</f>
        <v>0</v>
      </c>
      <c r="AQ23" s="22">
        <f ca="1">+GETPIVOTDATA("XBG4",'binhgia (2016)'!$A$3,"MA_HT","SKT","MA_QH","ONT")</f>
        <v>0</v>
      </c>
      <c r="AR23" s="22">
        <f ca="1">+GETPIVOTDATA("XBG4",'binhgia (2016)'!$A$3,"MA_HT","SKT","MA_QH","ODT")</f>
        <v>0</v>
      </c>
      <c r="AS23" s="22">
        <f ca="1">+GETPIVOTDATA("XBG4",'binhgia (2016)'!$A$3,"MA_HT","SKT","MA_QH","TSC")</f>
        <v>0</v>
      </c>
      <c r="AT23" s="22">
        <f ca="1">+GETPIVOTDATA("XBG4",'binhgia (2016)'!$A$3,"MA_HT","SKT","MA_QH","DTS")</f>
        <v>0</v>
      </c>
      <c r="AU23" s="22">
        <f ca="1">+GETPIVOTDATA("XBG4",'binhgia (2016)'!$A$3,"MA_HT","SKT","MA_QH","DNG")</f>
        <v>0</v>
      </c>
      <c r="AV23" s="22">
        <f ca="1">+GETPIVOTDATA("XBG4",'binhgia (2016)'!$A$3,"MA_HT","SKT","MA_QH","TON")</f>
        <v>0</v>
      </c>
      <c r="AW23" s="22">
        <f ca="1">+GETPIVOTDATA("XBG4",'binhgia (2016)'!$A$3,"MA_HT","SKT","MA_QH","NTD")</f>
        <v>0</v>
      </c>
      <c r="AX23" s="22">
        <f ca="1">+GETPIVOTDATA("XBG4",'binhgia (2016)'!$A$3,"MA_HT","SKT","MA_QH","SKX")</f>
        <v>0</v>
      </c>
      <c r="AY23" s="22">
        <f ca="1">+GETPIVOTDATA("XBG4",'binhgia (2016)'!$A$3,"MA_HT","SKT","MA_QH","DSH")</f>
        <v>0</v>
      </c>
      <c r="AZ23" s="22">
        <f ca="1">+GETPIVOTDATA("XBG4",'binhgia (2016)'!$A$3,"MA_HT","SKT","MA_QH","DKV")</f>
        <v>0</v>
      </c>
      <c r="BA23" s="89">
        <f ca="1">+GETPIVOTDATA("XBG4",'binhgia (2016)'!$A$3,"MA_HT","SKT","MA_QH","TIN")</f>
        <v>0</v>
      </c>
      <c r="BB23" s="50">
        <f ca="1">+GETPIVOTDATA("XBG4",'binhgia (2016)'!$A$3,"MA_HT","SKT","MA_QH","SON")</f>
        <v>0</v>
      </c>
      <c r="BC23" s="50">
        <f ca="1">+GETPIVOTDATA("XBG4",'binhgia (2016)'!$A$3,"MA_HT","SKT","MA_QH","MNC")</f>
        <v>0</v>
      </c>
      <c r="BD23" s="22">
        <f ca="1">+GETPIVOTDATA("XBG4",'binhgia (2016)'!$A$3,"MA_HT","SKT","MA_QH","PNK")</f>
        <v>0</v>
      </c>
      <c r="BE23" s="71">
        <f ca="1">+GETPIVOTDATA("XBG4",'binhgia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+GETPIVOTDATA("XBG4",'binhgia (2016)'!$A$3,"MA_HT","SKN","MA_QH","LUC")</f>
        <v>0</v>
      </c>
      <c r="H24" s="22">
        <f ca="1">+GETPIVOTDATA("XBG4",'binhgia (2016)'!$A$3,"MA_HT","SKN","MA_QH","LUK")</f>
        <v>0</v>
      </c>
      <c r="I24" s="22">
        <f ca="1">+GETPIVOTDATA("XBG4",'binhgia (2016)'!$A$3,"MA_HT","SKN","MA_QH","LUN")</f>
        <v>0</v>
      </c>
      <c r="J24" s="22">
        <f ca="1">+GETPIVOTDATA("XBG4",'binhgia (2016)'!$A$3,"MA_HT","SKN","MA_QH","HNK")</f>
        <v>0</v>
      </c>
      <c r="K24" s="22">
        <f ca="1">+GETPIVOTDATA("XBG4",'binhgia (2016)'!$A$3,"MA_HT","SKN","MA_QH","CLN")</f>
        <v>0</v>
      </c>
      <c r="L24" s="22">
        <f ca="1">+GETPIVOTDATA("XBG4",'binhgia (2016)'!$A$3,"MA_HT","SKN","MA_QH","RSX")</f>
        <v>0</v>
      </c>
      <c r="M24" s="22">
        <f ca="1">+GETPIVOTDATA("XBG4",'binhgia (2016)'!$A$3,"MA_HT","SKN","MA_QH","RPH")</f>
        <v>0</v>
      </c>
      <c r="N24" s="22">
        <f ca="1">+GETPIVOTDATA("XBG4",'binhgia (2016)'!$A$3,"MA_HT","SKN","MA_QH","RDD")</f>
        <v>0</v>
      </c>
      <c r="O24" s="22">
        <f ca="1">+GETPIVOTDATA("XBG4",'binhgia (2016)'!$A$3,"MA_HT","SKN","MA_QH","NTS")</f>
        <v>0</v>
      </c>
      <c r="P24" s="22">
        <f ca="1">+GETPIVOTDATA("XBG4",'binhgia (2016)'!$A$3,"MA_HT","SKN","MA_QH","LMU")</f>
        <v>0</v>
      </c>
      <c r="Q24" s="22">
        <f ca="1">+GETPIVOTDATA("XBG4",'binhgia (2016)'!$A$3,"MA_HT","SKN","MA_QH","NKH")</f>
        <v>0</v>
      </c>
      <c r="R24" s="42">
        <f ca="1">SUM(S24:V24,X24:AA24,AN24:BD24)</f>
        <v>0</v>
      </c>
      <c r="S24" s="22">
        <f ca="1">+GETPIVOTDATA("XBG4",'binhgia (2016)'!$A$3,"MA_HT","SKN","MA_QH","CQP")</f>
        <v>0</v>
      </c>
      <c r="T24" s="22">
        <f ca="1">+GETPIVOTDATA("XBG4",'binhgia (2016)'!$A$3,"MA_HT","SKN","MA_QH","CAN")</f>
        <v>0</v>
      </c>
      <c r="U24" s="22">
        <f ca="1">+GETPIVOTDATA("XBG4",'binhgia (2016)'!$A$3,"MA_HT","SKN","MA_QH","SKK")</f>
        <v>0</v>
      </c>
      <c r="V24" s="22">
        <f ca="1">+GETPIVOTDATA("XBG4",'binhgia (2016)'!$A$3,"MA_HT","SKN","MA_QH","SKT")</f>
        <v>0</v>
      </c>
      <c r="W24" s="43" t="e">
        <f ca="1">$D24-$BF24</f>
        <v>#REF!</v>
      </c>
      <c r="X24" s="22">
        <f ca="1">+GETPIVOTDATA("XBG4",'binhgia (2016)'!$A$3,"MA_HT","SKN","MA_QH","TMD")</f>
        <v>0</v>
      </c>
      <c r="Y24" s="22">
        <f ca="1">+GETPIVOTDATA("XBG4",'binhgia (2016)'!$A$3,"MA_HT","SKN","MA_QH","SKC")</f>
        <v>0</v>
      </c>
      <c r="Z24" s="22">
        <f ca="1">+GETPIVOTDATA("XBG4",'binhgia (2016)'!$A$3,"MA_HT","SKN","MA_QH","SKS")</f>
        <v>0</v>
      </c>
      <c r="AA24" s="52">
        <f ca="1" t="shared" si="12"/>
        <v>0</v>
      </c>
      <c r="AB24" s="22">
        <f ca="1">+GETPIVOTDATA("XBG4",'binhgia (2016)'!$A$3,"MA_HT","SKN","MA_QH","DGT")</f>
        <v>0</v>
      </c>
      <c r="AC24" s="22">
        <f ca="1">+GETPIVOTDATA("XBG4",'binhgia (2016)'!$A$3,"MA_HT","SKN","MA_QH","DTL")</f>
        <v>0</v>
      </c>
      <c r="AD24" s="22">
        <f ca="1">+GETPIVOTDATA("XBG4",'binhgia (2016)'!$A$3,"MA_HT","SKN","MA_QH","DNL")</f>
        <v>0</v>
      </c>
      <c r="AE24" s="22">
        <f ca="1">+GETPIVOTDATA("XBG4",'binhgia (2016)'!$A$3,"MA_HT","SKN","MA_QH","DBV")</f>
        <v>0</v>
      </c>
      <c r="AF24" s="22">
        <f ca="1">+GETPIVOTDATA("XBG4",'binhgia (2016)'!$A$3,"MA_HT","SKN","MA_QH","DVH")</f>
        <v>0</v>
      </c>
      <c r="AG24" s="22">
        <f ca="1">+GETPIVOTDATA("XBG4",'binhgia (2016)'!$A$3,"MA_HT","SKN","MA_QH","DYT")</f>
        <v>0</v>
      </c>
      <c r="AH24" s="22">
        <f ca="1">+GETPIVOTDATA("XBG4",'binhgia (2016)'!$A$3,"MA_HT","SKN","MA_QH","DGD")</f>
        <v>0</v>
      </c>
      <c r="AI24" s="22">
        <f ca="1">+GETPIVOTDATA("XBG4",'binhgia (2016)'!$A$3,"MA_HT","SKN","MA_QH","DTT")</f>
        <v>0</v>
      </c>
      <c r="AJ24" s="22">
        <f ca="1">+GETPIVOTDATA("XBG4",'binhgia (2016)'!$A$3,"MA_HT","SKN","MA_QH","NCK")</f>
        <v>0</v>
      </c>
      <c r="AK24" s="22">
        <f ca="1">+GETPIVOTDATA("XBG4",'binhgia (2016)'!$A$3,"MA_HT","SKN","MA_QH","DXH")</f>
        <v>0</v>
      </c>
      <c r="AL24" s="22">
        <f ca="1">+GETPIVOTDATA("XBG4",'binhgia (2016)'!$A$3,"MA_HT","SKN","MA_QH","DCH")</f>
        <v>0</v>
      </c>
      <c r="AM24" s="22">
        <f ca="1">+GETPIVOTDATA("XBG4",'binhgia (2016)'!$A$3,"MA_HT","SKN","MA_QH","DKG")</f>
        <v>0</v>
      </c>
      <c r="AN24" s="22">
        <f ca="1">+GETPIVOTDATA("XBG4",'binhgia (2016)'!$A$3,"MA_HT","SKN","MA_QH","DDT")</f>
        <v>0</v>
      </c>
      <c r="AO24" s="22">
        <f ca="1">+GETPIVOTDATA("XBG4",'binhgia (2016)'!$A$3,"MA_HT","SKN","MA_QH","DDL")</f>
        <v>0</v>
      </c>
      <c r="AP24" s="22">
        <f ca="1">+GETPIVOTDATA("XBG4",'binhgia (2016)'!$A$3,"MA_HT","SKN","MA_QH","DRA")</f>
        <v>0</v>
      </c>
      <c r="AQ24" s="22">
        <f ca="1">+GETPIVOTDATA("XBG4",'binhgia (2016)'!$A$3,"MA_HT","SKN","MA_QH","ONT")</f>
        <v>0</v>
      </c>
      <c r="AR24" s="22">
        <f ca="1">+GETPIVOTDATA("XBG4",'binhgia (2016)'!$A$3,"MA_HT","SKN","MA_QH","ODT")</f>
        <v>0</v>
      </c>
      <c r="AS24" s="22">
        <f ca="1">+GETPIVOTDATA("XBG4",'binhgia (2016)'!$A$3,"MA_HT","SKN","MA_QH","TSC")</f>
        <v>0</v>
      </c>
      <c r="AT24" s="22">
        <f ca="1">+GETPIVOTDATA("XBG4",'binhgia (2016)'!$A$3,"MA_HT","SKN","MA_QH","DTS")</f>
        <v>0</v>
      </c>
      <c r="AU24" s="22">
        <f ca="1">+GETPIVOTDATA("XBG4",'binhgia (2016)'!$A$3,"MA_HT","SKN","MA_QH","DNG")</f>
        <v>0</v>
      </c>
      <c r="AV24" s="22">
        <f ca="1">+GETPIVOTDATA("XBG4",'binhgia (2016)'!$A$3,"MA_HT","SKN","MA_QH","TON")</f>
        <v>0</v>
      </c>
      <c r="AW24" s="22">
        <f ca="1">+GETPIVOTDATA("XBG4",'binhgia (2016)'!$A$3,"MA_HT","SKN","MA_QH","NTD")</f>
        <v>0</v>
      </c>
      <c r="AX24" s="22">
        <f ca="1">+GETPIVOTDATA("XBG4",'binhgia (2016)'!$A$3,"MA_HT","SKN","MA_QH","SKX")</f>
        <v>0</v>
      </c>
      <c r="AY24" s="22">
        <f ca="1">+GETPIVOTDATA("XBG4",'binhgia (2016)'!$A$3,"MA_HT","SKN","MA_QH","DSH")</f>
        <v>0</v>
      </c>
      <c r="AZ24" s="22">
        <f ca="1">+GETPIVOTDATA("XBG4",'binhgia (2016)'!$A$3,"MA_HT","SKN","MA_QH","DKV")</f>
        <v>0</v>
      </c>
      <c r="BA24" s="89">
        <f ca="1">+GETPIVOTDATA("XBG4",'binhgia (2016)'!$A$3,"MA_HT","SKN","MA_QH","TIN")</f>
        <v>0</v>
      </c>
      <c r="BB24" s="50">
        <f ca="1">+GETPIVOTDATA("XBG4",'binhgia (2016)'!$A$3,"MA_HT","SKN","MA_QH","SON")</f>
        <v>0</v>
      </c>
      <c r="BC24" s="50">
        <f ca="1">+GETPIVOTDATA("XBG4",'binhgia (2016)'!$A$3,"MA_HT","SKN","MA_QH","MNC")</f>
        <v>0</v>
      </c>
      <c r="BD24" s="22">
        <f ca="1">+GETPIVOTDATA("XBG4",'binhgia (2016)'!$A$3,"MA_HT","SKN","MA_QH","PNK")</f>
        <v>0</v>
      </c>
      <c r="BE24" s="71">
        <f ca="1">+GETPIVOTDATA("XBG4",'binhgia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+GETPIVOTDATA("XBG4",'binhgia (2016)'!$A$3,"MA_HT","TMD","MA_QH","LUC")</f>
        <v>0</v>
      </c>
      <c r="H25" s="22">
        <f ca="1">+GETPIVOTDATA("XBG4",'binhgia (2016)'!$A$3,"MA_HT","TMD","MA_QH","LUK")</f>
        <v>0</v>
      </c>
      <c r="I25" s="22">
        <f ca="1">+GETPIVOTDATA("XBG4",'binhgia (2016)'!$A$3,"MA_HT","TMD","MA_QH","LUN")</f>
        <v>0</v>
      </c>
      <c r="J25" s="22">
        <f ca="1">+GETPIVOTDATA("XBG4",'binhgia (2016)'!$A$3,"MA_HT","TMD","MA_QH","HNK")</f>
        <v>0</v>
      </c>
      <c r="K25" s="22">
        <f ca="1">+GETPIVOTDATA("XBG4",'binhgia (2016)'!$A$3,"MA_HT","TMD","MA_QH","CLN")</f>
        <v>0</v>
      </c>
      <c r="L25" s="22">
        <f ca="1">+GETPIVOTDATA("XBG4",'binhgia (2016)'!$A$3,"MA_HT","TMD","MA_QH","RSX")</f>
        <v>0</v>
      </c>
      <c r="M25" s="22">
        <f ca="1">+GETPIVOTDATA("XBG4",'binhgia (2016)'!$A$3,"MA_HT","TMD","MA_QH","RPH")</f>
        <v>0</v>
      </c>
      <c r="N25" s="22">
        <f ca="1">+GETPIVOTDATA("XBG4",'binhgia (2016)'!$A$3,"MA_HT","TMD","MA_QH","RDD")</f>
        <v>0</v>
      </c>
      <c r="O25" s="22">
        <f ca="1">+GETPIVOTDATA("XBG4",'binhgia (2016)'!$A$3,"MA_HT","TMD","MA_QH","NTS")</f>
        <v>0</v>
      </c>
      <c r="P25" s="22">
        <f ca="1">+GETPIVOTDATA("XBG4",'binhgia (2016)'!$A$3,"MA_HT","TMD","MA_QH","LMU")</f>
        <v>0</v>
      </c>
      <c r="Q25" s="22">
        <f ca="1">+GETPIVOTDATA("XBG4",'binhgia (2016)'!$A$3,"MA_HT","TMD","MA_QH","NKH")</f>
        <v>0</v>
      </c>
      <c r="R25" s="42">
        <f ca="1">SUM(S25:W25,Y25:AA25,AN25:BD25)</f>
        <v>0</v>
      </c>
      <c r="S25" s="22">
        <f ca="1">+GETPIVOTDATA("XBG4",'binhgia (2016)'!$A$3,"MA_HT","TMD","MA_QH","CQP")</f>
        <v>0</v>
      </c>
      <c r="T25" s="22">
        <f ca="1">+GETPIVOTDATA("XBG4",'binhgia (2016)'!$A$3,"MA_HT","TMD","MA_QH","CAN")</f>
        <v>0</v>
      </c>
      <c r="U25" s="22">
        <f ca="1">+GETPIVOTDATA("XBG4",'binhgia (2016)'!$A$3,"MA_HT","TMD","MA_QH","SKK")</f>
        <v>0</v>
      </c>
      <c r="V25" s="22">
        <f ca="1">+GETPIVOTDATA("XBG4",'binhgia (2016)'!$A$3,"MA_HT","TMD","MA_QH","SKT")</f>
        <v>0</v>
      </c>
      <c r="W25" s="22">
        <f ca="1">+GETPIVOTDATA("XBG4",'binhgia (2016)'!$A$3,"MA_HT","TMD","MA_QH","SKN")</f>
        <v>0</v>
      </c>
      <c r="X25" s="43" t="e">
        <f ca="1">$D25-$BF25</f>
        <v>#REF!</v>
      </c>
      <c r="Y25" s="22">
        <f ca="1">+GETPIVOTDATA("XBG4",'binhgia (2016)'!$A$3,"MA_HT","TMD","MA_QH","SKC")</f>
        <v>0</v>
      </c>
      <c r="Z25" s="22">
        <f ca="1">+GETPIVOTDATA("XBG4",'binhgia (2016)'!$A$3,"MA_HT","TMD","MA_QH","SKS")</f>
        <v>0</v>
      </c>
      <c r="AA25" s="52">
        <f ca="1" t="shared" si="12"/>
        <v>0</v>
      </c>
      <c r="AB25" s="22">
        <f ca="1">+GETPIVOTDATA("XBG4",'binhgia (2016)'!$A$3,"MA_HT","TMD","MA_QH","DGT")</f>
        <v>0</v>
      </c>
      <c r="AC25" s="22">
        <f ca="1">+GETPIVOTDATA("XBG4",'binhgia (2016)'!$A$3,"MA_HT","TMD","MA_QH","DTL")</f>
        <v>0</v>
      </c>
      <c r="AD25" s="22">
        <f ca="1">+GETPIVOTDATA("XBG4",'binhgia (2016)'!$A$3,"MA_HT","TMD","MA_QH","DNL")</f>
        <v>0</v>
      </c>
      <c r="AE25" s="22">
        <f ca="1">+GETPIVOTDATA("XBG4",'binhgia (2016)'!$A$3,"MA_HT","TMD","MA_QH","DBV")</f>
        <v>0</v>
      </c>
      <c r="AF25" s="22">
        <f ca="1">+GETPIVOTDATA("XBG4",'binhgia (2016)'!$A$3,"MA_HT","TMD","MA_QH","DVH")</f>
        <v>0</v>
      </c>
      <c r="AG25" s="22">
        <f ca="1">+GETPIVOTDATA("XBG4",'binhgia (2016)'!$A$3,"MA_HT","TMD","MA_QH","DYT")</f>
        <v>0</v>
      </c>
      <c r="AH25" s="22">
        <f ca="1">+GETPIVOTDATA("XBG4",'binhgia (2016)'!$A$3,"MA_HT","TMD","MA_QH","DGD")</f>
        <v>0</v>
      </c>
      <c r="AI25" s="22">
        <f ca="1">+GETPIVOTDATA("XBG4",'binhgia (2016)'!$A$3,"MA_HT","TMD","MA_QH","DTT")</f>
        <v>0</v>
      </c>
      <c r="AJ25" s="22">
        <f ca="1">+GETPIVOTDATA("XBG4",'binhgia (2016)'!$A$3,"MA_HT","TMD","MA_QH","NCK")</f>
        <v>0</v>
      </c>
      <c r="AK25" s="22">
        <f ca="1">+GETPIVOTDATA("XBG4",'binhgia (2016)'!$A$3,"MA_HT","TMD","MA_QH","DXH")</f>
        <v>0</v>
      </c>
      <c r="AL25" s="22">
        <f ca="1">+GETPIVOTDATA("XBG4",'binhgia (2016)'!$A$3,"MA_HT","TMD","MA_QH","DCH")</f>
        <v>0</v>
      </c>
      <c r="AM25" s="22">
        <f ca="1">+GETPIVOTDATA("XBG4",'binhgia (2016)'!$A$3,"MA_HT","TMD","MA_QH","DKG")</f>
        <v>0</v>
      </c>
      <c r="AN25" s="22">
        <f ca="1">+GETPIVOTDATA("XBG4",'binhgia (2016)'!$A$3,"MA_HT","TMD","MA_QH","DDT")</f>
        <v>0</v>
      </c>
      <c r="AO25" s="22">
        <f ca="1">+GETPIVOTDATA("XBG4",'binhgia (2016)'!$A$3,"MA_HT","TMD","MA_QH","DDL")</f>
        <v>0</v>
      </c>
      <c r="AP25" s="22">
        <f ca="1">+GETPIVOTDATA("XBG4",'binhgia (2016)'!$A$3,"MA_HT","TMD","MA_QH","DRA")</f>
        <v>0</v>
      </c>
      <c r="AQ25" s="22">
        <f ca="1">+GETPIVOTDATA("XBG4",'binhgia (2016)'!$A$3,"MA_HT","TMD","MA_QH","ONT")</f>
        <v>0</v>
      </c>
      <c r="AR25" s="22">
        <f ca="1">+GETPIVOTDATA("XBG4",'binhgia (2016)'!$A$3,"MA_HT","TMD","MA_QH","ODT")</f>
        <v>0</v>
      </c>
      <c r="AS25" s="22">
        <f ca="1">+GETPIVOTDATA("XBG4",'binhgia (2016)'!$A$3,"MA_HT","TMD","MA_QH","TSC")</f>
        <v>0</v>
      </c>
      <c r="AT25" s="22">
        <f ca="1">+GETPIVOTDATA("XBG4",'binhgia (2016)'!$A$3,"MA_HT","TMD","MA_QH","DTS")</f>
        <v>0</v>
      </c>
      <c r="AU25" s="22">
        <f ca="1">+GETPIVOTDATA("XBG4",'binhgia (2016)'!$A$3,"MA_HT","TMD","MA_QH","DNG")</f>
        <v>0</v>
      </c>
      <c r="AV25" s="22">
        <f ca="1">+GETPIVOTDATA("XBG4",'binhgia (2016)'!$A$3,"MA_HT","TMD","MA_QH","TON")</f>
        <v>0</v>
      </c>
      <c r="AW25" s="22">
        <f ca="1">+GETPIVOTDATA("XBG4",'binhgia (2016)'!$A$3,"MA_HT","TMD","MA_QH","NTD")</f>
        <v>0</v>
      </c>
      <c r="AX25" s="22">
        <f ca="1">+GETPIVOTDATA("XBG4",'binhgia (2016)'!$A$3,"MA_HT","TMD","MA_QH","SKX")</f>
        <v>0</v>
      </c>
      <c r="AY25" s="22">
        <f ca="1">+GETPIVOTDATA("XBG4",'binhgia (2016)'!$A$3,"MA_HT","TMD","MA_QH","DSH")</f>
        <v>0</v>
      </c>
      <c r="AZ25" s="22">
        <f ca="1">+GETPIVOTDATA("XBG4",'binhgia (2016)'!$A$3,"MA_HT","TMD","MA_QH","DKV")</f>
        <v>0</v>
      </c>
      <c r="BA25" s="89">
        <f ca="1">+GETPIVOTDATA("XBG4",'binhgia (2016)'!$A$3,"MA_HT","TMD","MA_QH","TIN")</f>
        <v>0</v>
      </c>
      <c r="BB25" s="50">
        <f ca="1">+GETPIVOTDATA("XBG4",'binhgia (2016)'!$A$3,"MA_HT","TMD","MA_QH","SON")</f>
        <v>0</v>
      </c>
      <c r="BC25" s="50">
        <f ca="1">+GETPIVOTDATA("XBG4",'binhgia (2016)'!$A$3,"MA_HT","TMD","MA_QH","MNC")</f>
        <v>0</v>
      </c>
      <c r="BD25" s="22">
        <f ca="1">+GETPIVOTDATA("XBG4",'binhgia (2016)'!$A$3,"MA_HT","TMD","MA_QH","PNK")</f>
        <v>0</v>
      </c>
      <c r="BE25" s="71">
        <f ca="1">+GETPIVOTDATA("XBG4",'binhgia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+GETPIVOTDATA("XBG4",'binhgia (2016)'!$A$3,"MA_HT","SKC","MA_QH","LUC")</f>
        <v>0</v>
      </c>
      <c r="H26" s="22">
        <f ca="1">+GETPIVOTDATA("XBG4",'binhgia (2016)'!$A$3,"MA_HT","SKC","MA_QH","LUK")</f>
        <v>0</v>
      </c>
      <c r="I26" s="22">
        <f ca="1">+GETPIVOTDATA("XBG4",'binhgia (2016)'!$A$3,"MA_HT","SKC","MA_QH","LUN")</f>
        <v>0</v>
      </c>
      <c r="J26" s="22">
        <f ca="1">+GETPIVOTDATA("XBG4",'binhgia (2016)'!$A$3,"MA_HT","SKC","MA_QH","HNK")</f>
        <v>0</v>
      </c>
      <c r="K26" s="22">
        <f ca="1">+GETPIVOTDATA("XBG4",'binhgia (2016)'!$A$3,"MA_HT","SKC","MA_QH","CLN")</f>
        <v>0</v>
      </c>
      <c r="L26" s="22">
        <f ca="1">+GETPIVOTDATA("XBG4",'binhgia (2016)'!$A$3,"MA_HT","SKC","MA_QH","RSX")</f>
        <v>0</v>
      </c>
      <c r="M26" s="22">
        <f ca="1">+GETPIVOTDATA("XBG4",'binhgia (2016)'!$A$3,"MA_HT","SKC","MA_QH","RPH")</f>
        <v>0</v>
      </c>
      <c r="N26" s="22">
        <f ca="1">+GETPIVOTDATA("XBG4",'binhgia (2016)'!$A$3,"MA_HT","SKC","MA_QH","RDD")</f>
        <v>0</v>
      </c>
      <c r="O26" s="22">
        <f ca="1">+GETPIVOTDATA("XBG4",'binhgia (2016)'!$A$3,"MA_HT","SKC","MA_QH","NTS")</f>
        <v>0</v>
      </c>
      <c r="P26" s="22">
        <f ca="1">+GETPIVOTDATA("XBG4",'binhgia (2016)'!$A$3,"MA_HT","SKC","MA_QH","LMU")</f>
        <v>0</v>
      </c>
      <c r="Q26" s="22">
        <f ca="1">+GETPIVOTDATA("XBG4",'binhgia (2016)'!$A$3,"MA_HT","SKC","MA_QH","NKH")</f>
        <v>0</v>
      </c>
      <c r="R26" s="42">
        <f ca="1">SUM(S26:X26,Z26,AN26:BD26)</f>
        <v>0</v>
      </c>
      <c r="S26" s="22">
        <f ca="1">+GETPIVOTDATA("XBG4",'binhgia (2016)'!$A$3,"MA_HT","SKC","MA_QH","CQP")</f>
        <v>0</v>
      </c>
      <c r="T26" s="22">
        <f ca="1">+GETPIVOTDATA("XBG4",'binhgia (2016)'!$A$3,"MA_HT","SKC","MA_QH","CAN")</f>
        <v>0</v>
      </c>
      <c r="U26" s="22">
        <f ca="1">+GETPIVOTDATA("XBG4",'binhgia (2016)'!$A$3,"MA_HT","SKC","MA_QH","SKK")</f>
        <v>0</v>
      </c>
      <c r="V26" s="22">
        <f ca="1">+GETPIVOTDATA("XBG4",'binhgia (2016)'!$A$3,"MA_HT","SKC","MA_QH","SKT")</f>
        <v>0</v>
      </c>
      <c r="W26" s="22">
        <f ca="1">+GETPIVOTDATA("XBG4",'binhgia (2016)'!$A$3,"MA_HT","SKC","MA_QH","SKN")</f>
        <v>0</v>
      </c>
      <c r="X26" s="22">
        <f ca="1">+GETPIVOTDATA("XBG4",'binhgia (2016)'!$A$3,"MA_HT","SKC","MA_QH","TMD")</f>
        <v>0</v>
      </c>
      <c r="Y26" s="43" t="e">
        <f ca="1">$D26-$BF26</f>
        <v>#REF!</v>
      </c>
      <c r="Z26" s="22">
        <f ca="1">+GETPIVOTDATA("XBG4",'binhgia (2016)'!$A$3,"MA_HT","SKC","MA_QH","SKS")</f>
        <v>0</v>
      </c>
      <c r="AA26" s="52">
        <f ca="1" t="shared" si="12"/>
        <v>0</v>
      </c>
      <c r="AB26" s="22">
        <f ca="1">+GETPIVOTDATA("XBG4",'binhgia (2016)'!$A$3,"MA_HT","SKC","MA_QH","DGT")</f>
        <v>0</v>
      </c>
      <c r="AC26" s="22">
        <f ca="1">+GETPIVOTDATA("XBG4",'binhgia (2016)'!$A$3,"MA_HT","SKC","MA_QH","DTL")</f>
        <v>0</v>
      </c>
      <c r="AD26" s="22">
        <f ca="1">+GETPIVOTDATA("XBG4",'binhgia (2016)'!$A$3,"MA_HT","SKC","MA_QH","DNL")</f>
        <v>0</v>
      </c>
      <c r="AE26" s="22">
        <f ca="1">+GETPIVOTDATA("XBG4",'binhgia (2016)'!$A$3,"MA_HT","SKC","MA_QH","DBV")</f>
        <v>0</v>
      </c>
      <c r="AF26" s="22">
        <f ca="1">+GETPIVOTDATA("XBG4",'binhgia (2016)'!$A$3,"MA_HT","SKC","MA_QH","DVH")</f>
        <v>0</v>
      </c>
      <c r="AG26" s="22">
        <f ca="1">+GETPIVOTDATA("XBG4",'binhgia (2016)'!$A$3,"MA_HT","SKC","MA_QH","DYT")</f>
        <v>0</v>
      </c>
      <c r="AH26" s="22">
        <f ca="1">+GETPIVOTDATA("XBG4",'binhgia (2016)'!$A$3,"MA_HT","SKC","MA_QH","DGD")</f>
        <v>0</v>
      </c>
      <c r="AI26" s="22">
        <f ca="1">+GETPIVOTDATA("XBG4",'binhgia (2016)'!$A$3,"MA_HT","SKC","MA_QH","DTT")</f>
        <v>0</v>
      </c>
      <c r="AJ26" s="22">
        <f ca="1">+GETPIVOTDATA("XBG4",'binhgia (2016)'!$A$3,"MA_HT","SKC","MA_QH","NCK")</f>
        <v>0</v>
      </c>
      <c r="AK26" s="22">
        <f ca="1">+GETPIVOTDATA("XBG4",'binhgia (2016)'!$A$3,"MA_HT","SKC","MA_QH","DXH")</f>
        <v>0</v>
      </c>
      <c r="AL26" s="22">
        <f ca="1">+GETPIVOTDATA("XBG4",'binhgia (2016)'!$A$3,"MA_HT","SKC","MA_QH","DCH")</f>
        <v>0</v>
      </c>
      <c r="AM26" s="22">
        <f ca="1">+GETPIVOTDATA("XBG4",'binhgia (2016)'!$A$3,"MA_HT","SKC","MA_QH","DKG")</f>
        <v>0</v>
      </c>
      <c r="AN26" s="22">
        <f ca="1">+GETPIVOTDATA("XBG4",'binhgia (2016)'!$A$3,"MA_HT","SKC","MA_QH","DDT")</f>
        <v>0</v>
      </c>
      <c r="AO26" s="22">
        <f ca="1">+GETPIVOTDATA("XBG4",'binhgia (2016)'!$A$3,"MA_HT","SKC","MA_QH","DDL")</f>
        <v>0</v>
      </c>
      <c r="AP26" s="22">
        <f ca="1">+GETPIVOTDATA("XBG4",'binhgia (2016)'!$A$3,"MA_HT","SKC","MA_QH","DRA")</f>
        <v>0</v>
      </c>
      <c r="AQ26" s="22">
        <f ca="1">+GETPIVOTDATA("XBG4",'binhgia (2016)'!$A$3,"MA_HT","SKC","MA_QH","ONT")</f>
        <v>0</v>
      </c>
      <c r="AR26" s="22">
        <f ca="1">+GETPIVOTDATA("XBG4",'binhgia (2016)'!$A$3,"MA_HT","SKC","MA_QH","ODT")</f>
        <v>0</v>
      </c>
      <c r="AS26" s="22">
        <f ca="1">+GETPIVOTDATA("XBG4",'binhgia (2016)'!$A$3,"MA_HT","SKC","MA_QH","TSC")</f>
        <v>0</v>
      </c>
      <c r="AT26" s="22">
        <f ca="1">+GETPIVOTDATA("XBG4",'binhgia (2016)'!$A$3,"MA_HT","SKC","MA_QH","DTS")</f>
        <v>0</v>
      </c>
      <c r="AU26" s="22">
        <f ca="1">+GETPIVOTDATA("XBG4",'binhgia (2016)'!$A$3,"MA_HT","SKC","MA_QH","DNG")</f>
        <v>0</v>
      </c>
      <c r="AV26" s="22">
        <f ca="1">+GETPIVOTDATA("XBG4",'binhgia (2016)'!$A$3,"MA_HT","SKC","MA_QH","TON")</f>
        <v>0</v>
      </c>
      <c r="AW26" s="22">
        <f ca="1">+GETPIVOTDATA("XBG4",'binhgia (2016)'!$A$3,"MA_HT","SKC","MA_QH","NTD")</f>
        <v>0</v>
      </c>
      <c r="AX26" s="22">
        <f ca="1">+GETPIVOTDATA("XBG4",'binhgia (2016)'!$A$3,"MA_HT","SKC","MA_QH","SKX")</f>
        <v>0</v>
      </c>
      <c r="AY26" s="22">
        <f ca="1">+GETPIVOTDATA("XBG4",'binhgia (2016)'!$A$3,"MA_HT","SKC","MA_QH","DSH")</f>
        <v>0</v>
      </c>
      <c r="AZ26" s="22">
        <f ca="1">+GETPIVOTDATA("XBG4",'binhgia (2016)'!$A$3,"MA_HT","SKC","MA_QH","DKV")</f>
        <v>0</v>
      </c>
      <c r="BA26" s="89">
        <f ca="1">+GETPIVOTDATA("XBG4",'binhgia (2016)'!$A$3,"MA_HT","SKC","MA_QH","TIN")</f>
        <v>0</v>
      </c>
      <c r="BB26" s="50">
        <f ca="1">+GETPIVOTDATA("XBG4",'binhgia (2016)'!$A$3,"MA_HT","SKC","MA_QH","SON")</f>
        <v>0</v>
      </c>
      <c r="BC26" s="50">
        <f ca="1">+GETPIVOTDATA("XBG4",'binhgia (2016)'!$A$3,"MA_HT","SKC","MA_QH","MNC")</f>
        <v>0</v>
      </c>
      <c r="BD26" s="22">
        <f ca="1">+GETPIVOTDATA("XBG4",'binhgia (2016)'!$A$3,"MA_HT","SKC","MA_QH","PNK")</f>
        <v>0</v>
      </c>
      <c r="BE26" s="71">
        <f ca="1">+GETPIVOTDATA("XBG4",'binhgia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+GETPIVOTDATA("XBG4",'binhgia (2016)'!$A$3,"MA_HT","SKS","MA_QH","LUC")</f>
        <v>0</v>
      </c>
      <c r="H27" s="22">
        <f ca="1">+GETPIVOTDATA("XBG4",'binhgia (2016)'!$A$3,"MA_HT","SKS","MA_QH","LUK")</f>
        <v>0</v>
      </c>
      <c r="I27" s="22">
        <f ca="1">+GETPIVOTDATA("XBG4",'binhgia (2016)'!$A$3,"MA_HT","SKS","MA_QH","LUN")</f>
        <v>0</v>
      </c>
      <c r="J27" s="22">
        <f ca="1">+GETPIVOTDATA("XBG4",'binhgia (2016)'!$A$3,"MA_HT","SKS","MA_QH","HNK")</f>
        <v>0</v>
      </c>
      <c r="K27" s="22">
        <f ca="1">+GETPIVOTDATA("XBG4",'binhgia (2016)'!$A$3,"MA_HT","SKS","MA_QH","CLN")</f>
        <v>0</v>
      </c>
      <c r="L27" s="22">
        <f ca="1">+GETPIVOTDATA("XBG4",'binhgia (2016)'!$A$3,"MA_HT","SKS","MA_QH","RSX")</f>
        <v>0</v>
      </c>
      <c r="M27" s="22">
        <f ca="1">+GETPIVOTDATA("XBG4",'binhgia (2016)'!$A$3,"MA_HT","SKS","MA_QH","RPH")</f>
        <v>0</v>
      </c>
      <c r="N27" s="22">
        <f ca="1">+GETPIVOTDATA("XBG4",'binhgia (2016)'!$A$3,"MA_HT","SKS","MA_QH","RDD")</f>
        <v>0</v>
      </c>
      <c r="O27" s="22">
        <f ca="1">+GETPIVOTDATA("XBG4",'binhgia (2016)'!$A$3,"MA_HT","SKS","MA_QH","NTS")</f>
        <v>0</v>
      </c>
      <c r="P27" s="22">
        <f ca="1">+GETPIVOTDATA("XBG4",'binhgia (2016)'!$A$3,"MA_HT","SKS","MA_QH","LMU")</f>
        <v>0</v>
      </c>
      <c r="Q27" s="22">
        <f ca="1">+GETPIVOTDATA("XBG4",'binhgia (2016)'!$A$3,"MA_HT","SKS","MA_QH","NKH")</f>
        <v>0</v>
      </c>
      <c r="R27" s="42">
        <f ca="1">SUM(S27:Y27,AA27,AN27:BD27)</f>
        <v>0</v>
      </c>
      <c r="S27" s="22">
        <f ca="1">+GETPIVOTDATA("XBG4",'binhgia (2016)'!$A$3,"MA_HT","SKS","MA_QH","CQP")</f>
        <v>0</v>
      </c>
      <c r="T27" s="22">
        <f ca="1">+GETPIVOTDATA("XBG4",'binhgia (2016)'!$A$3,"MA_HT","SKS","MA_QH","CAN")</f>
        <v>0</v>
      </c>
      <c r="U27" s="22">
        <f ca="1">+GETPIVOTDATA("XBG4",'binhgia (2016)'!$A$3,"MA_HT","SKS","MA_QH","SKK")</f>
        <v>0</v>
      </c>
      <c r="V27" s="22">
        <f ca="1">+GETPIVOTDATA("XBG4",'binhgia (2016)'!$A$3,"MA_HT","SKS","MA_QH","SKT")</f>
        <v>0</v>
      </c>
      <c r="W27" s="22">
        <f ca="1">+GETPIVOTDATA("XBG4",'binhgia (2016)'!$A$3,"MA_HT","SKS","MA_QH","SKN")</f>
        <v>0</v>
      </c>
      <c r="X27" s="22">
        <f ca="1">+GETPIVOTDATA("XBG4",'binhgia (2016)'!$A$3,"MA_HT","SKS","MA_QH","TMD")</f>
        <v>0</v>
      </c>
      <c r="Y27" s="22">
        <f ca="1">+GETPIVOTDATA("XBG4",'binhgia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+GETPIVOTDATA("XBG4",'binhgia (2016)'!$A$3,"MA_HT","SKS","MA_QH","DGT")</f>
        <v>0</v>
      </c>
      <c r="AC27" s="22">
        <f ca="1">+GETPIVOTDATA("XBG4",'binhgia (2016)'!$A$3,"MA_HT","SKS","MA_QH","DTL")</f>
        <v>0</v>
      </c>
      <c r="AD27" s="22">
        <f ca="1">+GETPIVOTDATA("XBG4",'binhgia (2016)'!$A$3,"MA_HT","SKS","MA_QH","DNL")</f>
        <v>0</v>
      </c>
      <c r="AE27" s="22">
        <f ca="1">+GETPIVOTDATA("XBG4",'binhgia (2016)'!$A$3,"MA_HT","SKS","MA_QH","DBV")</f>
        <v>0</v>
      </c>
      <c r="AF27" s="22">
        <f ca="1">+GETPIVOTDATA("XBG4",'binhgia (2016)'!$A$3,"MA_HT","SKS","MA_QH","DVH")</f>
        <v>0</v>
      </c>
      <c r="AG27" s="22">
        <f ca="1">+GETPIVOTDATA("XBG4",'binhgia (2016)'!$A$3,"MA_HT","SKS","MA_QH","DYT")</f>
        <v>0</v>
      </c>
      <c r="AH27" s="22">
        <f ca="1">+GETPIVOTDATA("XBG4",'binhgia (2016)'!$A$3,"MA_HT","SKS","MA_QH","DGD")</f>
        <v>0</v>
      </c>
      <c r="AI27" s="22">
        <f ca="1">+GETPIVOTDATA("XBG4",'binhgia (2016)'!$A$3,"MA_HT","SKS","MA_QH","DTT")</f>
        <v>0</v>
      </c>
      <c r="AJ27" s="22">
        <f ca="1">+GETPIVOTDATA("XBG4",'binhgia (2016)'!$A$3,"MA_HT","SKS","MA_QH","NCK")</f>
        <v>0</v>
      </c>
      <c r="AK27" s="22">
        <f ca="1">+GETPIVOTDATA("XBG4",'binhgia (2016)'!$A$3,"MA_HT","SKS","MA_QH","DXH")</f>
        <v>0</v>
      </c>
      <c r="AL27" s="22">
        <f ca="1">+GETPIVOTDATA("XBG4",'binhgia (2016)'!$A$3,"MA_HT","SKS","MA_QH","DCH")</f>
        <v>0</v>
      </c>
      <c r="AM27" s="22">
        <f ca="1">+GETPIVOTDATA("XBG4",'binhgia (2016)'!$A$3,"MA_HT","SKS","MA_QH","DKG")</f>
        <v>0</v>
      </c>
      <c r="AN27" s="22">
        <f ca="1">+GETPIVOTDATA("XBG4",'binhgia (2016)'!$A$3,"MA_HT","SKS","MA_QH","DDT")</f>
        <v>0</v>
      </c>
      <c r="AO27" s="22">
        <f ca="1">+GETPIVOTDATA("XBG4",'binhgia (2016)'!$A$3,"MA_HT","SKS","MA_QH","DDL")</f>
        <v>0</v>
      </c>
      <c r="AP27" s="22">
        <f ca="1">+GETPIVOTDATA("XBG4",'binhgia (2016)'!$A$3,"MA_HT","SKS","MA_QH","DRA")</f>
        <v>0</v>
      </c>
      <c r="AQ27" s="22">
        <f ca="1">+GETPIVOTDATA("XBG4",'binhgia (2016)'!$A$3,"MA_HT","SKS","MA_QH","ONT")</f>
        <v>0</v>
      </c>
      <c r="AR27" s="22">
        <f ca="1">+GETPIVOTDATA("XBG4",'binhgia (2016)'!$A$3,"MA_HT","SKS","MA_QH","ODT")</f>
        <v>0</v>
      </c>
      <c r="AS27" s="22">
        <f ca="1">+GETPIVOTDATA("XBG4",'binhgia (2016)'!$A$3,"MA_HT","SKS","MA_QH","TSC")</f>
        <v>0</v>
      </c>
      <c r="AT27" s="22">
        <f ca="1">+GETPIVOTDATA("XBG4",'binhgia (2016)'!$A$3,"MA_HT","SKS","MA_QH","DTS")</f>
        <v>0</v>
      </c>
      <c r="AU27" s="22">
        <f ca="1">+GETPIVOTDATA("XBG4",'binhgia (2016)'!$A$3,"MA_HT","SKS","MA_QH","DNG")</f>
        <v>0</v>
      </c>
      <c r="AV27" s="22">
        <f ca="1">+GETPIVOTDATA("XBG4",'binhgia (2016)'!$A$3,"MA_HT","SKS","MA_QH","TON")</f>
        <v>0</v>
      </c>
      <c r="AW27" s="22">
        <f ca="1">+GETPIVOTDATA("XBG4",'binhgia (2016)'!$A$3,"MA_HT","SKS","MA_QH","NTD")</f>
        <v>0</v>
      </c>
      <c r="AX27" s="22">
        <f ca="1">+GETPIVOTDATA("XBG4",'binhgia (2016)'!$A$3,"MA_HT","SKS","MA_QH","SKX")</f>
        <v>0</v>
      </c>
      <c r="AY27" s="22">
        <f ca="1">+GETPIVOTDATA("XBG4",'binhgia (2016)'!$A$3,"MA_HT","SKS","MA_QH","DSH")</f>
        <v>0</v>
      </c>
      <c r="AZ27" s="22">
        <f ca="1">+GETPIVOTDATA("XBG4",'binhgia (2016)'!$A$3,"MA_HT","SKS","MA_QH","DKV")</f>
        <v>0</v>
      </c>
      <c r="BA27" s="89">
        <f ca="1">+GETPIVOTDATA("XBG4",'binhgia (2016)'!$A$3,"MA_HT","SKS","MA_QH","TIN")</f>
        <v>0</v>
      </c>
      <c r="BB27" s="50">
        <f ca="1">+GETPIVOTDATA("XBG4",'binhgia (2016)'!$A$3,"MA_HT","SKS","MA_QH","SON")</f>
        <v>0</v>
      </c>
      <c r="BC27" s="50">
        <f ca="1">+GETPIVOTDATA("XBG4",'binhgia (2016)'!$A$3,"MA_HT","SKS","MA_QH","MNC")</f>
        <v>0</v>
      </c>
      <c r="BD27" s="22">
        <f ca="1">+GETPIVOTDATA("XBG4",'binhgia (2016)'!$A$3,"MA_HT","SKS","MA_QH","PNK")</f>
        <v>0</v>
      </c>
      <c r="BE27" s="71">
        <f ca="1">+GETPIVOTDATA("XBG4",'binhgia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+GETPIVOTDATA("XBG4",'binhgia (2016)'!$A$3,"MA_HT","DGT","MA_QH","LUC")</f>
        <v>0</v>
      </c>
      <c r="H29" s="50">
        <f ca="1">+GETPIVOTDATA("XBG4",'binhgia (2016)'!$A$3,"MA_HT","DGT","MA_QH","LUK")</f>
        <v>0</v>
      </c>
      <c r="I29" s="50">
        <f ca="1">+GETPIVOTDATA("XBG4",'binhgia (2016)'!$A$3,"MA_HT","DGT","MA_QH","LUN")</f>
        <v>0</v>
      </c>
      <c r="J29" s="50">
        <f ca="1">+GETPIVOTDATA("XBG4",'binhgia (2016)'!$A$3,"MA_HT","DGT","MA_QH","HNK")</f>
        <v>0</v>
      </c>
      <c r="K29" s="50">
        <f ca="1">+GETPIVOTDATA("XBG4",'binhgia (2016)'!$A$3,"MA_HT","DGT","MA_QH","CLN")</f>
        <v>0</v>
      </c>
      <c r="L29" s="50">
        <f ca="1">+GETPIVOTDATA("XBG4",'binhgia (2016)'!$A$3,"MA_HT","DGT","MA_QH","RSX")</f>
        <v>0</v>
      </c>
      <c r="M29" s="50">
        <f ca="1">+GETPIVOTDATA("XBG4",'binhgia (2016)'!$A$3,"MA_HT","DGT","MA_QH","RPH")</f>
        <v>0</v>
      </c>
      <c r="N29" s="50">
        <f ca="1">+GETPIVOTDATA("XBG4",'binhgia (2016)'!$A$3,"MA_HT","DGT","MA_QH","RDD")</f>
        <v>0</v>
      </c>
      <c r="O29" s="50">
        <f ca="1">+GETPIVOTDATA("XBG4",'binhgia (2016)'!$A$3,"MA_HT","DGT","MA_QH","NTS")</f>
        <v>0</v>
      </c>
      <c r="P29" s="50">
        <f ca="1">+GETPIVOTDATA("XBG4",'binhgia (2016)'!$A$3,"MA_HT","DGT","MA_QH","LMU")</f>
        <v>0</v>
      </c>
      <c r="Q29" s="50">
        <f ca="1">+GETPIVOTDATA("XBG4",'binhgia (2016)'!$A$3,"MA_HT","DGT","MA_QH","NKH")</f>
        <v>0</v>
      </c>
      <c r="R29" s="48">
        <f ca="1">SUM(S29:AA29,AN29:BD29)</f>
        <v>0</v>
      </c>
      <c r="S29" s="50">
        <f ca="1">+GETPIVOTDATA("XBG4",'binhgia (2016)'!$A$3,"MA_HT","DGT","MA_QH","CQP")</f>
        <v>0</v>
      </c>
      <c r="T29" s="50">
        <f ca="1">+GETPIVOTDATA("XBG4",'binhgia (2016)'!$A$3,"MA_HT","DGT","MA_QH","CAN")</f>
        <v>0</v>
      </c>
      <c r="U29" s="50">
        <f ca="1">+GETPIVOTDATA("XBG4",'binhgia (2016)'!$A$3,"MA_HT","DGT","MA_QH","SKK")</f>
        <v>0</v>
      </c>
      <c r="V29" s="50">
        <f ca="1">+GETPIVOTDATA("XBG4",'binhgia (2016)'!$A$3,"MA_HT","DGT","MA_QH","SKT")</f>
        <v>0</v>
      </c>
      <c r="W29" s="50">
        <f ca="1">+GETPIVOTDATA("XBG4",'binhgia (2016)'!$A$3,"MA_HT","DGT","MA_QH","SKN")</f>
        <v>0</v>
      </c>
      <c r="X29" s="50">
        <f ca="1">+GETPIVOTDATA("XBG4",'binhgia (2016)'!$A$3,"MA_HT","DGT","MA_QH","TMD")</f>
        <v>0</v>
      </c>
      <c r="Y29" s="50">
        <f ca="1">+GETPIVOTDATA("XBG4",'binhgia (2016)'!$A$3,"MA_HT","DGT","MA_QH","SKC")</f>
        <v>0</v>
      </c>
      <c r="Z29" s="50">
        <f ca="1">+GETPIVOTDATA("XBG4",'binhgia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+GETPIVOTDATA("XBG4",'binhgia (2016)'!$A$3,"MA_HT","DGT","MA_QH","DTL")</f>
        <v>0</v>
      </c>
      <c r="AD29" s="50">
        <f ca="1">+GETPIVOTDATA("XBG4",'binhgia (2016)'!$A$3,"MA_HT","DGT","MA_QH","DNL")</f>
        <v>0</v>
      </c>
      <c r="AE29" s="50">
        <f ca="1">+GETPIVOTDATA("XBG4",'binhgia (2016)'!$A$3,"MA_HT","DGT","MA_QH","DBV")</f>
        <v>0</v>
      </c>
      <c r="AF29" s="50">
        <f ca="1">+GETPIVOTDATA("XBG4",'binhgia (2016)'!$A$3,"MA_HT","DGT","MA_QH","DVH")</f>
        <v>0</v>
      </c>
      <c r="AG29" s="50">
        <f ca="1">+GETPIVOTDATA("XBG4",'binhgia (2016)'!$A$3,"MA_HT","DGT","MA_QH","DYT")</f>
        <v>0</v>
      </c>
      <c r="AH29" s="50">
        <f ca="1">+GETPIVOTDATA("XBG4",'binhgia (2016)'!$A$3,"MA_HT","DGT","MA_QH","DGD")</f>
        <v>0</v>
      </c>
      <c r="AI29" s="50">
        <f ca="1">+GETPIVOTDATA("XBG4",'binhgia (2016)'!$A$3,"MA_HT","DGT","MA_QH","DTT")</f>
        <v>0</v>
      </c>
      <c r="AJ29" s="50">
        <f ca="1">+GETPIVOTDATA("XBG4",'binhgia (2016)'!$A$3,"MA_HT","DGT","MA_QH","NCK")</f>
        <v>0</v>
      </c>
      <c r="AK29" s="50">
        <f ca="1">+GETPIVOTDATA("XBG4",'binhgia (2016)'!$A$3,"MA_HT","DGT","MA_QH","DXH")</f>
        <v>0</v>
      </c>
      <c r="AL29" s="50">
        <f ca="1">+GETPIVOTDATA("XBG4",'binhgia (2016)'!$A$3,"MA_HT","DGT","MA_QH","DCH")</f>
        <v>0</v>
      </c>
      <c r="AM29" s="50">
        <f ca="1">+GETPIVOTDATA("XBG4",'binhgia (2016)'!$A$3,"MA_HT","DGT","MA_QH","DKG")</f>
        <v>0</v>
      </c>
      <c r="AN29" s="50">
        <f ca="1">+GETPIVOTDATA("XBG4",'binhgia (2016)'!$A$3,"MA_HT","DGT","MA_QH","DDT")</f>
        <v>0</v>
      </c>
      <c r="AO29" s="50">
        <f ca="1">+GETPIVOTDATA("XBG4",'binhgia (2016)'!$A$3,"MA_HT","DGT","MA_QH","DDL")</f>
        <v>0</v>
      </c>
      <c r="AP29" s="50">
        <f ca="1">+GETPIVOTDATA("XBG4",'binhgia (2016)'!$A$3,"MA_HT","DGT","MA_QH","DRA")</f>
        <v>0</v>
      </c>
      <c r="AQ29" s="50">
        <f ca="1">+GETPIVOTDATA("XBG4",'binhgia (2016)'!$A$3,"MA_HT","DGT","MA_QH","ONT")</f>
        <v>0</v>
      </c>
      <c r="AR29" s="50">
        <f ca="1">+GETPIVOTDATA("XBG4",'binhgia (2016)'!$A$3,"MA_HT","DGT","MA_QH","ODT")</f>
        <v>0</v>
      </c>
      <c r="AS29" s="50">
        <f ca="1">+GETPIVOTDATA("XBG4",'binhgia (2016)'!$A$3,"MA_HT","DGT","MA_QH","TSC")</f>
        <v>0</v>
      </c>
      <c r="AT29" s="50">
        <f ca="1">+GETPIVOTDATA("XBG4",'binhgia (2016)'!$A$3,"MA_HT","DGT","MA_QH","DTS")</f>
        <v>0</v>
      </c>
      <c r="AU29" s="50">
        <f ca="1">+GETPIVOTDATA("XBG4",'binhgia (2016)'!$A$3,"MA_HT","DGT","MA_QH","DNG")</f>
        <v>0</v>
      </c>
      <c r="AV29" s="50">
        <f ca="1">+GETPIVOTDATA("XBG4",'binhgia (2016)'!$A$3,"MA_HT","DGT","MA_QH","TON")</f>
        <v>0</v>
      </c>
      <c r="AW29" s="50">
        <f ca="1">+GETPIVOTDATA("XBG4",'binhgia (2016)'!$A$3,"MA_HT","DGT","MA_QH","NTD")</f>
        <v>0</v>
      </c>
      <c r="AX29" s="50">
        <f ca="1">+GETPIVOTDATA("XBG4",'binhgia (2016)'!$A$3,"MA_HT","DGT","MA_QH","SKX")</f>
        <v>0</v>
      </c>
      <c r="AY29" s="50">
        <f ca="1">+GETPIVOTDATA("XBG4",'binhgia (2016)'!$A$3,"MA_HT","DGT","MA_QH","DSH")</f>
        <v>0</v>
      </c>
      <c r="AZ29" s="50">
        <f ca="1">+GETPIVOTDATA("XBG4",'binhgia (2016)'!$A$3,"MA_HT","DGT","MA_QH","DKV")</f>
        <v>0</v>
      </c>
      <c r="BA29" s="88">
        <f ca="1">+GETPIVOTDATA("XBG4",'binhgia (2016)'!$A$3,"MA_HT","DGT","MA_QH","TIN")</f>
        <v>0</v>
      </c>
      <c r="BB29" s="50">
        <f ca="1">+GETPIVOTDATA("XBG4",'binhgia (2016)'!$A$3,"MA_HT","DGT","MA_QH","SON")</f>
        <v>0</v>
      </c>
      <c r="BC29" s="50">
        <f ca="1">+GETPIVOTDATA("XBG4",'binhgia (2016)'!$A$3,"MA_HT","DGT","MA_QH","MNC")</f>
        <v>0</v>
      </c>
      <c r="BD29" s="50">
        <f ca="1">+GETPIVOTDATA("XBG4",'binhgia (2016)'!$A$3,"MA_HT","DGT","MA_QH","PNK")</f>
        <v>0</v>
      </c>
      <c r="BE29" s="80">
        <f ca="1">+GETPIVOTDATA("XBG4",'binhgia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+GETPIVOTDATA("XBG4",'binhgia (2016)'!$A$3,"MA_HT","DTL","MA_QH","LUC")</f>
        <v>0</v>
      </c>
      <c r="H30" s="50">
        <f ca="1">+GETPIVOTDATA("XBG4",'binhgia (2016)'!$A$3,"MA_HT","DTL","MA_QH","LUK")</f>
        <v>0</v>
      </c>
      <c r="I30" s="50">
        <f ca="1">+GETPIVOTDATA("XBG4",'binhgia (2016)'!$A$3,"MA_HT","DTL","MA_QH","LUN")</f>
        <v>0</v>
      </c>
      <c r="J30" s="50">
        <f ca="1">+GETPIVOTDATA("XBG4",'binhgia (2016)'!$A$3,"MA_HT","DTL","MA_QH","HNK")</f>
        <v>0</v>
      </c>
      <c r="K30" s="50">
        <f ca="1">+GETPIVOTDATA("XBG4",'binhgia (2016)'!$A$3,"MA_HT","DTL","MA_QH","CLN")</f>
        <v>0</v>
      </c>
      <c r="L30" s="50">
        <f ca="1">+GETPIVOTDATA("XBG4",'binhgia (2016)'!$A$3,"MA_HT","DTL","MA_QH","RSX")</f>
        <v>0</v>
      </c>
      <c r="M30" s="50">
        <f ca="1">+GETPIVOTDATA("XBG4",'binhgia (2016)'!$A$3,"MA_HT","DTL","MA_QH","RPH")</f>
        <v>0</v>
      </c>
      <c r="N30" s="50">
        <f ca="1">+GETPIVOTDATA("XBG4",'binhgia (2016)'!$A$3,"MA_HT","DTL","MA_QH","RDD")</f>
        <v>0</v>
      </c>
      <c r="O30" s="50">
        <f ca="1">+GETPIVOTDATA("XBG4",'binhgia (2016)'!$A$3,"MA_HT","DTL","MA_QH","NTS")</f>
        <v>0</v>
      </c>
      <c r="P30" s="50">
        <f ca="1">+GETPIVOTDATA("XBG4",'binhgia (2016)'!$A$3,"MA_HT","DTL","MA_QH","LMU")</f>
        <v>0</v>
      </c>
      <c r="Q30" s="50">
        <f ca="1">+GETPIVOTDATA("XBG4",'binhgia (2016)'!$A$3,"MA_HT","DTL","MA_QH","NKH")</f>
        <v>0</v>
      </c>
      <c r="R30" s="48">
        <f ca="1" t="shared" ref="R30:R40" si="20">SUM(S30:AA30,AN30:BD30)</f>
        <v>0</v>
      </c>
      <c r="S30" s="50">
        <f ca="1">+GETPIVOTDATA("XBG4",'binhgia (2016)'!$A$3,"MA_HT","DTL","MA_QH","CQP")</f>
        <v>0</v>
      </c>
      <c r="T30" s="50">
        <f ca="1">+GETPIVOTDATA("XBG4",'binhgia (2016)'!$A$3,"MA_HT","DTL","MA_QH","CAN")</f>
        <v>0</v>
      </c>
      <c r="U30" s="50">
        <f ca="1">+GETPIVOTDATA("XBG4",'binhgia (2016)'!$A$3,"MA_HT","DTL","MA_QH","SKK")</f>
        <v>0</v>
      </c>
      <c r="V30" s="50">
        <f ca="1">+GETPIVOTDATA("XBG4",'binhgia (2016)'!$A$3,"MA_HT","DTL","MA_QH","SKT")</f>
        <v>0</v>
      </c>
      <c r="W30" s="50">
        <f ca="1">+GETPIVOTDATA("XBG4",'binhgia (2016)'!$A$3,"MA_HT","DTL","MA_QH","SKN")</f>
        <v>0</v>
      </c>
      <c r="X30" s="50">
        <f ca="1">+GETPIVOTDATA("XBG4",'binhgia (2016)'!$A$3,"MA_HT","DTL","MA_QH","TMD")</f>
        <v>0</v>
      </c>
      <c r="Y30" s="50">
        <f ca="1">+GETPIVOTDATA("XBG4",'binhgia (2016)'!$A$3,"MA_HT","DTL","MA_QH","SKC")</f>
        <v>0</v>
      </c>
      <c r="Z30" s="50">
        <f ca="1">+GETPIVOTDATA("XBG4",'binhgia (2016)'!$A$3,"MA_HT","DTL","MA_QH","SKS")</f>
        <v>0</v>
      </c>
      <c r="AA30" s="52">
        <f ca="1">+SUM(AB30,AD30:AM30)</f>
        <v>0</v>
      </c>
      <c r="AB30" s="50">
        <f ca="1">+GETPIVOTDATA("XBG4",'binhgia (2016)'!$A$3,"MA_HT","DTL","MA_QH","DGT")</f>
        <v>0</v>
      </c>
      <c r="AC30" s="49" t="e">
        <f ca="1">$D30-$BF30</f>
        <v>#REF!</v>
      </c>
      <c r="AD30" s="50">
        <f ca="1">+GETPIVOTDATA("XBG4",'binhgia (2016)'!$A$3,"MA_HT","DTL","MA_QH","DNL")</f>
        <v>0</v>
      </c>
      <c r="AE30" s="50">
        <f ca="1">+GETPIVOTDATA("XBG4",'binhgia (2016)'!$A$3,"MA_HT","DTL","MA_QH","DBV")</f>
        <v>0</v>
      </c>
      <c r="AF30" s="50">
        <f ca="1">+GETPIVOTDATA("XBG4",'binhgia (2016)'!$A$3,"MA_HT","DTL","MA_QH","DVH")</f>
        <v>0</v>
      </c>
      <c r="AG30" s="50">
        <f ca="1">+GETPIVOTDATA("XBG4",'binhgia (2016)'!$A$3,"MA_HT","DTL","MA_QH","DYT")</f>
        <v>0</v>
      </c>
      <c r="AH30" s="50">
        <f ca="1">+GETPIVOTDATA("XBG4",'binhgia (2016)'!$A$3,"MA_HT","DTL","MA_QH","DGD")</f>
        <v>0</v>
      </c>
      <c r="AI30" s="50">
        <f ca="1">+GETPIVOTDATA("XBG4",'binhgia (2016)'!$A$3,"MA_HT","DTL","MA_QH","DTT")</f>
        <v>0</v>
      </c>
      <c r="AJ30" s="50">
        <f ca="1">+GETPIVOTDATA("XBG4",'binhgia (2016)'!$A$3,"MA_HT","DTL","MA_QH","NCK")</f>
        <v>0</v>
      </c>
      <c r="AK30" s="50">
        <f ca="1">+GETPIVOTDATA("XBG4",'binhgia (2016)'!$A$3,"MA_HT","DTL","MA_QH","DXH")</f>
        <v>0</v>
      </c>
      <c r="AL30" s="50">
        <f ca="1">+GETPIVOTDATA("XBG4",'binhgia (2016)'!$A$3,"MA_HT","DTL","MA_QH","DCH")</f>
        <v>0</v>
      </c>
      <c r="AM30" s="50">
        <f ca="1">+GETPIVOTDATA("XBG4",'binhgia (2016)'!$A$3,"MA_HT","DTL","MA_QH","DKG")</f>
        <v>0</v>
      </c>
      <c r="AN30" s="50">
        <f ca="1">+GETPIVOTDATA("XBG4",'binhgia (2016)'!$A$3,"MA_HT","DTL","MA_QH","DDT")</f>
        <v>0</v>
      </c>
      <c r="AO30" s="50">
        <f ca="1">+GETPIVOTDATA("XBG4",'binhgia (2016)'!$A$3,"MA_HT","DTL","MA_QH","DDL")</f>
        <v>0</v>
      </c>
      <c r="AP30" s="50">
        <f ca="1">+GETPIVOTDATA("XBG4",'binhgia (2016)'!$A$3,"MA_HT","DTL","MA_QH","DRA")</f>
        <v>0</v>
      </c>
      <c r="AQ30" s="50">
        <f ca="1">+GETPIVOTDATA("XBG4",'binhgia (2016)'!$A$3,"MA_HT","DTL","MA_QH","ONT")</f>
        <v>0</v>
      </c>
      <c r="AR30" s="50">
        <f ca="1">+GETPIVOTDATA("XBG4",'binhgia (2016)'!$A$3,"MA_HT","DTL","MA_QH","ODT")</f>
        <v>0</v>
      </c>
      <c r="AS30" s="50">
        <f ca="1">+GETPIVOTDATA("XBG4",'binhgia (2016)'!$A$3,"MA_HT","DTL","MA_QH","TSC")</f>
        <v>0</v>
      </c>
      <c r="AT30" s="50">
        <f ca="1">+GETPIVOTDATA("XBG4",'binhgia (2016)'!$A$3,"MA_HT","DTL","MA_QH","DTS")</f>
        <v>0</v>
      </c>
      <c r="AU30" s="50">
        <f ca="1">+GETPIVOTDATA("XBG4",'binhgia (2016)'!$A$3,"MA_HT","DTL","MA_QH","DNG")</f>
        <v>0</v>
      </c>
      <c r="AV30" s="50">
        <f ca="1">+GETPIVOTDATA("XBG4",'binhgia (2016)'!$A$3,"MA_HT","DTL","MA_QH","TON")</f>
        <v>0</v>
      </c>
      <c r="AW30" s="50">
        <f ca="1">+GETPIVOTDATA("XBG4",'binhgia (2016)'!$A$3,"MA_HT","DTL","MA_QH","NTD")</f>
        <v>0</v>
      </c>
      <c r="AX30" s="50">
        <f ca="1">+GETPIVOTDATA("XBG4",'binhgia (2016)'!$A$3,"MA_HT","DTL","MA_QH","SKX")</f>
        <v>0</v>
      </c>
      <c r="AY30" s="50">
        <f ca="1">+GETPIVOTDATA("XBG4",'binhgia (2016)'!$A$3,"MA_HT","DTL","MA_QH","DSH")</f>
        <v>0</v>
      </c>
      <c r="AZ30" s="50">
        <f ca="1">+GETPIVOTDATA("XBG4",'binhgia (2016)'!$A$3,"MA_HT","DTL","MA_QH","DKV")</f>
        <v>0</v>
      </c>
      <c r="BA30" s="88">
        <f ca="1">+GETPIVOTDATA("XBG4",'binhgia (2016)'!$A$3,"MA_HT","DTL","MA_QH","TIN")</f>
        <v>0</v>
      </c>
      <c r="BB30" s="50">
        <f ca="1">+GETPIVOTDATA("XBG4",'binhgia (2016)'!$A$3,"MA_HT","DTL","MA_QH","SON")</f>
        <v>0</v>
      </c>
      <c r="BC30" s="50">
        <f ca="1">+GETPIVOTDATA("XBG4",'binhgia (2016)'!$A$3,"MA_HT","DTL","MA_QH","MNC")</f>
        <v>0</v>
      </c>
      <c r="BD30" s="50">
        <f ca="1">+GETPIVOTDATA("XBG4",'binhgia (2016)'!$A$3,"MA_HT","DTL","MA_QH","PNK")</f>
        <v>0</v>
      </c>
      <c r="BE30" s="80">
        <f ca="1">+GETPIVOTDATA("XBG4",'binhgia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+GETPIVOTDATA("XBG4",'binhgia (2016)'!$A$3,"MA_HT","DNL","MA_QH","LUC")</f>
        <v>0</v>
      </c>
      <c r="H31" s="50">
        <f ca="1">+GETPIVOTDATA("XBG4",'binhgia (2016)'!$A$3,"MA_HT","DNL","MA_QH","LUK")</f>
        <v>0</v>
      </c>
      <c r="I31" s="50">
        <f ca="1">+GETPIVOTDATA("XBG4",'binhgia (2016)'!$A$3,"MA_HT","DNL","MA_QH","LUN")</f>
        <v>0</v>
      </c>
      <c r="J31" s="50">
        <f ca="1">+GETPIVOTDATA("XBG4",'binhgia (2016)'!$A$3,"MA_HT","DNL","MA_QH","HNK")</f>
        <v>0</v>
      </c>
      <c r="K31" s="50">
        <f ca="1">+GETPIVOTDATA("XBG4",'binhgia (2016)'!$A$3,"MA_HT","DNL","MA_QH","CLN")</f>
        <v>0</v>
      </c>
      <c r="L31" s="50">
        <f ca="1">+GETPIVOTDATA("XBG4",'binhgia (2016)'!$A$3,"MA_HT","DNL","MA_QH","RSX")</f>
        <v>0</v>
      </c>
      <c r="M31" s="50">
        <f ca="1">+GETPIVOTDATA("XBG4",'binhgia (2016)'!$A$3,"MA_HT","DNL","MA_QH","RPH")</f>
        <v>0</v>
      </c>
      <c r="N31" s="50">
        <f ca="1">+GETPIVOTDATA("XBG4",'binhgia (2016)'!$A$3,"MA_HT","DNL","MA_QH","RDD")</f>
        <v>0</v>
      </c>
      <c r="O31" s="50">
        <f ca="1">+GETPIVOTDATA("XBG4",'binhgia (2016)'!$A$3,"MA_HT","DNL","MA_QH","NTS")</f>
        <v>0</v>
      </c>
      <c r="P31" s="50">
        <f ca="1">+GETPIVOTDATA("XBG4",'binhgia (2016)'!$A$3,"MA_HT","DNL","MA_QH","LMU")</f>
        <v>0</v>
      </c>
      <c r="Q31" s="50">
        <f ca="1">+GETPIVOTDATA("XBG4",'binhgia (2016)'!$A$3,"MA_HT","DNL","MA_QH","NKH")</f>
        <v>0</v>
      </c>
      <c r="R31" s="48">
        <f ca="1" t="shared" si="20"/>
        <v>0</v>
      </c>
      <c r="S31" s="50">
        <f ca="1">+GETPIVOTDATA("XBG4",'binhgia (2016)'!$A$3,"MA_HT","DNL","MA_QH","CQP")</f>
        <v>0</v>
      </c>
      <c r="T31" s="50">
        <f ca="1">+GETPIVOTDATA("XBG4",'binhgia (2016)'!$A$3,"MA_HT","DNL","MA_QH","CAN")</f>
        <v>0</v>
      </c>
      <c r="U31" s="50">
        <f ca="1">+GETPIVOTDATA("XBG4",'binhgia (2016)'!$A$3,"MA_HT","DNL","MA_QH","SKK")</f>
        <v>0</v>
      </c>
      <c r="V31" s="50">
        <f ca="1">+GETPIVOTDATA("XBG4",'binhgia (2016)'!$A$3,"MA_HT","DNL","MA_QH","SKT")</f>
        <v>0</v>
      </c>
      <c r="W31" s="50">
        <f ca="1">+GETPIVOTDATA("XBG4",'binhgia (2016)'!$A$3,"MA_HT","DNL","MA_QH","SKN")</f>
        <v>0</v>
      </c>
      <c r="X31" s="50">
        <f ca="1">+GETPIVOTDATA("XBG4",'binhgia (2016)'!$A$3,"MA_HT","DNL","MA_QH","TMD")</f>
        <v>0</v>
      </c>
      <c r="Y31" s="50">
        <f ca="1">+GETPIVOTDATA("XBG4",'binhgia (2016)'!$A$3,"MA_HT","DNL","MA_QH","SKC")</f>
        <v>0</v>
      </c>
      <c r="Z31" s="50">
        <f ca="1">+GETPIVOTDATA("XBG4",'binhgia (2016)'!$A$3,"MA_HT","DNL","MA_QH","SKS")</f>
        <v>0</v>
      </c>
      <c r="AA31" s="52">
        <f ca="1">+SUM(AB31:AC31,AE31:AM31)</f>
        <v>0</v>
      </c>
      <c r="AB31" s="50">
        <f ca="1">+GETPIVOTDATA("XBG4",'binhgia (2016)'!$A$3,"MA_HT","DNL","MA_QH","DGT")</f>
        <v>0</v>
      </c>
      <c r="AC31" s="50">
        <f ca="1">+GETPIVOTDATA("XBG4",'binhgia (2016)'!$A$3,"MA_HT","DNL","MA_QH","DTL")</f>
        <v>0</v>
      </c>
      <c r="AD31" s="49" t="e">
        <f ca="1">$D31-$BF31</f>
        <v>#REF!</v>
      </c>
      <c r="AE31" s="50">
        <f ca="1">+GETPIVOTDATA("XBG4",'binhgia (2016)'!$A$3,"MA_HT","DNL","MA_QH","DBV")</f>
        <v>0</v>
      </c>
      <c r="AF31" s="50">
        <f ca="1">+GETPIVOTDATA("XBG4",'binhgia (2016)'!$A$3,"MA_HT","DNL","MA_QH","DVH")</f>
        <v>0</v>
      </c>
      <c r="AG31" s="50">
        <f ca="1">+GETPIVOTDATA("XBG4",'binhgia (2016)'!$A$3,"MA_HT","DNL","MA_QH","DYT")</f>
        <v>0</v>
      </c>
      <c r="AH31" s="50">
        <f ca="1">+GETPIVOTDATA("XBG4",'binhgia (2016)'!$A$3,"MA_HT","DNL","MA_QH","DGD")</f>
        <v>0</v>
      </c>
      <c r="AI31" s="50">
        <f ca="1">+GETPIVOTDATA("XBG4",'binhgia (2016)'!$A$3,"MA_HT","DNL","MA_QH","DTT")</f>
        <v>0</v>
      </c>
      <c r="AJ31" s="50">
        <f ca="1">+GETPIVOTDATA("XBG4",'binhgia (2016)'!$A$3,"MA_HT","DNL","MA_QH","NCK")</f>
        <v>0</v>
      </c>
      <c r="AK31" s="50">
        <f ca="1">+GETPIVOTDATA("XBG4",'binhgia (2016)'!$A$3,"MA_HT","DNL","MA_QH","DXH")</f>
        <v>0</v>
      </c>
      <c r="AL31" s="50">
        <f ca="1">+GETPIVOTDATA("XBG4",'binhgia (2016)'!$A$3,"MA_HT","DNL","MA_QH","DCH")</f>
        <v>0</v>
      </c>
      <c r="AM31" s="50">
        <f ca="1">+GETPIVOTDATA("XBG4",'binhgia (2016)'!$A$3,"MA_HT","DNL","MA_QH","DKG")</f>
        <v>0</v>
      </c>
      <c r="AN31" s="50">
        <f ca="1">+GETPIVOTDATA("XBG4",'binhgia (2016)'!$A$3,"MA_HT","DNL","MA_QH","DDT")</f>
        <v>0</v>
      </c>
      <c r="AO31" s="50">
        <f ca="1">+GETPIVOTDATA("XBG4",'binhgia (2016)'!$A$3,"MA_HT","DNL","MA_QH","DDL")</f>
        <v>0</v>
      </c>
      <c r="AP31" s="50">
        <f ca="1">+GETPIVOTDATA("XBG4",'binhgia (2016)'!$A$3,"MA_HT","DNL","MA_QH","DRA")</f>
        <v>0</v>
      </c>
      <c r="AQ31" s="50">
        <f ca="1">+GETPIVOTDATA("XBG4",'binhgia (2016)'!$A$3,"MA_HT","DNL","MA_QH","ONT")</f>
        <v>0</v>
      </c>
      <c r="AR31" s="50">
        <f ca="1">+GETPIVOTDATA("XBG4",'binhgia (2016)'!$A$3,"MA_HT","DNL","MA_QH","ODT")</f>
        <v>0</v>
      </c>
      <c r="AS31" s="50">
        <f ca="1">+GETPIVOTDATA("XBG4",'binhgia (2016)'!$A$3,"MA_HT","DNL","MA_QH","TSC")</f>
        <v>0</v>
      </c>
      <c r="AT31" s="50">
        <f ca="1">+GETPIVOTDATA("XBG4",'binhgia (2016)'!$A$3,"MA_HT","DNL","MA_QH","DTS")</f>
        <v>0</v>
      </c>
      <c r="AU31" s="50">
        <f ca="1">+GETPIVOTDATA("XBG4",'binhgia (2016)'!$A$3,"MA_HT","DNL","MA_QH","DNG")</f>
        <v>0</v>
      </c>
      <c r="AV31" s="50">
        <f ca="1">+GETPIVOTDATA("XBG4",'binhgia (2016)'!$A$3,"MA_HT","DNL","MA_QH","TON")</f>
        <v>0</v>
      </c>
      <c r="AW31" s="50">
        <f ca="1">+GETPIVOTDATA("XBG4",'binhgia (2016)'!$A$3,"MA_HT","DNL","MA_QH","NTD")</f>
        <v>0</v>
      </c>
      <c r="AX31" s="50">
        <f ca="1">+GETPIVOTDATA("XBG4",'binhgia (2016)'!$A$3,"MA_HT","DNL","MA_QH","SKX")</f>
        <v>0</v>
      </c>
      <c r="AY31" s="50">
        <f ca="1">+GETPIVOTDATA("XBG4",'binhgia (2016)'!$A$3,"MA_HT","DNL","MA_QH","DSH")</f>
        <v>0</v>
      </c>
      <c r="AZ31" s="50">
        <f ca="1">+GETPIVOTDATA("XBG4",'binhgia (2016)'!$A$3,"MA_HT","DNL","MA_QH","DKV")</f>
        <v>0</v>
      </c>
      <c r="BA31" s="88">
        <f ca="1">+GETPIVOTDATA("XBG4",'binhgia (2016)'!$A$3,"MA_HT","DNL","MA_QH","TIN")</f>
        <v>0</v>
      </c>
      <c r="BB31" s="50">
        <f ca="1">+GETPIVOTDATA("XBG4",'binhgia (2016)'!$A$3,"MA_HT","DNL","MA_QH","SON")</f>
        <v>0</v>
      </c>
      <c r="BC31" s="50">
        <f ca="1">+GETPIVOTDATA("XBG4",'binhgia (2016)'!$A$3,"MA_HT","DNL","MA_QH","MNC")</f>
        <v>0</v>
      </c>
      <c r="BD31" s="50">
        <f ca="1">+GETPIVOTDATA("XBG4",'binhgia (2016)'!$A$3,"MA_HT","DNL","MA_QH","PNK")</f>
        <v>0</v>
      </c>
      <c r="BE31" s="80">
        <f ca="1">+GETPIVOTDATA("XBG4",'binhgia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+GETPIVOTDATA("XBG4",'binhgia (2016)'!$A$3,"MA_HT","DBV","MA_QH","LUC")</f>
        <v>0</v>
      </c>
      <c r="H32" s="50">
        <f ca="1">+GETPIVOTDATA("XBG4",'binhgia (2016)'!$A$3,"MA_HT","DBV","MA_QH","LUK")</f>
        <v>0</v>
      </c>
      <c r="I32" s="50">
        <f ca="1">+GETPIVOTDATA("XBG4",'binhgia (2016)'!$A$3,"MA_HT","DBV","MA_QH","LUN")</f>
        <v>0</v>
      </c>
      <c r="J32" s="50">
        <f ca="1">+GETPIVOTDATA("XBG4",'binhgia (2016)'!$A$3,"MA_HT","DBV","MA_QH","HNK")</f>
        <v>0</v>
      </c>
      <c r="K32" s="50">
        <f ca="1">+GETPIVOTDATA("XBG4",'binhgia (2016)'!$A$3,"MA_HT","DBV","MA_QH","CLN")</f>
        <v>0</v>
      </c>
      <c r="L32" s="50">
        <f ca="1">+GETPIVOTDATA("XBG4",'binhgia (2016)'!$A$3,"MA_HT","DBV","MA_QH","RSX")</f>
        <v>0</v>
      </c>
      <c r="M32" s="50">
        <f ca="1">+GETPIVOTDATA("XBG4",'binhgia (2016)'!$A$3,"MA_HT","DBV","MA_QH","RPH")</f>
        <v>0</v>
      </c>
      <c r="N32" s="50">
        <f ca="1">+GETPIVOTDATA("XBG4",'binhgia (2016)'!$A$3,"MA_HT","DBV","MA_QH","RDD")</f>
        <v>0</v>
      </c>
      <c r="O32" s="50">
        <f ca="1">+GETPIVOTDATA("XBG4",'binhgia (2016)'!$A$3,"MA_HT","DBV","MA_QH","NTS")</f>
        <v>0</v>
      </c>
      <c r="P32" s="50">
        <f ca="1">+GETPIVOTDATA("XBG4",'binhgia (2016)'!$A$3,"MA_HT","DBV","MA_QH","LMU")</f>
        <v>0</v>
      </c>
      <c r="Q32" s="50">
        <f ca="1">+GETPIVOTDATA("XBG4",'binhgia (2016)'!$A$3,"MA_HT","DBV","MA_QH","NKH")</f>
        <v>0</v>
      </c>
      <c r="R32" s="48">
        <f ca="1" t="shared" si="20"/>
        <v>0</v>
      </c>
      <c r="S32" s="50">
        <f ca="1">+GETPIVOTDATA("XBG4",'binhgia (2016)'!$A$3,"MA_HT","DBV","MA_QH","CQP")</f>
        <v>0</v>
      </c>
      <c r="T32" s="50">
        <f ca="1">+GETPIVOTDATA("XBG4",'binhgia (2016)'!$A$3,"MA_HT","DBV","MA_QH","CAN")</f>
        <v>0</v>
      </c>
      <c r="U32" s="50">
        <f ca="1">+GETPIVOTDATA("XBG4",'binhgia (2016)'!$A$3,"MA_HT","DBV","MA_QH","SKK")</f>
        <v>0</v>
      </c>
      <c r="V32" s="50">
        <f ca="1">+GETPIVOTDATA("XBG4",'binhgia (2016)'!$A$3,"MA_HT","DBV","MA_QH","SKT")</f>
        <v>0</v>
      </c>
      <c r="W32" s="50">
        <f ca="1">+GETPIVOTDATA("XBG4",'binhgia (2016)'!$A$3,"MA_HT","DBV","MA_QH","SKN")</f>
        <v>0</v>
      </c>
      <c r="X32" s="50">
        <f ca="1">+GETPIVOTDATA("XBG4",'binhgia (2016)'!$A$3,"MA_HT","DBV","MA_QH","TMD")</f>
        <v>0</v>
      </c>
      <c r="Y32" s="50">
        <f ca="1">+GETPIVOTDATA("XBG4",'binhgia (2016)'!$A$3,"MA_HT","DBV","MA_QH","SKC")</f>
        <v>0</v>
      </c>
      <c r="Z32" s="50">
        <f ca="1">+GETPIVOTDATA("XBG4",'binhgia (2016)'!$A$3,"MA_HT","DBV","MA_QH","SKS")</f>
        <v>0</v>
      </c>
      <c r="AA32" s="52">
        <f ca="1">+SUM(AB32:AD32,AF32:AM32)</f>
        <v>0</v>
      </c>
      <c r="AB32" s="50">
        <f ca="1">+GETPIVOTDATA("XBG4",'binhgia (2016)'!$A$3,"MA_HT","DBV","MA_QH","DGT")</f>
        <v>0</v>
      </c>
      <c r="AC32" s="50">
        <f ca="1">+GETPIVOTDATA("XBG4",'binhgia (2016)'!$A$3,"MA_HT","DBV","MA_QH","DTL")</f>
        <v>0</v>
      </c>
      <c r="AD32" s="50">
        <f ca="1">+GETPIVOTDATA("XBG4",'binhgia (2016)'!$A$3,"MA_HT","DBV","MA_QH","DNL")</f>
        <v>0</v>
      </c>
      <c r="AE32" s="49" t="e">
        <f ca="1">$D32-$BF32</f>
        <v>#REF!</v>
      </c>
      <c r="AF32" s="50">
        <f ca="1">+GETPIVOTDATA("XBG4",'binhgia (2016)'!$A$3,"MA_HT","DBV","MA_QH","DVH")</f>
        <v>0</v>
      </c>
      <c r="AG32" s="50">
        <f ca="1">+GETPIVOTDATA("XBG4",'binhgia (2016)'!$A$3,"MA_HT","DBV","MA_QH","DYT")</f>
        <v>0</v>
      </c>
      <c r="AH32" s="50">
        <f ca="1">+GETPIVOTDATA("XBG4",'binhgia (2016)'!$A$3,"MA_HT","DBV","MA_QH","DGD")</f>
        <v>0</v>
      </c>
      <c r="AI32" s="50">
        <f ca="1">+GETPIVOTDATA("XBG4",'binhgia (2016)'!$A$3,"MA_HT","DBV","MA_QH","DTT")</f>
        <v>0</v>
      </c>
      <c r="AJ32" s="50">
        <f ca="1">+GETPIVOTDATA("XBG4",'binhgia (2016)'!$A$3,"MA_HT","DBV","MA_QH","NCK")</f>
        <v>0</v>
      </c>
      <c r="AK32" s="50">
        <f ca="1">+GETPIVOTDATA("XBG4",'binhgia (2016)'!$A$3,"MA_HT","DBV","MA_QH","DXH")</f>
        <v>0</v>
      </c>
      <c r="AL32" s="50">
        <f ca="1">+GETPIVOTDATA("XBG4",'binhgia (2016)'!$A$3,"MA_HT","DBV","MA_QH","DCH")</f>
        <v>0</v>
      </c>
      <c r="AM32" s="50">
        <f ca="1">+GETPIVOTDATA("XBG4",'binhgia (2016)'!$A$3,"MA_HT","DBV","MA_QH","DKG")</f>
        <v>0</v>
      </c>
      <c r="AN32" s="50">
        <f ca="1">+GETPIVOTDATA("XBG4",'binhgia (2016)'!$A$3,"MA_HT","DBV","MA_QH","DDT")</f>
        <v>0</v>
      </c>
      <c r="AO32" s="50">
        <f ca="1">+GETPIVOTDATA("XBG4",'binhgia (2016)'!$A$3,"MA_HT","DBV","MA_QH","DDL")</f>
        <v>0</v>
      </c>
      <c r="AP32" s="50">
        <f ca="1">+GETPIVOTDATA("XBG4",'binhgia (2016)'!$A$3,"MA_HT","DBV","MA_QH","DRA")</f>
        <v>0</v>
      </c>
      <c r="AQ32" s="50">
        <f ca="1">+GETPIVOTDATA("XBG4",'binhgia (2016)'!$A$3,"MA_HT","DBV","MA_QH","ONT")</f>
        <v>0</v>
      </c>
      <c r="AR32" s="50">
        <f ca="1">+GETPIVOTDATA("XBG4",'binhgia (2016)'!$A$3,"MA_HT","DBV","MA_QH","ODT")</f>
        <v>0</v>
      </c>
      <c r="AS32" s="50">
        <f ca="1">+GETPIVOTDATA("XBG4",'binhgia (2016)'!$A$3,"MA_HT","DBV","MA_QH","TSC")</f>
        <v>0</v>
      </c>
      <c r="AT32" s="50">
        <f ca="1">+GETPIVOTDATA("XBG4",'binhgia (2016)'!$A$3,"MA_HT","DBV","MA_QH","DTS")</f>
        <v>0</v>
      </c>
      <c r="AU32" s="50">
        <f ca="1">+GETPIVOTDATA("XBG4",'binhgia (2016)'!$A$3,"MA_HT","DBV","MA_QH","DNG")</f>
        <v>0</v>
      </c>
      <c r="AV32" s="50">
        <f ca="1">+GETPIVOTDATA("XBG4",'binhgia (2016)'!$A$3,"MA_HT","DBV","MA_QH","TON")</f>
        <v>0</v>
      </c>
      <c r="AW32" s="50">
        <f ca="1">+GETPIVOTDATA("XBG4",'binhgia (2016)'!$A$3,"MA_HT","DBV","MA_QH","NTD")</f>
        <v>0</v>
      </c>
      <c r="AX32" s="50">
        <f ca="1">+GETPIVOTDATA("XBG4",'binhgia (2016)'!$A$3,"MA_HT","DBV","MA_QH","SKX")</f>
        <v>0</v>
      </c>
      <c r="AY32" s="50">
        <f ca="1">+GETPIVOTDATA("XBG4",'binhgia (2016)'!$A$3,"MA_HT","DBV","MA_QH","DSH")</f>
        <v>0</v>
      </c>
      <c r="AZ32" s="50">
        <f ca="1">+GETPIVOTDATA("XBG4",'binhgia (2016)'!$A$3,"MA_HT","DBV","MA_QH","DKV")</f>
        <v>0</v>
      </c>
      <c r="BA32" s="88">
        <f ca="1">+GETPIVOTDATA("XBG4",'binhgia (2016)'!$A$3,"MA_HT","DBV","MA_QH","TIN")</f>
        <v>0</v>
      </c>
      <c r="BB32" s="50">
        <f ca="1">+GETPIVOTDATA("XBG4",'binhgia (2016)'!$A$3,"MA_HT","DBV","MA_QH","SON")</f>
        <v>0</v>
      </c>
      <c r="BC32" s="50">
        <f ca="1">+GETPIVOTDATA("XBG4",'binhgia (2016)'!$A$3,"MA_HT","DBV","MA_QH","MNC")</f>
        <v>0</v>
      </c>
      <c r="BD32" s="50">
        <f ca="1">+GETPIVOTDATA("XBG4",'binhgia (2016)'!$A$3,"MA_HT","DBV","MA_QH","PNK")</f>
        <v>0</v>
      </c>
      <c r="BE32" s="80">
        <f ca="1">+GETPIVOTDATA("XBG4",'binhgia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+GETPIVOTDATA("XBG4",'binhgia (2016)'!$A$3,"MA_HT","DVH","MA_QH","LUC")</f>
        <v>0</v>
      </c>
      <c r="H33" s="50">
        <f ca="1">+GETPIVOTDATA("XBG4",'binhgia (2016)'!$A$3,"MA_HT","DVH","MA_QH","LUK")</f>
        <v>0</v>
      </c>
      <c r="I33" s="50">
        <f ca="1">+GETPIVOTDATA("XBG4",'binhgia (2016)'!$A$3,"MA_HT","DVH","MA_QH","LUN")</f>
        <v>0</v>
      </c>
      <c r="J33" s="50">
        <f ca="1">+GETPIVOTDATA("XBG4",'binhgia (2016)'!$A$3,"MA_HT","DVH","MA_QH","HNK")</f>
        <v>0</v>
      </c>
      <c r="K33" s="50">
        <f ca="1">+GETPIVOTDATA("XBG4",'binhgia (2016)'!$A$3,"MA_HT","DVH","MA_QH","CLN")</f>
        <v>0</v>
      </c>
      <c r="L33" s="50">
        <f ca="1">+GETPIVOTDATA("XBG4",'binhgia (2016)'!$A$3,"MA_HT","DVH","MA_QH","RSX")</f>
        <v>0</v>
      </c>
      <c r="M33" s="50">
        <f ca="1">+GETPIVOTDATA("XBG4",'binhgia (2016)'!$A$3,"MA_HT","DVH","MA_QH","RPH")</f>
        <v>0</v>
      </c>
      <c r="N33" s="50">
        <f ca="1">+GETPIVOTDATA("XBG4",'binhgia (2016)'!$A$3,"MA_HT","DVH","MA_QH","RDD")</f>
        <v>0</v>
      </c>
      <c r="O33" s="50">
        <f ca="1">+GETPIVOTDATA("XBG4",'binhgia (2016)'!$A$3,"MA_HT","DVH","MA_QH","NTS")</f>
        <v>0</v>
      </c>
      <c r="P33" s="50">
        <f ca="1">+GETPIVOTDATA("XBG4",'binhgia (2016)'!$A$3,"MA_HT","DVH","MA_QH","LMU")</f>
        <v>0</v>
      </c>
      <c r="Q33" s="50">
        <f ca="1">+GETPIVOTDATA("XBG4",'binhgia (2016)'!$A$3,"MA_HT","DVH","MA_QH","NKH")</f>
        <v>0</v>
      </c>
      <c r="R33" s="48">
        <f ca="1" t="shared" si="20"/>
        <v>0</v>
      </c>
      <c r="S33" s="50">
        <f ca="1">+GETPIVOTDATA("XBG4",'binhgia (2016)'!$A$3,"MA_HT","DVH","MA_QH","CQP")</f>
        <v>0</v>
      </c>
      <c r="T33" s="50">
        <f ca="1">+GETPIVOTDATA("XBG4",'binhgia (2016)'!$A$3,"MA_HT","DVH","MA_QH","CAN")</f>
        <v>0</v>
      </c>
      <c r="U33" s="50">
        <f ca="1">+GETPIVOTDATA("XBG4",'binhgia (2016)'!$A$3,"MA_HT","DVH","MA_QH","SKK")</f>
        <v>0</v>
      </c>
      <c r="V33" s="50">
        <f ca="1">+GETPIVOTDATA("XBG4",'binhgia (2016)'!$A$3,"MA_HT","DVH","MA_QH","SKT")</f>
        <v>0</v>
      </c>
      <c r="W33" s="50">
        <f ca="1">+GETPIVOTDATA("XBG4",'binhgia (2016)'!$A$3,"MA_HT","DVH","MA_QH","SKN")</f>
        <v>0</v>
      </c>
      <c r="X33" s="50">
        <f ca="1">+GETPIVOTDATA("XBG4",'binhgia (2016)'!$A$3,"MA_HT","DVH","MA_QH","TMD")</f>
        <v>0</v>
      </c>
      <c r="Y33" s="50">
        <f ca="1">+GETPIVOTDATA("XBG4",'binhgia (2016)'!$A$3,"MA_HT","DVH","MA_QH","SKC")</f>
        <v>0</v>
      </c>
      <c r="Z33" s="50">
        <f ca="1">+GETPIVOTDATA("XBG4",'binhgia (2016)'!$A$3,"MA_HT","DVH","MA_QH","SKS")</f>
        <v>0</v>
      </c>
      <c r="AA33" s="52">
        <f ca="1">+SUM(AB33:AE33,AG33:AM33)</f>
        <v>0</v>
      </c>
      <c r="AB33" s="50">
        <f ca="1">+GETPIVOTDATA("XBG4",'binhgia (2016)'!$A$3,"MA_HT","DVH","MA_QH","DGT")</f>
        <v>0</v>
      </c>
      <c r="AC33" s="50">
        <f ca="1">+GETPIVOTDATA("XBG4",'binhgia (2016)'!$A$3,"MA_HT","DVH","MA_QH","DTL")</f>
        <v>0</v>
      </c>
      <c r="AD33" s="50">
        <f ca="1">+GETPIVOTDATA("XBG4",'binhgia (2016)'!$A$3,"MA_HT","DVH","MA_QH","DNL")</f>
        <v>0</v>
      </c>
      <c r="AE33" s="50">
        <f ca="1">+GETPIVOTDATA("XBG4",'binhgia (2016)'!$A$3,"MA_HT","DVH","MA_QH","DBV")</f>
        <v>0</v>
      </c>
      <c r="AF33" s="49" t="e">
        <f ca="1">$D33-$BF33</f>
        <v>#REF!</v>
      </c>
      <c r="AG33" s="50">
        <f ca="1">+GETPIVOTDATA("XBG4",'binhgia (2016)'!$A$3,"MA_HT","DVH","MA_QH","DYT")</f>
        <v>0</v>
      </c>
      <c r="AH33" s="50">
        <f ca="1">+GETPIVOTDATA("XBG4",'binhgia (2016)'!$A$3,"MA_HT","DVH","MA_QH","DGD")</f>
        <v>0</v>
      </c>
      <c r="AI33" s="50">
        <f ca="1">+GETPIVOTDATA("XBG4",'binhgia (2016)'!$A$3,"MA_HT","DVH","MA_QH","DTT")</f>
        <v>0</v>
      </c>
      <c r="AJ33" s="50">
        <f ca="1">+GETPIVOTDATA("XBG4",'binhgia (2016)'!$A$3,"MA_HT","DVH","MA_QH","NCK")</f>
        <v>0</v>
      </c>
      <c r="AK33" s="50">
        <f ca="1">+GETPIVOTDATA("XBG4",'binhgia (2016)'!$A$3,"MA_HT","DVH","MA_QH","DXH")</f>
        <v>0</v>
      </c>
      <c r="AL33" s="50">
        <f ca="1">+GETPIVOTDATA("XBG4",'binhgia (2016)'!$A$3,"MA_HT","DVH","MA_QH","DCH")</f>
        <v>0</v>
      </c>
      <c r="AM33" s="50">
        <f ca="1">+GETPIVOTDATA("XBG4",'binhgia (2016)'!$A$3,"MA_HT","DVH","MA_QH","DKG")</f>
        <v>0</v>
      </c>
      <c r="AN33" s="50">
        <f ca="1">+GETPIVOTDATA("XBG4",'binhgia (2016)'!$A$3,"MA_HT","DVH","MA_QH","DDT")</f>
        <v>0</v>
      </c>
      <c r="AO33" s="50">
        <f ca="1">+GETPIVOTDATA("XBG4",'binhgia (2016)'!$A$3,"MA_HT","DVH","MA_QH","DDL")</f>
        <v>0</v>
      </c>
      <c r="AP33" s="50">
        <f ca="1">+GETPIVOTDATA("XBG4",'binhgia (2016)'!$A$3,"MA_HT","DVH","MA_QH","DRA")</f>
        <v>0</v>
      </c>
      <c r="AQ33" s="50">
        <f ca="1">+GETPIVOTDATA("XBG4",'binhgia (2016)'!$A$3,"MA_HT","DVH","MA_QH","ONT")</f>
        <v>0</v>
      </c>
      <c r="AR33" s="50">
        <f ca="1">+GETPIVOTDATA("XBG4",'binhgia (2016)'!$A$3,"MA_HT","DVH","MA_QH","ODT")</f>
        <v>0</v>
      </c>
      <c r="AS33" s="50">
        <f ca="1">+GETPIVOTDATA("XBG4",'binhgia (2016)'!$A$3,"MA_HT","DVH","MA_QH","TSC")</f>
        <v>0</v>
      </c>
      <c r="AT33" s="50">
        <f ca="1">+GETPIVOTDATA("XBG4",'binhgia (2016)'!$A$3,"MA_HT","DVH","MA_QH","DTS")</f>
        <v>0</v>
      </c>
      <c r="AU33" s="50">
        <f ca="1">+GETPIVOTDATA("XBG4",'binhgia (2016)'!$A$3,"MA_HT","DVH","MA_QH","DNG")</f>
        <v>0</v>
      </c>
      <c r="AV33" s="50">
        <f ca="1">+GETPIVOTDATA("XBG4",'binhgia (2016)'!$A$3,"MA_HT","DVH","MA_QH","TON")</f>
        <v>0</v>
      </c>
      <c r="AW33" s="50">
        <f ca="1">+GETPIVOTDATA("XBG4",'binhgia (2016)'!$A$3,"MA_HT","DVH","MA_QH","NTD")</f>
        <v>0</v>
      </c>
      <c r="AX33" s="50">
        <f ca="1">+GETPIVOTDATA("XBG4",'binhgia (2016)'!$A$3,"MA_HT","DVH","MA_QH","SKX")</f>
        <v>0</v>
      </c>
      <c r="AY33" s="50">
        <f ca="1">+GETPIVOTDATA("XBG4",'binhgia (2016)'!$A$3,"MA_HT","DVH","MA_QH","DSH")</f>
        <v>0</v>
      </c>
      <c r="AZ33" s="50">
        <f ca="1">+GETPIVOTDATA("XBG4",'binhgia (2016)'!$A$3,"MA_HT","DVH","MA_QH","DKV")</f>
        <v>0</v>
      </c>
      <c r="BA33" s="88">
        <f ca="1">+GETPIVOTDATA("XBG4",'binhgia (2016)'!$A$3,"MA_HT","DVH","MA_QH","TIN")</f>
        <v>0</v>
      </c>
      <c r="BB33" s="50">
        <f ca="1">+GETPIVOTDATA("XBG4",'binhgia (2016)'!$A$3,"MA_HT","DVH","MA_QH","SON")</f>
        <v>0</v>
      </c>
      <c r="BC33" s="50">
        <f ca="1">+GETPIVOTDATA("XBG4",'binhgia (2016)'!$A$3,"MA_HT","DVH","MA_QH","MNC")</f>
        <v>0</v>
      </c>
      <c r="BD33" s="50">
        <f ca="1">+GETPIVOTDATA("XBG4",'binhgia (2016)'!$A$3,"MA_HT","DVH","MA_QH","PNK")</f>
        <v>0</v>
      </c>
      <c r="BE33" s="80">
        <f ca="1">+GETPIVOTDATA("XBG4",'binhgia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+GETPIVOTDATA("XBG4",'binhgia (2016)'!$A$3,"MA_HT","DYT","MA_QH","LUC")</f>
        <v>0</v>
      </c>
      <c r="H34" s="50">
        <f ca="1">+GETPIVOTDATA("XBG4",'binhgia (2016)'!$A$3,"MA_HT","DYT","MA_QH","LUK")</f>
        <v>0</v>
      </c>
      <c r="I34" s="50">
        <f ca="1">+GETPIVOTDATA("XBG4",'binhgia (2016)'!$A$3,"MA_HT","DYT","MA_QH","LUN")</f>
        <v>0</v>
      </c>
      <c r="J34" s="50">
        <f ca="1">+GETPIVOTDATA("XBG4",'binhgia (2016)'!$A$3,"MA_HT","DYT","MA_QH","HNK")</f>
        <v>0</v>
      </c>
      <c r="K34" s="50">
        <f ca="1">+GETPIVOTDATA("XBG4",'binhgia (2016)'!$A$3,"MA_HT","DYT","MA_QH","CLN")</f>
        <v>0</v>
      </c>
      <c r="L34" s="50">
        <f ca="1">+GETPIVOTDATA("XBG4",'binhgia (2016)'!$A$3,"MA_HT","DYT","MA_QH","RSX")</f>
        <v>0</v>
      </c>
      <c r="M34" s="50">
        <f ca="1">+GETPIVOTDATA("XBG4",'binhgia (2016)'!$A$3,"MA_HT","DYT","MA_QH","RPH")</f>
        <v>0</v>
      </c>
      <c r="N34" s="50">
        <f ca="1">+GETPIVOTDATA("XBG4",'binhgia (2016)'!$A$3,"MA_HT","DYT","MA_QH","RDD")</f>
        <v>0</v>
      </c>
      <c r="O34" s="50">
        <f ca="1">+GETPIVOTDATA("XBG4",'binhgia (2016)'!$A$3,"MA_HT","DYT","MA_QH","NTS")</f>
        <v>0</v>
      </c>
      <c r="P34" s="50">
        <f ca="1">+GETPIVOTDATA("XBG4",'binhgia (2016)'!$A$3,"MA_HT","DYT","MA_QH","LMU")</f>
        <v>0</v>
      </c>
      <c r="Q34" s="50">
        <f ca="1">+GETPIVOTDATA("XBG4",'binhgia (2016)'!$A$3,"MA_HT","DYT","MA_QH","NKH")</f>
        <v>0</v>
      </c>
      <c r="R34" s="48">
        <f ca="1" t="shared" si="20"/>
        <v>0</v>
      </c>
      <c r="S34" s="50">
        <f ca="1">+GETPIVOTDATA("XBG4",'binhgia (2016)'!$A$3,"MA_HT","DYT","MA_QH","CQP")</f>
        <v>0</v>
      </c>
      <c r="T34" s="50">
        <f ca="1">+GETPIVOTDATA("XBG4",'binhgia (2016)'!$A$3,"MA_HT","DYT","MA_QH","CAN")</f>
        <v>0</v>
      </c>
      <c r="U34" s="50">
        <f ca="1">+GETPIVOTDATA("XBG4",'binhgia (2016)'!$A$3,"MA_HT","DYT","MA_QH","SKK")</f>
        <v>0</v>
      </c>
      <c r="V34" s="50">
        <f ca="1">+GETPIVOTDATA("XBG4",'binhgia (2016)'!$A$3,"MA_HT","DYT","MA_QH","SKT")</f>
        <v>0</v>
      </c>
      <c r="W34" s="50">
        <f ca="1">+GETPIVOTDATA("XBG4",'binhgia (2016)'!$A$3,"MA_HT","DYT","MA_QH","SKN")</f>
        <v>0</v>
      </c>
      <c r="X34" s="50">
        <f ca="1">+GETPIVOTDATA("XBG4",'binhgia (2016)'!$A$3,"MA_HT","DYT","MA_QH","TMD")</f>
        <v>0</v>
      </c>
      <c r="Y34" s="50">
        <f ca="1">+GETPIVOTDATA("XBG4",'binhgia (2016)'!$A$3,"MA_HT","DYT","MA_QH","SKC")</f>
        <v>0</v>
      </c>
      <c r="Z34" s="50">
        <f ca="1">+GETPIVOTDATA("XBG4",'binhgia (2016)'!$A$3,"MA_HT","DYT","MA_QH","SKS")</f>
        <v>0</v>
      </c>
      <c r="AA34" s="52">
        <f ca="1">+SUM(AB34:AF34,AH34:AM34)</f>
        <v>0</v>
      </c>
      <c r="AB34" s="50">
        <f ca="1">+GETPIVOTDATA("XBG4",'binhgia (2016)'!$A$3,"MA_HT","DYT","MA_QH","DGT")</f>
        <v>0</v>
      </c>
      <c r="AC34" s="50">
        <f ca="1">+GETPIVOTDATA("XBG4",'binhgia (2016)'!$A$3,"MA_HT","DYT","MA_QH","DTL")</f>
        <v>0</v>
      </c>
      <c r="AD34" s="50">
        <f ca="1">+GETPIVOTDATA("XBG4",'binhgia (2016)'!$A$3,"MA_HT","DYT","MA_QH","DNL")</f>
        <v>0</v>
      </c>
      <c r="AE34" s="50">
        <f ca="1">+GETPIVOTDATA("XBG4",'binhgia (2016)'!$A$3,"MA_HT","DYT","MA_QH","DBV")</f>
        <v>0</v>
      </c>
      <c r="AF34" s="50">
        <f ca="1">+GETPIVOTDATA("XBG4",'binhgia (2016)'!$A$3,"MA_HT","DYT","MA_QH","DVH")</f>
        <v>0</v>
      </c>
      <c r="AG34" s="49" t="e">
        <f ca="1">$D34-$BF34</f>
        <v>#REF!</v>
      </c>
      <c r="AH34" s="50">
        <f ca="1">+GETPIVOTDATA("XBG4",'binhgia (2016)'!$A$3,"MA_HT","DYT","MA_QH","DGD")</f>
        <v>0</v>
      </c>
      <c r="AI34" s="50">
        <f ca="1">+GETPIVOTDATA("XBG4",'binhgia (2016)'!$A$3,"MA_HT","DYT","MA_QH","DTT")</f>
        <v>0</v>
      </c>
      <c r="AJ34" s="50">
        <f ca="1">+GETPIVOTDATA("XBG4",'binhgia (2016)'!$A$3,"MA_HT","DYT","MA_QH","NCK")</f>
        <v>0</v>
      </c>
      <c r="AK34" s="50">
        <f ca="1">+GETPIVOTDATA("XBG4",'binhgia (2016)'!$A$3,"MA_HT","DYT","MA_QH","DXH")</f>
        <v>0</v>
      </c>
      <c r="AL34" s="50">
        <f ca="1">+GETPIVOTDATA("XBG4",'binhgia (2016)'!$A$3,"MA_HT","DYT","MA_QH","DCH")</f>
        <v>0</v>
      </c>
      <c r="AM34" s="50">
        <f ca="1">+GETPIVOTDATA("XBG4",'binhgia (2016)'!$A$3,"MA_HT","DYT","MA_QH","DKG")</f>
        <v>0</v>
      </c>
      <c r="AN34" s="50">
        <f ca="1">+GETPIVOTDATA("XBG4",'binhgia (2016)'!$A$3,"MA_HT","DYT","MA_QH","DDT")</f>
        <v>0</v>
      </c>
      <c r="AO34" s="50">
        <f ca="1">+GETPIVOTDATA("XBG4",'binhgia (2016)'!$A$3,"MA_HT","DYT","MA_QH","DDL")</f>
        <v>0</v>
      </c>
      <c r="AP34" s="50">
        <f ca="1">+GETPIVOTDATA("XBG4",'binhgia (2016)'!$A$3,"MA_HT","DYT","MA_QH","DRA")</f>
        <v>0</v>
      </c>
      <c r="AQ34" s="50">
        <f ca="1">+GETPIVOTDATA("XBG4",'binhgia (2016)'!$A$3,"MA_HT","DYT","MA_QH","ONT")</f>
        <v>0</v>
      </c>
      <c r="AR34" s="50">
        <f ca="1">+GETPIVOTDATA("XBG4",'binhgia (2016)'!$A$3,"MA_HT","DYT","MA_QH","ODT")</f>
        <v>0</v>
      </c>
      <c r="AS34" s="50">
        <f ca="1">+GETPIVOTDATA("XBG4",'binhgia (2016)'!$A$3,"MA_HT","DYT","MA_QH","TSC")</f>
        <v>0</v>
      </c>
      <c r="AT34" s="50">
        <f ca="1">+GETPIVOTDATA("XBG4",'binhgia (2016)'!$A$3,"MA_HT","DYT","MA_QH","DTS")</f>
        <v>0</v>
      </c>
      <c r="AU34" s="50">
        <f ca="1">+GETPIVOTDATA("XBG4",'binhgia (2016)'!$A$3,"MA_HT","DYT","MA_QH","DNG")</f>
        <v>0</v>
      </c>
      <c r="AV34" s="50">
        <f ca="1">+GETPIVOTDATA("XBG4",'binhgia (2016)'!$A$3,"MA_HT","DYT","MA_QH","TON")</f>
        <v>0</v>
      </c>
      <c r="AW34" s="50">
        <f ca="1">+GETPIVOTDATA("XBG4",'binhgia (2016)'!$A$3,"MA_HT","DYT","MA_QH","NTD")</f>
        <v>0</v>
      </c>
      <c r="AX34" s="50">
        <f ca="1">+GETPIVOTDATA("XBG4",'binhgia (2016)'!$A$3,"MA_HT","DYT","MA_QH","SKX")</f>
        <v>0</v>
      </c>
      <c r="AY34" s="50">
        <f ca="1">+GETPIVOTDATA("XBG4",'binhgia (2016)'!$A$3,"MA_HT","DYT","MA_QH","DSH")</f>
        <v>0</v>
      </c>
      <c r="AZ34" s="50">
        <f ca="1">+GETPIVOTDATA("XBG4",'binhgia (2016)'!$A$3,"MA_HT","DYT","MA_QH","DKV")</f>
        <v>0</v>
      </c>
      <c r="BA34" s="88">
        <f ca="1">+GETPIVOTDATA("XBG4",'binhgia (2016)'!$A$3,"MA_HT","DYT","MA_QH","TIN")</f>
        <v>0</v>
      </c>
      <c r="BB34" s="50">
        <f ca="1">+GETPIVOTDATA("XBG4",'binhgia (2016)'!$A$3,"MA_HT","DYT","MA_QH","SON")</f>
        <v>0</v>
      </c>
      <c r="BC34" s="50">
        <f ca="1">+GETPIVOTDATA("XBG4",'binhgia (2016)'!$A$3,"MA_HT","DYT","MA_QH","MNC")</f>
        <v>0</v>
      </c>
      <c r="BD34" s="50">
        <f ca="1">+GETPIVOTDATA("XBG4",'binhgia (2016)'!$A$3,"MA_HT","DYT","MA_QH","PNK")</f>
        <v>0</v>
      </c>
      <c r="BE34" s="80">
        <f ca="1">+GETPIVOTDATA("XBG4",'binhgia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+GETPIVOTDATA("XBG4",'binhgia (2016)'!$A$3,"MA_HT","DGD","MA_QH","LUC")</f>
        <v>0</v>
      </c>
      <c r="H35" s="50">
        <f ca="1">+GETPIVOTDATA("XBG4",'binhgia (2016)'!$A$3,"MA_HT","DGD","MA_QH","LUK")</f>
        <v>0</v>
      </c>
      <c r="I35" s="50">
        <f ca="1">+GETPIVOTDATA("XBG4",'binhgia (2016)'!$A$3,"MA_HT","DGD","MA_QH","LUN")</f>
        <v>0</v>
      </c>
      <c r="J35" s="50">
        <f ca="1">+GETPIVOTDATA("XBG4",'binhgia (2016)'!$A$3,"MA_HT","DGD","MA_QH","HNK")</f>
        <v>0</v>
      </c>
      <c r="K35" s="50">
        <f ca="1">+GETPIVOTDATA("XBG4",'binhgia (2016)'!$A$3,"MA_HT","DGD","MA_QH","CLN")</f>
        <v>0</v>
      </c>
      <c r="L35" s="50">
        <f ca="1">+GETPIVOTDATA("XBG4",'binhgia (2016)'!$A$3,"MA_HT","DGD","MA_QH","RSX")</f>
        <v>0</v>
      </c>
      <c r="M35" s="50">
        <f ca="1">+GETPIVOTDATA("XBG4",'binhgia (2016)'!$A$3,"MA_HT","DGD","MA_QH","RPH")</f>
        <v>0</v>
      </c>
      <c r="N35" s="50">
        <f ca="1">+GETPIVOTDATA("XBG4",'binhgia (2016)'!$A$3,"MA_HT","DGD","MA_QH","RDD")</f>
        <v>0</v>
      </c>
      <c r="O35" s="50">
        <f ca="1">+GETPIVOTDATA("XBG4",'binhgia (2016)'!$A$3,"MA_HT","DGD","MA_QH","NTS")</f>
        <v>0</v>
      </c>
      <c r="P35" s="50">
        <f ca="1">+GETPIVOTDATA("XBG4",'binhgia (2016)'!$A$3,"MA_HT","DGD","MA_QH","LMU")</f>
        <v>0</v>
      </c>
      <c r="Q35" s="50">
        <f ca="1">+GETPIVOTDATA("XBG4",'binhgia (2016)'!$A$3,"MA_HT","DGD","MA_QH","NKH")</f>
        <v>0</v>
      </c>
      <c r="R35" s="48">
        <f ca="1" t="shared" si="20"/>
        <v>0</v>
      </c>
      <c r="S35" s="50">
        <f ca="1">+GETPIVOTDATA("XBG4",'binhgia (2016)'!$A$3,"MA_HT","DGD","MA_QH","CQP")</f>
        <v>0</v>
      </c>
      <c r="T35" s="50">
        <f ca="1">+GETPIVOTDATA("XBG4",'binhgia (2016)'!$A$3,"MA_HT","DGD","MA_QH","CAN")</f>
        <v>0</v>
      </c>
      <c r="U35" s="50">
        <f ca="1">+GETPIVOTDATA("XBG4",'binhgia (2016)'!$A$3,"MA_HT","DGD","MA_QH","SKK")</f>
        <v>0</v>
      </c>
      <c r="V35" s="50">
        <f ca="1">+GETPIVOTDATA("XBG4",'binhgia (2016)'!$A$3,"MA_HT","DGD","MA_QH","SKT")</f>
        <v>0</v>
      </c>
      <c r="W35" s="50">
        <f ca="1">+GETPIVOTDATA("XBG4",'binhgia (2016)'!$A$3,"MA_HT","DGD","MA_QH","SKN")</f>
        <v>0</v>
      </c>
      <c r="X35" s="50">
        <f ca="1">+GETPIVOTDATA("XBG4",'binhgia (2016)'!$A$3,"MA_HT","DGD","MA_QH","TMD")</f>
        <v>0</v>
      </c>
      <c r="Y35" s="50">
        <f ca="1">+GETPIVOTDATA("XBG4",'binhgia (2016)'!$A$3,"MA_HT","DGD","MA_QH","SKC")</f>
        <v>0</v>
      </c>
      <c r="Z35" s="50">
        <f ca="1">+GETPIVOTDATA("XBG4",'binhgia (2016)'!$A$3,"MA_HT","DGD","MA_QH","SKS")</f>
        <v>0</v>
      </c>
      <c r="AA35" s="52">
        <f ca="1">+SUM(AB35:AG35,AI35:AM35)</f>
        <v>0</v>
      </c>
      <c r="AB35" s="50">
        <f ca="1">+GETPIVOTDATA("XBG4",'binhgia (2016)'!$A$3,"MA_HT","DGD","MA_QH","DGT")</f>
        <v>0</v>
      </c>
      <c r="AC35" s="50">
        <f ca="1">+GETPIVOTDATA("XBG4",'binhgia (2016)'!$A$3,"MA_HT","DGD","MA_QH","DTL")</f>
        <v>0</v>
      </c>
      <c r="AD35" s="50">
        <f ca="1">+GETPIVOTDATA("XBG4",'binhgia (2016)'!$A$3,"MA_HT","DGD","MA_QH","DNL")</f>
        <v>0</v>
      </c>
      <c r="AE35" s="50">
        <f ca="1">+GETPIVOTDATA("XBG4",'binhgia (2016)'!$A$3,"MA_HT","DGD","MA_QH","DBV")</f>
        <v>0</v>
      </c>
      <c r="AF35" s="50">
        <f ca="1">+GETPIVOTDATA("XBG4",'binhgia (2016)'!$A$3,"MA_HT","DGD","MA_QH","DVH")</f>
        <v>0</v>
      </c>
      <c r="AG35" s="50">
        <f ca="1">+GETPIVOTDATA("XBG4",'binhgia (2016)'!$A$3,"MA_HT","DGD","MA_QH","DYT")</f>
        <v>0</v>
      </c>
      <c r="AH35" s="49" t="e">
        <f ca="1">$D35-$BF35</f>
        <v>#REF!</v>
      </c>
      <c r="AI35" s="50">
        <f ca="1">+GETPIVOTDATA("XBG4",'binhgia (2016)'!$A$3,"MA_HT","DGD","MA_QH","DTT")</f>
        <v>0</v>
      </c>
      <c r="AJ35" s="50">
        <f ca="1">+GETPIVOTDATA("XBG4",'binhgia (2016)'!$A$3,"MA_HT","DGD","MA_QH","NCK")</f>
        <v>0</v>
      </c>
      <c r="AK35" s="50">
        <f ca="1">+GETPIVOTDATA("XBG4",'binhgia (2016)'!$A$3,"MA_HT","DGD","MA_QH","DXH")</f>
        <v>0</v>
      </c>
      <c r="AL35" s="50">
        <f ca="1">+GETPIVOTDATA("XBG4",'binhgia (2016)'!$A$3,"MA_HT","DGD","MA_QH","DCH")</f>
        <v>0</v>
      </c>
      <c r="AM35" s="50">
        <f ca="1">+GETPIVOTDATA("XBG4",'binhgia (2016)'!$A$3,"MA_HT","DGD","MA_QH","DKG")</f>
        <v>0</v>
      </c>
      <c r="AN35" s="50">
        <f ca="1">+GETPIVOTDATA("XBG4",'binhgia (2016)'!$A$3,"MA_HT","DGD","MA_QH","DDT")</f>
        <v>0</v>
      </c>
      <c r="AO35" s="50">
        <f ca="1">+GETPIVOTDATA("XBG4",'binhgia (2016)'!$A$3,"MA_HT","DGD","MA_QH","DDL")</f>
        <v>0</v>
      </c>
      <c r="AP35" s="50">
        <f ca="1">+GETPIVOTDATA("XBG4",'binhgia (2016)'!$A$3,"MA_HT","DGD","MA_QH","DRA")</f>
        <v>0</v>
      </c>
      <c r="AQ35" s="50">
        <f ca="1">+GETPIVOTDATA("XBG4",'binhgia (2016)'!$A$3,"MA_HT","DGD","MA_QH","ONT")</f>
        <v>0</v>
      </c>
      <c r="AR35" s="50">
        <f ca="1">+GETPIVOTDATA("XBG4",'binhgia (2016)'!$A$3,"MA_HT","DGD","MA_QH","ODT")</f>
        <v>0</v>
      </c>
      <c r="AS35" s="50">
        <f ca="1">+GETPIVOTDATA("XBG4",'binhgia (2016)'!$A$3,"MA_HT","DGD","MA_QH","TSC")</f>
        <v>0</v>
      </c>
      <c r="AT35" s="50">
        <f ca="1">+GETPIVOTDATA("XBG4",'binhgia (2016)'!$A$3,"MA_HT","DGD","MA_QH","DTS")</f>
        <v>0</v>
      </c>
      <c r="AU35" s="50">
        <f ca="1">+GETPIVOTDATA("XBG4",'binhgia (2016)'!$A$3,"MA_HT","DGD","MA_QH","DNG")</f>
        <v>0</v>
      </c>
      <c r="AV35" s="50">
        <f ca="1">+GETPIVOTDATA("XBG4",'binhgia (2016)'!$A$3,"MA_HT","DGD","MA_QH","TON")</f>
        <v>0</v>
      </c>
      <c r="AW35" s="50">
        <f ca="1">+GETPIVOTDATA("XBG4",'binhgia (2016)'!$A$3,"MA_HT","DGD","MA_QH","NTD")</f>
        <v>0</v>
      </c>
      <c r="AX35" s="50">
        <f ca="1">+GETPIVOTDATA("XBG4",'binhgia (2016)'!$A$3,"MA_HT","DGD","MA_QH","SKX")</f>
        <v>0</v>
      </c>
      <c r="AY35" s="50">
        <f ca="1">+GETPIVOTDATA("XBG4",'binhgia (2016)'!$A$3,"MA_HT","DGD","MA_QH","DSH")</f>
        <v>0</v>
      </c>
      <c r="AZ35" s="50">
        <f ca="1">+GETPIVOTDATA("XBG4",'binhgia (2016)'!$A$3,"MA_HT","DGD","MA_QH","DKV")</f>
        <v>0</v>
      </c>
      <c r="BA35" s="88">
        <f ca="1">+GETPIVOTDATA("XBG4",'binhgia (2016)'!$A$3,"MA_HT","DGD","MA_QH","TIN")</f>
        <v>0</v>
      </c>
      <c r="BB35" s="50">
        <f ca="1">+GETPIVOTDATA("XBG4",'binhgia (2016)'!$A$3,"MA_HT","DGD","MA_QH","SON")</f>
        <v>0</v>
      </c>
      <c r="BC35" s="50">
        <f ca="1">+GETPIVOTDATA("XBG4",'binhgia (2016)'!$A$3,"MA_HT","DGD","MA_QH","MNC")</f>
        <v>0</v>
      </c>
      <c r="BD35" s="50">
        <f ca="1">+GETPIVOTDATA("XBG4",'binhgia (2016)'!$A$3,"MA_HT","DGD","MA_QH","PNK")</f>
        <v>0</v>
      </c>
      <c r="BE35" s="80">
        <f ca="1">+GETPIVOTDATA("XBG4",'binhgia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+GETPIVOTDATA("XBG4",'binhgia (2016)'!$A$3,"MA_HT","DTT","MA_QH","LUC")</f>
        <v>0</v>
      </c>
      <c r="H36" s="50">
        <f ca="1">+GETPIVOTDATA("XBG4",'binhgia (2016)'!$A$3,"MA_HT","DTT","MA_QH","LUK")</f>
        <v>0</v>
      </c>
      <c r="I36" s="50">
        <f ca="1">+GETPIVOTDATA("XBG4",'binhgia (2016)'!$A$3,"MA_HT","DTT","MA_QH","LUN")</f>
        <v>0</v>
      </c>
      <c r="J36" s="50">
        <f ca="1">+GETPIVOTDATA("XBG4",'binhgia (2016)'!$A$3,"MA_HT","DTT","MA_QH","HNK")</f>
        <v>0</v>
      </c>
      <c r="K36" s="50">
        <f ca="1">+GETPIVOTDATA("XBG4",'binhgia (2016)'!$A$3,"MA_HT","DTT","MA_QH","CLN")</f>
        <v>0</v>
      </c>
      <c r="L36" s="50">
        <f ca="1">+GETPIVOTDATA("XBG4",'binhgia (2016)'!$A$3,"MA_HT","DTT","MA_QH","RSX")</f>
        <v>0</v>
      </c>
      <c r="M36" s="50">
        <f ca="1">+GETPIVOTDATA("XBG4",'binhgia (2016)'!$A$3,"MA_HT","DTT","MA_QH","RPH")</f>
        <v>0</v>
      </c>
      <c r="N36" s="50">
        <f ca="1">+GETPIVOTDATA("XBG4",'binhgia (2016)'!$A$3,"MA_HT","DTT","MA_QH","RDD")</f>
        <v>0</v>
      </c>
      <c r="O36" s="50">
        <f ca="1">+GETPIVOTDATA("XBG4",'binhgia (2016)'!$A$3,"MA_HT","DTT","MA_QH","NTS")</f>
        <v>0</v>
      </c>
      <c r="P36" s="50">
        <f ca="1">+GETPIVOTDATA("XBG4",'binhgia (2016)'!$A$3,"MA_HT","DTT","MA_QH","LMU")</f>
        <v>0</v>
      </c>
      <c r="Q36" s="50">
        <f ca="1">+GETPIVOTDATA("XBG4",'binhgia (2016)'!$A$3,"MA_HT","DTT","MA_QH","NKH")</f>
        <v>0</v>
      </c>
      <c r="R36" s="48">
        <f ca="1" t="shared" si="20"/>
        <v>0</v>
      </c>
      <c r="S36" s="50">
        <f ca="1">+GETPIVOTDATA("XBG4",'binhgia (2016)'!$A$3,"MA_HT","DTT","MA_QH","CQP")</f>
        <v>0</v>
      </c>
      <c r="T36" s="50">
        <f ca="1">+GETPIVOTDATA("XBG4",'binhgia (2016)'!$A$3,"MA_HT","DTT","MA_QH","CAN")</f>
        <v>0</v>
      </c>
      <c r="U36" s="50">
        <f ca="1">+GETPIVOTDATA("XBG4",'binhgia (2016)'!$A$3,"MA_HT","DTT","MA_QH","SKK")</f>
        <v>0</v>
      </c>
      <c r="V36" s="50">
        <f ca="1">+GETPIVOTDATA("XBG4",'binhgia (2016)'!$A$3,"MA_HT","DTT","MA_QH","SKT")</f>
        <v>0</v>
      </c>
      <c r="W36" s="50">
        <f ca="1">+GETPIVOTDATA("XBG4",'binhgia (2016)'!$A$3,"MA_HT","DTT","MA_QH","SKN")</f>
        <v>0</v>
      </c>
      <c r="X36" s="50">
        <f ca="1">+GETPIVOTDATA("XBG4",'binhgia (2016)'!$A$3,"MA_HT","DTT","MA_QH","TMD")</f>
        <v>0</v>
      </c>
      <c r="Y36" s="50">
        <f ca="1">+GETPIVOTDATA("XBG4",'binhgia (2016)'!$A$3,"MA_HT","DTT","MA_QH","SKC")</f>
        <v>0</v>
      </c>
      <c r="Z36" s="50">
        <f ca="1">+GETPIVOTDATA("XBG4",'binhgia (2016)'!$A$3,"MA_HT","DTT","MA_QH","SKS")</f>
        <v>0</v>
      </c>
      <c r="AA36" s="52">
        <f ca="1">+SUM(AB36:AH36,AJ36:AM36)</f>
        <v>0</v>
      </c>
      <c r="AB36" s="50">
        <f ca="1">+GETPIVOTDATA("XBG4",'binhgia (2016)'!$A$3,"MA_HT","DTT","MA_QH","DGT")</f>
        <v>0</v>
      </c>
      <c r="AC36" s="50">
        <f ca="1">+GETPIVOTDATA("XBG4",'binhgia (2016)'!$A$3,"MA_HT","DTT","MA_QH","DTL")</f>
        <v>0</v>
      </c>
      <c r="AD36" s="50">
        <f ca="1">+GETPIVOTDATA("XBG4",'binhgia (2016)'!$A$3,"MA_HT","DTT","MA_QH","DNL")</f>
        <v>0</v>
      </c>
      <c r="AE36" s="50">
        <f ca="1">+GETPIVOTDATA("XBG4",'binhgia (2016)'!$A$3,"MA_HT","DTT","MA_QH","DBV")</f>
        <v>0</v>
      </c>
      <c r="AF36" s="50">
        <f ca="1">+GETPIVOTDATA("XBG4",'binhgia (2016)'!$A$3,"MA_HT","DTT","MA_QH","DVH")</f>
        <v>0</v>
      </c>
      <c r="AG36" s="50">
        <f ca="1">+GETPIVOTDATA("XBG4",'binhgia (2016)'!$A$3,"MA_HT","DTT","MA_QH","DYT")</f>
        <v>0</v>
      </c>
      <c r="AH36" s="50">
        <f ca="1">+GETPIVOTDATA("XBG4",'binhgia (2016)'!$A$3,"MA_HT","DTT","MA_QH","DGD")</f>
        <v>0</v>
      </c>
      <c r="AI36" s="49" t="e">
        <f ca="1">$D36-$BF36</f>
        <v>#REF!</v>
      </c>
      <c r="AJ36" s="50">
        <f ca="1">+GETPIVOTDATA("XBG4",'binhgia (2016)'!$A$3,"MA_HT","DTT","MA_QH","NCK")</f>
        <v>0</v>
      </c>
      <c r="AK36" s="50">
        <f ca="1">+GETPIVOTDATA("XBG4",'binhgia (2016)'!$A$3,"MA_HT","DTT","MA_QH","DXH")</f>
        <v>0</v>
      </c>
      <c r="AL36" s="50">
        <f ca="1">+GETPIVOTDATA("XBG4",'binhgia (2016)'!$A$3,"MA_HT","DTT","MA_QH","DCH")</f>
        <v>0</v>
      </c>
      <c r="AM36" s="50">
        <f ca="1">+GETPIVOTDATA("XBG4",'binhgia (2016)'!$A$3,"MA_HT","DTT","MA_QH","DKG")</f>
        <v>0</v>
      </c>
      <c r="AN36" s="50">
        <f ca="1">+GETPIVOTDATA("XBG4",'binhgia (2016)'!$A$3,"MA_HT","DTT","MA_QH","DDT")</f>
        <v>0</v>
      </c>
      <c r="AO36" s="50">
        <f ca="1">+GETPIVOTDATA("XBG4",'binhgia (2016)'!$A$3,"MA_HT","DTT","MA_QH","DDL")</f>
        <v>0</v>
      </c>
      <c r="AP36" s="50">
        <f ca="1">+GETPIVOTDATA("XBG4",'binhgia (2016)'!$A$3,"MA_HT","DTT","MA_QH","DRA")</f>
        <v>0</v>
      </c>
      <c r="AQ36" s="50">
        <f ca="1">+GETPIVOTDATA("XBG4",'binhgia (2016)'!$A$3,"MA_HT","DTT","MA_QH","ONT")</f>
        <v>0</v>
      </c>
      <c r="AR36" s="50">
        <f ca="1">+GETPIVOTDATA("XBG4",'binhgia (2016)'!$A$3,"MA_HT","DTT","MA_QH","ODT")</f>
        <v>0</v>
      </c>
      <c r="AS36" s="50">
        <f ca="1">+GETPIVOTDATA("XBG4",'binhgia (2016)'!$A$3,"MA_HT","DTT","MA_QH","TSC")</f>
        <v>0</v>
      </c>
      <c r="AT36" s="50">
        <f ca="1">+GETPIVOTDATA("XBG4",'binhgia (2016)'!$A$3,"MA_HT","DTT","MA_QH","DTS")</f>
        <v>0</v>
      </c>
      <c r="AU36" s="50">
        <f ca="1">+GETPIVOTDATA("XBG4",'binhgia (2016)'!$A$3,"MA_HT","DTT","MA_QH","DNG")</f>
        <v>0</v>
      </c>
      <c r="AV36" s="50">
        <f ca="1">+GETPIVOTDATA("XBG4",'binhgia (2016)'!$A$3,"MA_HT","DTT","MA_QH","TON")</f>
        <v>0</v>
      </c>
      <c r="AW36" s="50">
        <f ca="1">+GETPIVOTDATA("XBG4",'binhgia (2016)'!$A$3,"MA_HT","DTT","MA_QH","NTD")</f>
        <v>0</v>
      </c>
      <c r="AX36" s="50">
        <f ca="1">+GETPIVOTDATA("XBG4",'binhgia (2016)'!$A$3,"MA_HT","DTT","MA_QH","SKX")</f>
        <v>0</v>
      </c>
      <c r="AY36" s="50">
        <f ca="1">+GETPIVOTDATA("XBG4",'binhgia (2016)'!$A$3,"MA_HT","DTT","MA_QH","DSH")</f>
        <v>0</v>
      </c>
      <c r="AZ36" s="50">
        <f ca="1">+GETPIVOTDATA("XBG4",'binhgia (2016)'!$A$3,"MA_HT","DTT","MA_QH","DKV")</f>
        <v>0</v>
      </c>
      <c r="BA36" s="88">
        <f ca="1">+GETPIVOTDATA("XBG4",'binhgia (2016)'!$A$3,"MA_HT","DTT","MA_QH","TIN")</f>
        <v>0</v>
      </c>
      <c r="BB36" s="50">
        <f ca="1">+GETPIVOTDATA("XBG4",'binhgia (2016)'!$A$3,"MA_HT","DTT","MA_QH","SON")</f>
        <v>0</v>
      </c>
      <c r="BC36" s="50">
        <f ca="1">+GETPIVOTDATA("XBG4",'binhgia (2016)'!$A$3,"MA_HT","DTT","MA_QH","MNC")</f>
        <v>0</v>
      </c>
      <c r="BD36" s="50">
        <f ca="1">+GETPIVOTDATA("XBG4",'binhgia (2016)'!$A$3,"MA_HT","DTT","MA_QH","PNK")</f>
        <v>0</v>
      </c>
      <c r="BE36" s="80">
        <f ca="1">+GETPIVOTDATA("XBG4",'binhgia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+GETPIVOTDATA("XBG4",'binhgia (2016)'!$A$3,"MA_HT","NCK","MA_QH","LUC")</f>
        <v>0</v>
      </c>
      <c r="H37" s="50">
        <f ca="1">+GETPIVOTDATA("XBG4",'binhgia (2016)'!$A$3,"MA_HT","NCK","MA_QH","LUK")</f>
        <v>0</v>
      </c>
      <c r="I37" s="50">
        <f ca="1">+GETPIVOTDATA("XBG4",'binhgia (2016)'!$A$3,"MA_HT","NCK","MA_QH","LUN")</f>
        <v>0</v>
      </c>
      <c r="J37" s="50">
        <f ca="1">+GETPIVOTDATA("XBG4",'binhgia (2016)'!$A$3,"MA_HT","NCK","MA_QH","HNK")</f>
        <v>0</v>
      </c>
      <c r="K37" s="50">
        <f ca="1">+GETPIVOTDATA("XBG4",'binhgia (2016)'!$A$3,"MA_HT","NCK","MA_QH","CLN")</f>
        <v>0</v>
      </c>
      <c r="L37" s="50">
        <f ca="1">+GETPIVOTDATA("XBG4",'binhgia (2016)'!$A$3,"MA_HT","NCK","MA_QH","RSX")</f>
        <v>0</v>
      </c>
      <c r="M37" s="50">
        <f ca="1">+GETPIVOTDATA("XBG4",'binhgia (2016)'!$A$3,"MA_HT","NCK","MA_QH","RPH")</f>
        <v>0</v>
      </c>
      <c r="N37" s="50">
        <f ca="1">+GETPIVOTDATA("XBG4",'binhgia (2016)'!$A$3,"MA_HT","NCK","MA_QH","RDD")</f>
        <v>0</v>
      </c>
      <c r="O37" s="50">
        <f ca="1">+GETPIVOTDATA("XBG4",'binhgia (2016)'!$A$3,"MA_HT","NCK","MA_QH","NTS")</f>
        <v>0</v>
      </c>
      <c r="P37" s="50">
        <f ca="1">+GETPIVOTDATA("XBG4",'binhgia (2016)'!$A$3,"MA_HT","NCK","MA_QH","LMU")</f>
        <v>0</v>
      </c>
      <c r="Q37" s="50">
        <f ca="1">+GETPIVOTDATA("XBG4",'binhgia (2016)'!$A$3,"MA_HT","NCK","MA_QH","NKH")</f>
        <v>0</v>
      </c>
      <c r="R37" s="48">
        <f ca="1" t="shared" si="20"/>
        <v>0</v>
      </c>
      <c r="S37" s="50">
        <f ca="1">+GETPIVOTDATA("XBG4",'binhgia (2016)'!$A$3,"MA_HT","NCK","MA_QH","CQP")</f>
        <v>0</v>
      </c>
      <c r="T37" s="50">
        <f ca="1">+GETPIVOTDATA("XBG4",'binhgia (2016)'!$A$3,"MA_HT","NCK","MA_QH","CAN")</f>
        <v>0</v>
      </c>
      <c r="U37" s="50">
        <f ca="1">+GETPIVOTDATA("XBG4",'binhgia (2016)'!$A$3,"MA_HT","NCK","MA_QH","SKK")</f>
        <v>0</v>
      </c>
      <c r="V37" s="50">
        <f ca="1">+GETPIVOTDATA("XBG4",'binhgia (2016)'!$A$3,"MA_HT","NCK","MA_QH","SKT")</f>
        <v>0</v>
      </c>
      <c r="W37" s="50">
        <f ca="1">+GETPIVOTDATA("XBG4",'binhgia (2016)'!$A$3,"MA_HT","NCK","MA_QH","SKN")</f>
        <v>0</v>
      </c>
      <c r="X37" s="50">
        <f ca="1">+GETPIVOTDATA("XBG4",'binhgia (2016)'!$A$3,"MA_HT","NCK","MA_QH","TMD")</f>
        <v>0</v>
      </c>
      <c r="Y37" s="50">
        <f ca="1">+GETPIVOTDATA("XBG4",'binhgia (2016)'!$A$3,"MA_HT","NCK","MA_QH","SKC")</f>
        <v>0</v>
      </c>
      <c r="Z37" s="50">
        <f ca="1">+GETPIVOTDATA("XBG4",'binhgia (2016)'!$A$3,"MA_HT","NCK","MA_QH","SKS")</f>
        <v>0</v>
      </c>
      <c r="AA37" s="52">
        <f ca="1">+SUM(AB37:AI37,AK37:AM37)</f>
        <v>0</v>
      </c>
      <c r="AB37" s="50">
        <f ca="1">+GETPIVOTDATA("XBG4",'binhgia (2016)'!$A$3,"MA_HT","NCK","MA_QH","DGT")</f>
        <v>0</v>
      </c>
      <c r="AC37" s="50">
        <f ca="1">+GETPIVOTDATA("XBG4",'binhgia (2016)'!$A$3,"MA_HT","NCK","MA_QH","DTL")</f>
        <v>0</v>
      </c>
      <c r="AD37" s="50">
        <f ca="1">+GETPIVOTDATA("XBG4",'binhgia (2016)'!$A$3,"MA_HT","NCK","MA_QH","DNL")</f>
        <v>0</v>
      </c>
      <c r="AE37" s="50">
        <f ca="1">+GETPIVOTDATA("XBG4",'binhgia (2016)'!$A$3,"MA_HT","NCK","MA_QH","DBV")</f>
        <v>0</v>
      </c>
      <c r="AF37" s="50">
        <f ca="1">+GETPIVOTDATA("XBG4",'binhgia (2016)'!$A$3,"MA_HT","NCK","MA_QH","DVH")</f>
        <v>0</v>
      </c>
      <c r="AG37" s="50">
        <f ca="1">+GETPIVOTDATA("XBG4",'binhgia (2016)'!$A$3,"MA_HT","NCK","MA_QH","DYT")</f>
        <v>0</v>
      </c>
      <c r="AH37" s="50">
        <f ca="1">+GETPIVOTDATA("XBG4",'binhgia (2016)'!$A$3,"MA_HT","NCK","MA_QH","DGD")</f>
        <v>0</v>
      </c>
      <c r="AI37" s="50">
        <f ca="1">+GETPIVOTDATA("XBG4",'binhgia (2016)'!$A$3,"MA_HT","NCK","MA_QH","DTT")</f>
        <v>0</v>
      </c>
      <c r="AJ37" s="49" t="e">
        <f ca="1">$D37-$BF37</f>
        <v>#REF!</v>
      </c>
      <c r="AK37" s="50">
        <f ca="1">+GETPIVOTDATA("XBG4",'binhgia (2016)'!$A$3,"MA_HT","NCK","MA_QH","DXH")</f>
        <v>0</v>
      </c>
      <c r="AL37" s="50">
        <f ca="1">+GETPIVOTDATA("XBG4",'binhgia (2016)'!$A$3,"MA_HT","NCK","MA_QH","DCH")</f>
        <v>0</v>
      </c>
      <c r="AM37" s="50">
        <f ca="1">+GETPIVOTDATA("XBG4",'binhgia (2016)'!$A$3,"MA_HT","NCK","MA_QH","DKG")</f>
        <v>0</v>
      </c>
      <c r="AN37" s="50">
        <f ca="1">+GETPIVOTDATA("XBG4",'binhgia (2016)'!$A$3,"MA_HT","NCK","MA_QH","DDT")</f>
        <v>0</v>
      </c>
      <c r="AO37" s="50">
        <f ca="1">+GETPIVOTDATA("XBG4",'binhgia (2016)'!$A$3,"MA_HT","NCK","MA_QH","DDL")</f>
        <v>0</v>
      </c>
      <c r="AP37" s="50">
        <f ca="1">+GETPIVOTDATA("XBG4",'binhgia (2016)'!$A$3,"MA_HT","NCK","MA_QH","DRA")</f>
        <v>0</v>
      </c>
      <c r="AQ37" s="50">
        <f ca="1">+GETPIVOTDATA("XBG4",'binhgia (2016)'!$A$3,"MA_HT","NCK","MA_QH","ONT")</f>
        <v>0</v>
      </c>
      <c r="AR37" s="50">
        <f ca="1">+GETPIVOTDATA("XBG4",'binhgia (2016)'!$A$3,"MA_HT","NCK","MA_QH","ODT")</f>
        <v>0</v>
      </c>
      <c r="AS37" s="50">
        <f ca="1">+GETPIVOTDATA("XBG4",'binhgia (2016)'!$A$3,"MA_HT","NCK","MA_QH","TSC")</f>
        <v>0</v>
      </c>
      <c r="AT37" s="50">
        <f ca="1">+GETPIVOTDATA("XBG4",'binhgia (2016)'!$A$3,"MA_HT","NCK","MA_QH","DTS")</f>
        <v>0</v>
      </c>
      <c r="AU37" s="50">
        <f ca="1">+GETPIVOTDATA("XBG4",'binhgia (2016)'!$A$3,"MA_HT","NCK","MA_QH","DNG")</f>
        <v>0</v>
      </c>
      <c r="AV37" s="50">
        <f ca="1">+GETPIVOTDATA("XBG4",'binhgia (2016)'!$A$3,"MA_HT","NCK","MA_QH","TON")</f>
        <v>0</v>
      </c>
      <c r="AW37" s="50">
        <f ca="1">+GETPIVOTDATA("XBG4",'binhgia (2016)'!$A$3,"MA_HT","NCK","MA_QH","NTD")</f>
        <v>0</v>
      </c>
      <c r="AX37" s="50">
        <f ca="1">+GETPIVOTDATA("XBG4",'binhgia (2016)'!$A$3,"MA_HT","NCK","MA_QH","SKX")</f>
        <v>0</v>
      </c>
      <c r="AY37" s="50">
        <f ca="1">+GETPIVOTDATA("XBG4",'binhgia (2016)'!$A$3,"MA_HT","NCK","MA_QH","DSH")</f>
        <v>0</v>
      </c>
      <c r="AZ37" s="50">
        <f ca="1">+GETPIVOTDATA("XBG4",'binhgia (2016)'!$A$3,"MA_HT","NCK","MA_QH","DKV")</f>
        <v>0</v>
      </c>
      <c r="BA37" s="88">
        <f ca="1">+GETPIVOTDATA("XBG4",'binhgia (2016)'!$A$3,"MA_HT","NCK","MA_QH","TIN")</f>
        <v>0</v>
      </c>
      <c r="BB37" s="50">
        <f ca="1">+GETPIVOTDATA("XBG4",'binhgia (2016)'!$A$3,"MA_HT","NCK","MA_QH","SON")</f>
        <v>0</v>
      </c>
      <c r="BC37" s="50">
        <f ca="1">+GETPIVOTDATA("XBG4",'binhgia (2016)'!$A$3,"MA_HT","NCK","MA_QH","MNC")</f>
        <v>0</v>
      </c>
      <c r="BD37" s="50">
        <f ca="1">+GETPIVOTDATA("XBG4",'binhgia (2016)'!$A$3,"MA_HT","NCK","MA_QH","PNK")</f>
        <v>0</v>
      </c>
      <c r="BE37" s="80">
        <f ca="1">+GETPIVOTDATA("XBG4",'binhgia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+GETPIVOTDATA("XBG4",'binhgia (2016)'!$A$3,"MA_HT","DXH","MA_QH","LUC")</f>
        <v>0</v>
      </c>
      <c r="H38" s="50">
        <f ca="1">+GETPIVOTDATA("XBG4",'binhgia (2016)'!$A$3,"MA_HT","DXH","MA_QH","LUK")</f>
        <v>0</v>
      </c>
      <c r="I38" s="50">
        <f ca="1">+GETPIVOTDATA("XBG4",'binhgia (2016)'!$A$3,"MA_HT","DXH","MA_QH","LUN")</f>
        <v>0</v>
      </c>
      <c r="J38" s="50">
        <f ca="1">+GETPIVOTDATA("XBG4",'binhgia (2016)'!$A$3,"MA_HT","DXH","MA_QH","HNK")</f>
        <v>0</v>
      </c>
      <c r="K38" s="50">
        <f ca="1">+GETPIVOTDATA("XBG4",'binhgia (2016)'!$A$3,"MA_HT","DXH","MA_QH","CLN")</f>
        <v>0</v>
      </c>
      <c r="L38" s="50">
        <f ca="1">+GETPIVOTDATA("XBG4",'binhgia (2016)'!$A$3,"MA_HT","DXH","MA_QH","RSX")</f>
        <v>0</v>
      </c>
      <c r="M38" s="50">
        <f ca="1">+GETPIVOTDATA("XBG4",'binhgia (2016)'!$A$3,"MA_HT","DXH","MA_QH","RPH")</f>
        <v>0</v>
      </c>
      <c r="N38" s="50">
        <f ca="1">+GETPIVOTDATA("XBG4",'binhgia (2016)'!$A$3,"MA_HT","DXH","MA_QH","RDD")</f>
        <v>0</v>
      </c>
      <c r="O38" s="50">
        <f ca="1">+GETPIVOTDATA("XBG4",'binhgia (2016)'!$A$3,"MA_HT","DXH","MA_QH","NTS")</f>
        <v>0</v>
      </c>
      <c r="P38" s="50">
        <f ca="1">+GETPIVOTDATA("XBG4",'binhgia (2016)'!$A$3,"MA_HT","DXH","MA_QH","LMU")</f>
        <v>0</v>
      </c>
      <c r="Q38" s="50">
        <f ca="1">+GETPIVOTDATA("XBG4",'binhgia (2016)'!$A$3,"MA_HT","DXH","MA_QH","NKH")</f>
        <v>0</v>
      </c>
      <c r="R38" s="48">
        <f ca="1" t="shared" si="20"/>
        <v>0</v>
      </c>
      <c r="S38" s="50">
        <f ca="1">+GETPIVOTDATA("XBG4",'binhgia (2016)'!$A$3,"MA_HT","DXH","MA_QH","CQP")</f>
        <v>0</v>
      </c>
      <c r="T38" s="50">
        <f ca="1">+GETPIVOTDATA("XBG4",'binhgia (2016)'!$A$3,"MA_HT","DXH","MA_QH","CAN")</f>
        <v>0</v>
      </c>
      <c r="U38" s="50">
        <f ca="1">+GETPIVOTDATA("XBG4",'binhgia (2016)'!$A$3,"MA_HT","DXH","MA_QH","SKK")</f>
        <v>0</v>
      </c>
      <c r="V38" s="50">
        <f ca="1">+GETPIVOTDATA("XBG4",'binhgia (2016)'!$A$3,"MA_HT","DXH","MA_QH","SKT")</f>
        <v>0</v>
      </c>
      <c r="W38" s="50">
        <f ca="1">+GETPIVOTDATA("XBG4",'binhgia (2016)'!$A$3,"MA_HT","DXH","MA_QH","SKN")</f>
        <v>0</v>
      </c>
      <c r="X38" s="50">
        <f ca="1">+GETPIVOTDATA("XBG4",'binhgia (2016)'!$A$3,"MA_HT","DXH","MA_QH","TMD")</f>
        <v>0</v>
      </c>
      <c r="Y38" s="50">
        <f ca="1">+GETPIVOTDATA("XBG4",'binhgia (2016)'!$A$3,"MA_HT","DXH","MA_QH","SKC")</f>
        <v>0</v>
      </c>
      <c r="Z38" s="50">
        <f ca="1">+GETPIVOTDATA("XBG4",'binhgia (2016)'!$A$3,"MA_HT","DXH","MA_QH","SKS")</f>
        <v>0</v>
      </c>
      <c r="AA38" s="52">
        <f ca="1">+SUM(AB38:AJ38,AL38:AM38)</f>
        <v>0</v>
      </c>
      <c r="AB38" s="50">
        <f ca="1">+GETPIVOTDATA("XBG4",'binhgia (2016)'!$A$3,"MA_HT","DXH","MA_QH","DGT")</f>
        <v>0</v>
      </c>
      <c r="AC38" s="50">
        <f ca="1">+GETPIVOTDATA("XBG4",'binhgia (2016)'!$A$3,"MA_HT","DXH","MA_QH","DTL")</f>
        <v>0</v>
      </c>
      <c r="AD38" s="50">
        <f ca="1">+GETPIVOTDATA("XBG4",'binhgia (2016)'!$A$3,"MA_HT","DXH","MA_QH","DNL")</f>
        <v>0</v>
      </c>
      <c r="AE38" s="50">
        <f ca="1">+GETPIVOTDATA("XBG4",'binhgia (2016)'!$A$3,"MA_HT","DXH","MA_QH","DBV")</f>
        <v>0</v>
      </c>
      <c r="AF38" s="50">
        <f ca="1">+GETPIVOTDATA("XBG4",'binhgia (2016)'!$A$3,"MA_HT","DXH","MA_QH","DVH")</f>
        <v>0</v>
      </c>
      <c r="AG38" s="50">
        <f ca="1">+GETPIVOTDATA("XBG4",'binhgia (2016)'!$A$3,"MA_HT","DXH","MA_QH","DYT")</f>
        <v>0</v>
      </c>
      <c r="AH38" s="50">
        <f ca="1">+GETPIVOTDATA("XBG4",'binhgia (2016)'!$A$3,"MA_HT","DXH","MA_QH","DGD")</f>
        <v>0</v>
      </c>
      <c r="AI38" s="50">
        <f ca="1">+GETPIVOTDATA("XBG4",'binhgia (2016)'!$A$3,"MA_HT","DXH","MA_QH","DTT")</f>
        <v>0</v>
      </c>
      <c r="AJ38" s="50">
        <f ca="1">+GETPIVOTDATA("XBG4",'binhgia (2016)'!$A$3,"MA_HT","DXH","MA_QH","NCK")</f>
        <v>0</v>
      </c>
      <c r="AK38" s="49" t="e">
        <f ca="1">$D38-$BF38</f>
        <v>#REF!</v>
      </c>
      <c r="AL38" s="50">
        <f ca="1">+GETPIVOTDATA("XBG4",'binhgia (2016)'!$A$3,"MA_HT","DXH","MA_QH","DCH")</f>
        <v>0</v>
      </c>
      <c r="AM38" s="50">
        <f ca="1">+GETPIVOTDATA("XBG4",'binhgia (2016)'!$A$3,"MA_HT","DXH","MA_QH","DKG")</f>
        <v>0</v>
      </c>
      <c r="AN38" s="50">
        <f ca="1">+GETPIVOTDATA("XBG4",'binhgia (2016)'!$A$3,"MA_HT","DXH","MA_QH","DDT")</f>
        <v>0</v>
      </c>
      <c r="AO38" s="50">
        <f ca="1">+GETPIVOTDATA("XBG4",'binhgia (2016)'!$A$3,"MA_HT","DXH","MA_QH","DDL")</f>
        <v>0</v>
      </c>
      <c r="AP38" s="50">
        <f ca="1">+GETPIVOTDATA("XBG4",'binhgia (2016)'!$A$3,"MA_HT","DXH","MA_QH","DRA")</f>
        <v>0</v>
      </c>
      <c r="AQ38" s="50">
        <f ca="1">+GETPIVOTDATA("XBG4",'binhgia (2016)'!$A$3,"MA_HT","DXH","MA_QH","ONT")</f>
        <v>0</v>
      </c>
      <c r="AR38" s="50">
        <f ca="1">+GETPIVOTDATA("XBG4",'binhgia (2016)'!$A$3,"MA_HT","DXH","MA_QH","ODT")</f>
        <v>0</v>
      </c>
      <c r="AS38" s="50">
        <f ca="1">+GETPIVOTDATA("XBG4",'binhgia (2016)'!$A$3,"MA_HT","DXH","MA_QH","TSC")</f>
        <v>0</v>
      </c>
      <c r="AT38" s="50">
        <f ca="1">+GETPIVOTDATA("XBG4",'binhgia (2016)'!$A$3,"MA_HT","DXH","MA_QH","DTS")</f>
        <v>0</v>
      </c>
      <c r="AU38" s="50">
        <f ca="1">+GETPIVOTDATA("XBG4",'binhgia (2016)'!$A$3,"MA_HT","DXH","MA_QH","DNG")</f>
        <v>0</v>
      </c>
      <c r="AV38" s="50">
        <f ca="1">+GETPIVOTDATA("XBG4",'binhgia (2016)'!$A$3,"MA_HT","DXH","MA_QH","TON")</f>
        <v>0</v>
      </c>
      <c r="AW38" s="50">
        <f ca="1">+GETPIVOTDATA("XBG4",'binhgia (2016)'!$A$3,"MA_HT","DXH","MA_QH","NTD")</f>
        <v>0</v>
      </c>
      <c r="AX38" s="50">
        <f ca="1">+GETPIVOTDATA("XBG4",'binhgia (2016)'!$A$3,"MA_HT","DXH","MA_QH","SKX")</f>
        <v>0</v>
      </c>
      <c r="AY38" s="50">
        <f ca="1">+GETPIVOTDATA("XBG4",'binhgia (2016)'!$A$3,"MA_HT","DXH","MA_QH","DSH")</f>
        <v>0</v>
      </c>
      <c r="AZ38" s="50">
        <f ca="1">+GETPIVOTDATA("XBG4",'binhgia (2016)'!$A$3,"MA_HT","DXH","MA_QH","DKV")</f>
        <v>0</v>
      </c>
      <c r="BA38" s="88">
        <f ca="1">+GETPIVOTDATA("XBG4",'binhgia (2016)'!$A$3,"MA_HT","DXH","MA_QH","TIN")</f>
        <v>0</v>
      </c>
      <c r="BB38" s="50">
        <f ca="1">+GETPIVOTDATA("XBG4",'binhgia (2016)'!$A$3,"MA_HT","DXH","MA_QH","SON")</f>
        <v>0</v>
      </c>
      <c r="BC38" s="50">
        <f ca="1">+GETPIVOTDATA("XBG4",'binhgia (2016)'!$A$3,"MA_HT","DXH","MA_QH","MNC")</f>
        <v>0</v>
      </c>
      <c r="BD38" s="50">
        <f ca="1">+GETPIVOTDATA("XBG4",'binhgia (2016)'!$A$3,"MA_HT","DXH","MA_QH","PNK")</f>
        <v>0</v>
      </c>
      <c r="BE38" s="80">
        <f ca="1">+GETPIVOTDATA("XBG4",'binhgia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+GETPIVOTDATA("XBG4",'binhgia (2016)'!$A$3,"MA_HT","DCH","MA_QH","LUC")</f>
        <v>0</v>
      </c>
      <c r="H39" s="50">
        <f ca="1">+GETPIVOTDATA("XBG4",'binhgia (2016)'!$A$3,"MA_HT","DCH","MA_QH","LUK")</f>
        <v>0</v>
      </c>
      <c r="I39" s="50">
        <f ca="1">+GETPIVOTDATA("XBG4",'binhgia (2016)'!$A$3,"MA_HT","DCH","MA_QH","LUN")</f>
        <v>0</v>
      </c>
      <c r="J39" s="50">
        <f ca="1">+GETPIVOTDATA("XBG4",'binhgia (2016)'!$A$3,"MA_HT","DCH","MA_QH","HNK")</f>
        <v>0</v>
      </c>
      <c r="K39" s="50">
        <f ca="1">+GETPIVOTDATA("XBG4",'binhgia (2016)'!$A$3,"MA_HT","DCH","MA_QH","CLN")</f>
        <v>0</v>
      </c>
      <c r="L39" s="50">
        <f ca="1">+GETPIVOTDATA("XBG4",'binhgia (2016)'!$A$3,"MA_HT","DCH","MA_QH","RSX")</f>
        <v>0</v>
      </c>
      <c r="M39" s="50">
        <f ca="1">+GETPIVOTDATA("XBG4",'binhgia (2016)'!$A$3,"MA_HT","DCH","MA_QH","RPH")</f>
        <v>0</v>
      </c>
      <c r="N39" s="50">
        <f ca="1">+GETPIVOTDATA("XBG4",'binhgia (2016)'!$A$3,"MA_HT","DCH","MA_QH","RDD")</f>
        <v>0</v>
      </c>
      <c r="O39" s="50">
        <f ca="1">+GETPIVOTDATA("XBG4",'binhgia (2016)'!$A$3,"MA_HT","DCH","MA_QH","NTS")</f>
        <v>0</v>
      </c>
      <c r="P39" s="50">
        <f ca="1">+GETPIVOTDATA("XBG4",'binhgia (2016)'!$A$3,"MA_HT","DCH","MA_QH","LMU")</f>
        <v>0</v>
      </c>
      <c r="Q39" s="50">
        <f ca="1">+GETPIVOTDATA("XBG4",'binhgia (2016)'!$A$3,"MA_HT","DCH","MA_QH","NKH")</f>
        <v>0</v>
      </c>
      <c r="R39" s="48">
        <f ca="1" t="shared" si="20"/>
        <v>0</v>
      </c>
      <c r="S39" s="50">
        <f ca="1">+GETPIVOTDATA("XBG4",'binhgia (2016)'!$A$3,"MA_HT","DCH","MA_QH","CQP")</f>
        <v>0</v>
      </c>
      <c r="T39" s="50">
        <f ca="1">+GETPIVOTDATA("XBG4",'binhgia (2016)'!$A$3,"MA_HT","DCH","MA_QH","CAN")</f>
        <v>0</v>
      </c>
      <c r="U39" s="50">
        <f ca="1">+GETPIVOTDATA("XBG4",'binhgia (2016)'!$A$3,"MA_HT","DCH","MA_QH","SKK")</f>
        <v>0</v>
      </c>
      <c r="V39" s="50">
        <f ca="1">+GETPIVOTDATA("XBG4",'binhgia (2016)'!$A$3,"MA_HT","DCH","MA_QH","SKT")</f>
        <v>0</v>
      </c>
      <c r="W39" s="50">
        <f ca="1">+GETPIVOTDATA("XBG4",'binhgia (2016)'!$A$3,"MA_HT","DCH","MA_QH","SKN")</f>
        <v>0</v>
      </c>
      <c r="X39" s="50">
        <f ca="1">+GETPIVOTDATA("XBG4",'binhgia (2016)'!$A$3,"MA_HT","DCH","MA_QH","TMD")</f>
        <v>0</v>
      </c>
      <c r="Y39" s="50">
        <f ca="1">+GETPIVOTDATA("XBG4",'binhgia (2016)'!$A$3,"MA_HT","DCH","MA_QH","SKC")</f>
        <v>0</v>
      </c>
      <c r="Z39" s="50">
        <f ca="1">+GETPIVOTDATA("XBG4",'binhgia (2016)'!$A$3,"MA_HT","DCH","MA_QH","SKS")</f>
        <v>0</v>
      </c>
      <c r="AA39" s="52">
        <f ca="1">+SUM(AB39:AK39,AM39)</f>
        <v>0</v>
      </c>
      <c r="AB39" s="50">
        <f ca="1">+GETPIVOTDATA("XBG4",'binhgia (2016)'!$A$3,"MA_HT","DCH","MA_QH","DGT")</f>
        <v>0</v>
      </c>
      <c r="AC39" s="50">
        <f ca="1">+GETPIVOTDATA("XBG4",'binhgia (2016)'!$A$3,"MA_HT","DCH","MA_QH","DTL")</f>
        <v>0</v>
      </c>
      <c r="AD39" s="50">
        <f ca="1">+GETPIVOTDATA("XBG4",'binhgia (2016)'!$A$3,"MA_HT","DCH","MA_QH","DNL")</f>
        <v>0</v>
      </c>
      <c r="AE39" s="50">
        <f ca="1">+GETPIVOTDATA("XBG4",'binhgia (2016)'!$A$3,"MA_HT","DCH","MA_QH","DBV")</f>
        <v>0</v>
      </c>
      <c r="AF39" s="50">
        <f ca="1">+GETPIVOTDATA("XBG4",'binhgia (2016)'!$A$3,"MA_HT","DCH","MA_QH","DVH")</f>
        <v>0</v>
      </c>
      <c r="AG39" s="50">
        <f ca="1">+GETPIVOTDATA("XBG4",'binhgia (2016)'!$A$3,"MA_HT","DCH","MA_QH","DYT")</f>
        <v>0</v>
      </c>
      <c r="AH39" s="50">
        <f ca="1">+GETPIVOTDATA("XBG4",'binhgia (2016)'!$A$3,"MA_HT","DCH","MA_QH","DGD")</f>
        <v>0</v>
      </c>
      <c r="AI39" s="50">
        <f ca="1">+GETPIVOTDATA("XBG4",'binhgia (2016)'!$A$3,"MA_HT","DCH","MA_QH","DTT")</f>
        <v>0</v>
      </c>
      <c r="AJ39" s="50">
        <f ca="1">+GETPIVOTDATA("XBG4",'binhgia (2016)'!$A$3,"MA_HT","DCH","MA_QH","NCK")</f>
        <v>0</v>
      </c>
      <c r="AK39" s="50">
        <f ca="1">+GETPIVOTDATA("XBG4",'binhgia (2016)'!$A$3,"MA_HT","DCH","MA_QH","DXH")</f>
        <v>0</v>
      </c>
      <c r="AL39" s="49" t="e">
        <f ca="1">$D39-$BF39</f>
        <v>#REF!</v>
      </c>
      <c r="AM39" s="50">
        <f ca="1">+GETPIVOTDATA("XBG4",'binhgia (2016)'!$A$3,"MA_HT","DXH","MA_QH","DKG")</f>
        <v>0</v>
      </c>
      <c r="AN39" s="50">
        <f ca="1">+GETPIVOTDATA("XBG4",'binhgia (2016)'!$A$3,"MA_HT","DCH","MA_QH","DDT")</f>
        <v>0</v>
      </c>
      <c r="AO39" s="50">
        <f ca="1">+GETPIVOTDATA("XBG4",'binhgia (2016)'!$A$3,"MA_HT","DCH","MA_QH","DDL")</f>
        <v>0</v>
      </c>
      <c r="AP39" s="50">
        <f ca="1">+GETPIVOTDATA("XBG4",'binhgia (2016)'!$A$3,"MA_HT","DCH","MA_QH","DRA")</f>
        <v>0</v>
      </c>
      <c r="AQ39" s="50">
        <f ca="1">+GETPIVOTDATA("XBG4",'binhgia (2016)'!$A$3,"MA_HT","DCH","MA_QH","ONT")</f>
        <v>0</v>
      </c>
      <c r="AR39" s="50">
        <f ca="1">+GETPIVOTDATA("XBG4",'binhgia (2016)'!$A$3,"MA_HT","DCH","MA_QH","ODT")</f>
        <v>0</v>
      </c>
      <c r="AS39" s="50">
        <f ca="1">+GETPIVOTDATA("XBG4",'binhgia (2016)'!$A$3,"MA_HT","DCH","MA_QH","TSC")</f>
        <v>0</v>
      </c>
      <c r="AT39" s="50">
        <f ca="1">+GETPIVOTDATA("XBG4",'binhgia (2016)'!$A$3,"MA_HT","DCH","MA_QH","DTS")</f>
        <v>0</v>
      </c>
      <c r="AU39" s="50">
        <f ca="1">+GETPIVOTDATA("XBG4",'binhgia (2016)'!$A$3,"MA_HT","DCH","MA_QH","DNG")</f>
        <v>0</v>
      </c>
      <c r="AV39" s="50">
        <f ca="1">+GETPIVOTDATA("XBG4",'binhgia (2016)'!$A$3,"MA_HT","DCH","MA_QH","TON")</f>
        <v>0</v>
      </c>
      <c r="AW39" s="50">
        <f ca="1">+GETPIVOTDATA("XBG4",'binhgia (2016)'!$A$3,"MA_HT","DCH","MA_QH","NTD")</f>
        <v>0</v>
      </c>
      <c r="AX39" s="50">
        <f ca="1">+GETPIVOTDATA("XBG4",'binhgia (2016)'!$A$3,"MA_HT","DCH","MA_QH","SKX")</f>
        <v>0</v>
      </c>
      <c r="AY39" s="50">
        <f ca="1">+GETPIVOTDATA("XBG4",'binhgia (2016)'!$A$3,"MA_HT","DCH","MA_QH","DSH")</f>
        <v>0</v>
      </c>
      <c r="AZ39" s="50">
        <f ca="1">+GETPIVOTDATA("XBG4",'binhgia (2016)'!$A$3,"MA_HT","DCH","MA_QH","DKV")</f>
        <v>0</v>
      </c>
      <c r="BA39" s="88">
        <f ca="1">+GETPIVOTDATA("XBG4",'binhgia (2016)'!$A$3,"MA_HT","DCH","MA_QH","TIN")</f>
        <v>0</v>
      </c>
      <c r="BB39" s="50">
        <f ca="1">+GETPIVOTDATA("XBG4",'binhgia (2016)'!$A$3,"MA_HT","DCH","MA_QH","SON")</f>
        <v>0</v>
      </c>
      <c r="BC39" s="50">
        <f ca="1">+GETPIVOTDATA("XBG4",'binhgia (2016)'!$A$3,"MA_HT","DCH","MA_QH","MNC")</f>
        <v>0</v>
      </c>
      <c r="BD39" s="50">
        <f ca="1">+GETPIVOTDATA("XBG4",'binhgia (2016)'!$A$3,"MA_HT","DCH","MA_QH","PNK")</f>
        <v>0</v>
      </c>
      <c r="BE39" s="80">
        <f ca="1">+GETPIVOTDATA("XBG4",'binhgia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+GETPIVOTDATA("XBG4",'binhgia (2016)'!$A$3,"MA_HT","DKG","MA_QH","LUC")</f>
        <v>0</v>
      </c>
      <c r="H40" s="50">
        <f ca="1">+GETPIVOTDATA("XBG4",'binhgia (2016)'!$A$3,"MA_HT","DKG","MA_QH","LUK")</f>
        <v>0</v>
      </c>
      <c r="I40" s="50">
        <f ca="1">+GETPIVOTDATA("XBG4",'binhgia (2016)'!$A$3,"MA_HT","DKG","MA_QH","LUN")</f>
        <v>0</v>
      </c>
      <c r="J40" s="50">
        <f ca="1">+GETPIVOTDATA("XBG4",'binhgia (2016)'!$A$3,"MA_HT","DKG","MA_QH","HNK")</f>
        <v>0</v>
      </c>
      <c r="K40" s="50">
        <f ca="1">+GETPIVOTDATA("XBG4",'binhgia (2016)'!$A$3,"MA_HT","DKG","MA_QH","CLN")</f>
        <v>0</v>
      </c>
      <c r="L40" s="50">
        <f ca="1">+GETPIVOTDATA("XBG4",'binhgia (2016)'!$A$3,"MA_HT","DKG","MA_QH","RSX")</f>
        <v>0</v>
      </c>
      <c r="M40" s="50">
        <f ca="1">+GETPIVOTDATA("XBG4",'binhgia (2016)'!$A$3,"MA_HT","DKG","MA_QH","RPH")</f>
        <v>0</v>
      </c>
      <c r="N40" s="50">
        <f ca="1">+GETPIVOTDATA("XBG4",'binhgia (2016)'!$A$3,"MA_HT","DKG","MA_QH","RDD")</f>
        <v>0</v>
      </c>
      <c r="O40" s="50">
        <f ca="1">+GETPIVOTDATA("XBG4",'binhgia (2016)'!$A$3,"MA_HT","DKG","MA_QH","NTS")</f>
        <v>0</v>
      </c>
      <c r="P40" s="50">
        <f ca="1">+GETPIVOTDATA("XBG4",'binhgia (2016)'!$A$3,"MA_HT","DKG","MA_QH","LMU")</f>
        <v>0</v>
      </c>
      <c r="Q40" s="50">
        <f ca="1">+GETPIVOTDATA("XBG4",'binhgia (2016)'!$A$3,"MA_HT","DKG","MA_QH","NKH")</f>
        <v>0</v>
      </c>
      <c r="R40" s="48">
        <f ca="1" t="shared" si="20"/>
        <v>0</v>
      </c>
      <c r="S40" s="50">
        <f ca="1">+GETPIVOTDATA("XBG4",'binhgia (2016)'!$A$3,"MA_HT","DKG","MA_QH","CQP")</f>
        <v>0</v>
      </c>
      <c r="T40" s="50">
        <f ca="1">+GETPIVOTDATA("XBG4",'binhgia (2016)'!$A$3,"MA_HT","DKG","MA_QH","CAN")</f>
        <v>0</v>
      </c>
      <c r="U40" s="50">
        <f ca="1">+GETPIVOTDATA("XBG4",'binhgia (2016)'!$A$3,"MA_HT","DKG","MA_QH","SKK")</f>
        <v>0</v>
      </c>
      <c r="V40" s="50">
        <f ca="1">+GETPIVOTDATA("XBG4",'binhgia (2016)'!$A$3,"MA_HT","DKG","MA_QH","SKT")</f>
        <v>0</v>
      </c>
      <c r="W40" s="50">
        <f ca="1">+GETPIVOTDATA("XBG4",'binhgia (2016)'!$A$3,"MA_HT","DKG","MA_QH","SKN")</f>
        <v>0</v>
      </c>
      <c r="X40" s="50">
        <f ca="1">+GETPIVOTDATA("XBG4",'binhgia (2016)'!$A$3,"MA_HT","DKG","MA_QH","TMD")</f>
        <v>0</v>
      </c>
      <c r="Y40" s="50">
        <f ca="1">+GETPIVOTDATA("XBG4",'binhgia (2016)'!$A$3,"MA_HT","DKG","MA_QH","SKC")</f>
        <v>0</v>
      </c>
      <c r="Z40" s="50">
        <f ca="1">+GETPIVOTDATA("XBG4",'binhgia (2016)'!$A$3,"MA_HT","DKG","MA_QH","SKS")</f>
        <v>0</v>
      </c>
      <c r="AA40" s="52">
        <f ca="1">+SUM(AB40:AL40)</f>
        <v>0</v>
      </c>
      <c r="AB40" s="50">
        <f ca="1">+GETPIVOTDATA("XBG4",'binhgia (2016)'!$A$3,"MA_HT","DKG","MA_QH","DGT")</f>
        <v>0</v>
      </c>
      <c r="AC40" s="50">
        <f ca="1">+GETPIVOTDATA("XBG4",'binhgia (2016)'!$A$3,"MA_HT","DKG","MA_QH","DTL")</f>
        <v>0</v>
      </c>
      <c r="AD40" s="50">
        <f ca="1">+GETPIVOTDATA("XBG4",'binhgia (2016)'!$A$3,"MA_HT","DKG","MA_QH","DNL")</f>
        <v>0</v>
      </c>
      <c r="AE40" s="50">
        <f ca="1">+GETPIVOTDATA("XBG4",'binhgia (2016)'!$A$3,"MA_HT","DKG","MA_QH","DBV")</f>
        <v>0</v>
      </c>
      <c r="AF40" s="50">
        <f ca="1">+GETPIVOTDATA("XBG4",'binhgia (2016)'!$A$3,"MA_HT","DKG","MA_QH","DVH")</f>
        <v>0</v>
      </c>
      <c r="AG40" s="50">
        <f ca="1">+GETPIVOTDATA("XBG4",'binhgia (2016)'!$A$3,"MA_HT","DKG","MA_QH","DYT")</f>
        <v>0</v>
      </c>
      <c r="AH40" s="50">
        <f ca="1">+GETPIVOTDATA("XBG4",'binhgia (2016)'!$A$3,"MA_HT","DKG","MA_QH","DGD")</f>
        <v>0</v>
      </c>
      <c r="AI40" s="50">
        <f ca="1">+GETPIVOTDATA("XBG4",'binhgia (2016)'!$A$3,"MA_HT","DKG","MA_QH","DTT")</f>
        <v>0</v>
      </c>
      <c r="AJ40" s="50">
        <f ca="1">+GETPIVOTDATA("XBG4",'binhgia (2016)'!$A$3,"MA_HT","DKG","MA_QH","NCK")</f>
        <v>0</v>
      </c>
      <c r="AK40" s="50">
        <f ca="1">+GETPIVOTDATA("XBG4",'binhgia (2016)'!$A$3,"MA_HT","DKG","MA_QH","DXH")</f>
        <v>0</v>
      </c>
      <c r="AL40" s="60">
        <f ca="1">+GETPIVOTDATA("XBG4",'binhgia (2016)'!$A$3,"MA_HT","DDT","MA_QH","DKG")</f>
        <v>0</v>
      </c>
      <c r="AM40" s="49" t="e">
        <f ca="1">$D40-$BF40</f>
        <v>#REF!</v>
      </c>
      <c r="AN40" s="50">
        <f ca="1">+GETPIVOTDATA("XBG4",'binhgia (2016)'!$A$3,"MA_HT","DKG","MA_QH","DDT")</f>
        <v>0</v>
      </c>
      <c r="AO40" s="50">
        <f ca="1">+GETPIVOTDATA("XBG4",'binhgia (2016)'!$A$3,"MA_HT","DKG","MA_QH","DDL")</f>
        <v>0</v>
      </c>
      <c r="AP40" s="50">
        <f ca="1">+GETPIVOTDATA("XBG4",'binhgia (2016)'!$A$3,"MA_HT","DKG","MA_QH","DRA")</f>
        <v>0</v>
      </c>
      <c r="AQ40" s="50">
        <f ca="1">+GETPIVOTDATA("XBG4",'binhgia (2016)'!$A$3,"MA_HT","DKG","MA_QH","ONT")</f>
        <v>0</v>
      </c>
      <c r="AR40" s="50">
        <f ca="1">+GETPIVOTDATA("XBG4",'binhgia (2016)'!$A$3,"MA_HT","DKG","MA_QH","ODT")</f>
        <v>0</v>
      </c>
      <c r="AS40" s="50">
        <f ca="1">+GETPIVOTDATA("XBG4",'binhgia (2016)'!$A$3,"MA_HT","DKG","MA_QH","TSC")</f>
        <v>0</v>
      </c>
      <c r="AT40" s="50">
        <f ca="1">+GETPIVOTDATA("XBG4",'binhgia (2016)'!$A$3,"MA_HT","DKG","MA_QH","DTS")</f>
        <v>0</v>
      </c>
      <c r="AU40" s="50">
        <f ca="1">+GETPIVOTDATA("XBG4",'binhgia (2016)'!$A$3,"MA_HT","DKG","MA_QH","DNG")</f>
        <v>0</v>
      </c>
      <c r="AV40" s="50">
        <f ca="1">+GETPIVOTDATA("XBG4",'binhgia (2016)'!$A$3,"MA_HT","DKG","MA_QH","TON")</f>
        <v>0</v>
      </c>
      <c r="AW40" s="50">
        <f ca="1">+GETPIVOTDATA("XBG4",'binhgia (2016)'!$A$3,"MA_HT","DKG","MA_QH","NTD")</f>
        <v>0</v>
      </c>
      <c r="AX40" s="50">
        <f ca="1">+GETPIVOTDATA("XBG4",'binhgia (2016)'!$A$3,"MA_HT","DKG","MA_QH","SKX")</f>
        <v>0</v>
      </c>
      <c r="AY40" s="50">
        <f ca="1">+GETPIVOTDATA("XBG4",'binhgia (2016)'!$A$3,"MA_HT","DKG","MA_QH","DSH")</f>
        <v>0</v>
      </c>
      <c r="AZ40" s="50">
        <f ca="1">+GETPIVOTDATA("XBG4",'binhgia (2016)'!$A$3,"MA_HT","DKG","MA_QH","DKV")</f>
        <v>0</v>
      </c>
      <c r="BA40" s="88">
        <f ca="1">+GETPIVOTDATA("XBG4",'binhgia (2016)'!$A$3,"MA_HT","DKG","MA_QH","TIN")</f>
        <v>0</v>
      </c>
      <c r="BB40" s="50">
        <f ca="1">+GETPIVOTDATA("XBG4",'binhgia (2016)'!$A$3,"MA_HT","DKG","MA_QH","SON")</f>
        <v>0</v>
      </c>
      <c r="BC40" s="50">
        <f ca="1">+GETPIVOTDATA("XBG4",'binhgia (2016)'!$A$3,"MA_HT","DKG","MA_QH","MNC")</f>
        <v>0</v>
      </c>
      <c r="BD40" s="50">
        <f ca="1">+GETPIVOTDATA("XBG4",'binhgia (2016)'!$A$3,"MA_HT","DKG","MA_QH","PNK")</f>
        <v>0</v>
      </c>
      <c r="BE40" s="80">
        <f ca="1">+GETPIVOTDATA("XBG4",'binhgia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+GETPIVOTDATA("XBG4",'binhgia (2016)'!$A$3,"MA_HT","DDT","MA_QH","LUC")</f>
        <v>0</v>
      </c>
      <c r="H41" s="60">
        <f ca="1">+GETPIVOTDATA("XBG4",'binhgia (2016)'!$A$3,"MA_HT","DDT","MA_QH","LUK")</f>
        <v>0</v>
      </c>
      <c r="I41" s="60">
        <f ca="1">+GETPIVOTDATA("XBG4",'binhgia (2016)'!$A$3,"MA_HT","DDT","MA_QH","LUN")</f>
        <v>0</v>
      </c>
      <c r="J41" s="60">
        <f ca="1">+GETPIVOTDATA("XBG4",'binhgia (2016)'!$A$3,"MA_HT","DDT","MA_QH","HNK")</f>
        <v>0</v>
      </c>
      <c r="K41" s="60">
        <f ca="1">+GETPIVOTDATA("XBG4",'binhgia (2016)'!$A$3,"MA_HT","DDT","MA_QH","CLN")</f>
        <v>0</v>
      </c>
      <c r="L41" s="60">
        <f ca="1">+GETPIVOTDATA("XBG4",'binhgia (2016)'!$A$3,"MA_HT","DDT","MA_QH","RSX")</f>
        <v>0</v>
      </c>
      <c r="M41" s="60">
        <f ca="1">+GETPIVOTDATA("XBG4",'binhgia (2016)'!$A$3,"MA_HT","DDT","MA_QH","RPH")</f>
        <v>0</v>
      </c>
      <c r="N41" s="60">
        <f ca="1">+GETPIVOTDATA("XBG4",'binhgia (2016)'!$A$3,"MA_HT","DDT","MA_QH","RDD")</f>
        <v>0</v>
      </c>
      <c r="O41" s="60">
        <f ca="1">+GETPIVOTDATA("XBG4",'binhgia (2016)'!$A$3,"MA_HT","DDT","MA_QH","NTS")</f>
        <v>0</v>
      </c>
      <c r="P41" s="60">
        <f ca="1">+GETPIVOTDATA("XBG4",'binhgia (2016)'!$A$3,"MA_HT","DDT","MA_QH","LMU")</f>
        <v>0</v>
      </c>
      <c r="Q41" s="60">
        <f ca="1">+GETPIVOTDATA("XBG4",'binhgia (2016)'!$A$3,"MA_HT","DDT","MA_QH","NKH")</f>
        <v>0</v>
      </c>
      <c r="R41" s="78">
        <f ca="1">SUM(S41:AA41,AO41:BD41)</f>
        <v>0</v>
      </c>
      <c r="S41" s="60">
        <f ca="1">+GETPIVOTDATA("XBG4",'binhgia (2016)'!$A$3,"MA_HT","DDT","MA_QH","CQP")</f>
        <v>0</v>
      </c>
      <c r="T41" s="60">
        <f ca="1">+GETPIVOTDATA("XBG4",'binhgia (2016)'!$A$3,"MA_HT","DDT","MA_QH","CAN")</f>
        <v>0</v>
      </c>
      <c r="U41" s="60">
        <f ca="1">+GETPIVOTDATA("XBG4",'binhgia (2016)'!$A$3,"MA_HT","DDT","MA_QH","SKK")</f>
        <v>0</v>
      </c>
      <c r="V41" s="60">
        <f ca="1">+GETPIVOTDATA("XBG4",'binhgia (2016)'!$A$3,"MA_HT","DDT","MA_QH","SKT")</f>
        <v>0</v>
      </c>
      <c r="W41" s="60">
        <f ca="1">+GETPIVOTDATA("XBG4",'binhgia (2016)'!$A$3,"MA_HT","DDT","MA_QH","SKN")</f>
        <v>0</v>
      </c>
      <c r="X41" s="60">
        <f ca="1">+GETPIVOTDATA("XBG4",'binhgia (2016)'!$A$3,"MA_HT","DDT","MA_QH","TMD")</f>
        <v>0</v>
      </c>
      <c r="Y41" s="60">
        <f ca="1">+GETPIVOTDATA("XBG4",'binhgia (2016)'!$A$3,"MA_HT","DDT","MA_QH","SKC")</f>
        <v>0</v>
      </c>
      <c r="Z41" s="60">
        <f ca="1">+GETPIVOTDATA("XBG4",'binhgia (2016)'!$A$3,"MA_HT","DDT","MA_QH","SKS")</f>
        <v>0</v>
      </c>
      <c r="AA41" s="59">
        <f ca="1" t="shared" ref="AA41:AA58" si="21">+SUM(AB41:AM41)</f>
        <v>0</v>
      </c>
      <c r="AB41" s="60">
        <f ca="1">+GETPIVOTDATA("XBG4",'binhgia (2016)'!$A$3,"MA_HT","DDT","MA_QH","DGT")</f>
        <v>0</v>
      </c>
      <c r="AC41" s="60">
        <f ca="1">+GETPIVOTDATA("XBG4",'binhgia (2016)'!$A$3,"MA_HT","DDT","MA_QH","DTL")</f>
        <v>0</v>
      </c>
      <c r="AD41" s="60">
        <f ca="1">+GETPIVOTDATA("XBG4",'binhgia (2016)'!$A$3,"MA_HT","DDT","MA_QH","DNL")</f>
        <v>0</v>
      </c>
      <c r="AE41" s="60">
        <f ca="1">+GETPIVOTDATA("XBG4",'binhgia (2016)'!$A$3,"MA_HT","DDT","MA_QH","DBV")</f>
        <v>0</v>
      </c>
      <c r="AF41" s="60">
        <f ca="1">+GETPIVOTDATA("XBG4",'binhgia (2016)'!$A$3,"MA_HT","DDT","MA_QH","DVH")</f>
        <v>0</v>
      </c>
      <c r="AG41" s="60">
        <f ca="1">+GETPIVOTDATA("XBG4",'binhgia (2016)'!$A$3,"MA_HT","DDT","MA_QH","DYT")</f>
        <v>0</v>
      </c>
      <c r="AH41" s="60">
        <f ca="1">+GETPIVOTDATA("XBG4",'binhgia (2016)'!$A$3,"MA_HT","DDT","MA_QH","DGD")</f>
        <v>0</v>
      </c>
      <c r="AI41" s="60">
        <f ca="1">+GETPIVOTDATA("XBG4",'binhgia (2016)'!$A$3,"MA_HT","DDT","MA_QH","DTT")</f>
        <v>0</v>
      </c>
      <c r="AJ41" s="60">
        <f ca="1">+GETPIVOTDATA("XBG4",'binhgia (2016)'!$A$3,"MA_HT","DDT","MA_QH","NCK")</f>
        <v>0</v>
      </c>
      <c r="AK41" s="60">
        <f ca="1">+GETPIVOTDATA("XBG4",'binhgia (2016)'!$A$3,"MA_HT","DDT","MA_QH","DXH")</f>
        <v>0</v>
      </c>
      <c r="AL41" s="60">
        <f ca="1">+GETPIVOTDATA("XBG4",'binhgia (2016)'!$A$3,"MA_HT","DDT","MA_QH","DCH")</f>
        <v>0</v>
      </c>
      <c r="AM41" s="60">
        <f ca="1">+GETPIVOTDATA("XBG4",'binhgia (2016)'!$A$3,"MA_HT","DDT","MA_QH","DKG")</f>
        <v>0</v>
      </c>
      <c r="AN41" s="81" t="e">
        <f ca="1">$D41-$BF41</f>
        <v>#REF!</v>
      </c>
      <c r="AO41" s="60">
        <f ca="1">+GETPIVOTDATA("XBG4",'binhgia (2016)'!$A$3,"MA_HT","DDT","MA_QH","DDL")</f>
        <v>0</v>
      </c>
      <c r="AP41" s="60">
        <f ca="1">+GETPIVOTDATA("XBG4",'binhgia (2016)'!$A$3,"MA_HT","DDT","MA_QH","DRA")</f>
        <v>0</v>
      </c>
      <c r="AQ41" s="60">
        <f ca="1">+GETPIVOTDATA("XBG4",'binhgia (2016)'!$A$3,"MA_HT","DDT","MA_QH","ONT")</f>
        <v>0</v>
      </c>
      <c r="AR41" s="60">
        <f ca="1">+GETPIVOTDATA("XBG4",'binhgia (2016)'!$A$3,"MA_HT","DDT","MA_QH","ODT")</f>
        <v>0</v>
      </c>
      <c r="AS41" s="60">
        <f ca="1">+GETPIVOTDATA("XBG4",'binhgia (2016)'!$A$3,"MA_HT","DDT","MA_QH","TSC")</f>
        <v>0</v>
      </c>
      <c r="AT41" s="60">
        <f ca="1">+GETPIVOTDATA("XBG4",'binhgia (2016)'!$A$3,"MA_HT","DDT","MA_QH","DTS")</f>
        <v>0</v>
      </c>
      <c r="AU41" s="60">
        <f ca="1">+GETPIVOTDATA("XBG4",'binhgia (2016)'!$A$3,"MA_HT","DDT","MA_QH","DNG")</f>
        <v>0</v>
      </c>
      <c r="AV41" s="60">
        <f ca="1">+GETPIVOTDATA("XBG4",'binhgia (2016)'!$A$3,"MA_HT","DDT","MA_QH","TON")</f>
        <v>0</v>
      </c>
      <c r="AW41" s="60">
        <f ca="1">+GETPIVOTDATA("XBG4",'binhgia (2016)'!$A$3,"MA_HT","DDT","MA_QH","NTD")</f>
        <v>0</v>
      </c>
      <c r="AX41" s="60">
        <f ca="1">+GETPIVOTDATA("XBG4",'binhgia (2016)'!$A$3,"MA_HT","DDT","MA_QH","SKX")</f>
        <v>0</v>
      </c>
      <c r="AY41" s="60">
        <f ca="1">+GETPIVOTDATA("XBG4",'binhgia (2016)'!$A$3,"MA_HT","DDT","MA_QH","DSH")</f>
        <v>0</v>
      </c>
      <c r="AZ41" s="60">
        <f ca="1">+GETPIVOTDATA("XBG4",'binhgia (2016)'!$A$3,"MA_HT","DDT","MA_QH","DKV")</f>
        <v>0</v>
      </c>
      <c r="BA41" s="90">
        <f ca="1">+GETPIVOTDATA("XBG4",'binhgia (2016)'!$A$3,"MA_HT","DDT","MA_QH","TIN")</f>
        <v>0</v>
      </c>
      <c r="BB41" s="91">
        <f ca="1">+GETPIVOTDATA("XBG4",'binhgia (2016)'!$A$3,"MA_HT","DDT","MA_QH","SON")</f>
        <v>0</v>
      </c>
      <c r="BC41" s="91">
        <f ca="1">+GETPIVOTDATA("XBG4",'binhgia (2016)'!$A$3,"MA_HT","DDT","MA_QH","MNC")</f>
        <v>0</v>
      </c>
      <c r="BD41" s="60">
        <f ca="1">+GETPIVOTDATA("XBG4",'binhgia (2016)'!$A$3,"MA_HT","DDT","MA_QH","PNK")</f>
        <v>0</v>
      </c>
      <c r="BE41" s="111">
        <f ca="1">+GETPIVOTDATA("XBG4",'binhgia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+GETPIVOTDATA("XBG4",'binhgia (2016)'!$A$3,"MA_HT","DDL","MA_QH","LUC")</f>
        <v>0</v>
      </c>
      <c r="H42" s="22">
        <f ca="1">+GETPIVOTDATA("XBG4",'binhgia (2016)'!$A$3,"MA_HT","DDL","MA_QH","LUK")</f>
        <v>0</v>
      </c>
      <c r="I42" s="22">
        <f ca="1">+GETPIVOTDATA("XBG4",'binhgia (2016)'!$A$3,"MA_HT","DDL","MA_QH","LUN")</f>
        <v>0</v>
      </c>
      <c r="J42" s="22">
        <f ca="1">+GETPIVOTDATA("XBG4",'binhgia (2016)'!$A$3,"MA_HT","DDL","MA_QH","HNK")</f>
        <v>0</v>
      </c>
      <c r="K42" s="22">
        <f ca="1">+GETPIVOTDATA("XBG4",'binhgia (2016)'!$A$3,"MA_HT","DDL","MA_QH","CLN")</f>
        <v>0</v>
      </c>
      <c r="L42" s="22">
        <f ca="1">+GETPIVOTDATA("XBG4",'binhgia (2016)'!$A$3,"MA_HT","DDL","MA_QH","RSX")</f>
        <v>0</v>
      </c>
      <c r="M42" s="22">
        <f ca="1">+GETPIVOTDATA("XBG4",'binhgia (2016)'!$A$3,"MA_HT","DDL","MA_QH","RPH")</f>
        <v>0</v>
      </c>
      <c r="N42" s="22">
        <f ca="1">+GETPIVOTDATA("XBG4",'binhgia (2016)'!$A$3,"MA_HT","DDL","MA_QH","RDD")</f>
        <v>0</v>
      </c>
      <c r="O42" s="22">
        <f ca="1">+GETPIVOTDATA("XBG4",'binhgia (2016)'!$A$3,"MA_HT","DDL","MA_QH","NTS")</f>
        <v>0</v>
      </c>
      <c r="P42" s="22">
        <f ca="1">+GETPIVOTDATA("XBG4",'binhgia (2016)'!$A$3,"MA_HT","DDL","MA_QH","LMU")</f>
        <v>0</v>
      </c>
      <c r="Q42" s="22">
        <f ca="1">+GETPIVOTDATA("XBG4",'binhgia (2016)'!$A$3,"MA_HT","DDL","MA_QH","NKH")</f>
        <v>0</v>
      </c>
      <c r="R42" s="79">
        <f ca="1">SUM(S42:AA42,AN42,AP42:BD42)</f>
        <v>0</v>
      </c>
      <c r="S42" s="22">
        <f ca="1">+GETPIVOTDATA("XBG4",'binhgia (2016)'!$A$3,"MA_HT","DDL","MA_QH","CQP")</f>
        <v>0</v>
      </c>
      <c r="T42" s="22">
        <f ca="1">+GETPIVOTDATA("XBG4",'binhgia (2016)'!$A$3,"MA_HT","DDL","MA_QH","CAN")</f>
        <v>0</v>
      </c>
      <c r="U42" s="22">
        <f ca="1">+GETPIVOTDATA("XBG4",'binhgia (2016)'!$A$3,"MA_HT","DDL","MA_QH","SKK")</f>
        <v>0</v>
      </c>
      <c r="V42" s="22">
        <f ca="1">+GETPIVOTDATA("XBG4",'binhgia (2016)'!$A$3,"MA_HT","DDL","MA_QH","SKT")</f>
        <v>0</v>
      </c>
      <c r="W42" s="22">
        <f ca="1">+GETPIVOTDATA("XBG4",'binhgia (2016)'!$A$3,"MA_HT","DDL","MA_QH","SKN")</f>
        <v>0</v>
      </c>
      <c r="X42" s="22">
        <f ca="1">+GETPIVOTDATA("XBG4",'binhgia (2016)'!$A$3,"MA_HT","DDL","MA_QH","TMD")</f>
        <v>0</v>
      </c>
      <c r="Y42" s="22">
        <f ca="1">+GETPIVOTDATA("XBG4",'binhgia (2016)'!$A$3,"MA_HT","DDL","MA_QH","SKC")</f>
        <v>0</v>
      </c>
      <c r="Z42" s="22">
        <f ca="1">+GETPIVOTDATA("XBG4",'binhgia (2016)'!$A$3,"MA_HT","DDL","MA_QH","SKS")</f>
        <v>0</v>
      </c>
      <c r="AA42" s="52">
        <f ca="1" t="shared" si="21"/>
        <v>0</v>
      </c>
      <c r="AB42" s="22">
        <f ca="1">+GETPIVOTDATA("XBG4",'binhgia (2016)'!$A$3,"MA_HT","DDL","MA_QH","DGT")</f>
        <v>0</v>
      </c>
      <c r="AC42" s="22">
        <f ca="1">+GETPIVOTDATA("XBG4",'binhgia (2016)'!$A$3,"MA_HT","DDL","MA_QH","DTL")</f>
        <v>0</v>
      </c>
      <c r="AD42" s="22">
        <f ca="1">+GETPIVOTDATA("XBG4",'binhgia (2016)'!$A$3,"MA_HT","DDL","MA_QH","DNL")</f>
        <v>0</v>
      </c>
      <c r="AE42" s="22">
        <f ca="1">+GETPIVOTDATA("XBG4",'binhgia (2016)'!$A$3,"MA_HT","DDL","MA_QH","DBV")</f>
        <v>0</v>
      </c>
      <c r="AF42" s="22">
        <f ca="1">+GETPIVOTDATA("XBG4",'binhgia (2016)'!$A$3,"MA_HT","DDL","MA_QH","DVH")</f>
        <v>0</v>
      </c>
      <c r="AG42" s="22">
        <f ca="1">+GETPIVOTDATA("XBG4",'binhgia (2016)'!$A$3,"MA_HT","DDL","MA_QH","DYT")</f>
        <v>0</v>
      </c>
      <c r="AH42" s="22">
        <f ca="1">+GETPIVOTDATA("XBG4",'binhgia (2016)'!$A$3,"MA_HT","DDL","MA_QH","DGD")</f>
        <v>0</v>
      </c>
      <c r="AI42" s="22">
        <f ca="1">+GETPIVOTDATA("XBG4",'binhgia (2016)'!$A$3,"MA_HT","DDL","MA_QH","DTT")</f>
        <v>0</v>
      </c>
      <c r="AJ42" s="22">
        <f ca="1">+GETPIVOTDATA("XBG4",'binhgia (2016)'!$A$3,"MA_HT","DDL","MA_QH","NCK")</f>
        <v>0</v>
      </c>
      <c r="AK42" s="22">
        <f ca="1">+GETPIVOTDATA("XBG4",'binhgia (2016)'!$A$3,"MA_HT","DDL","MA_QH","DXH")</f>
        <v>0</v>
      </c>
      <c r="AL42" s="22">
        <f ca="1">+GETPIVOTDATA("XBG4",'binhgia (2016)'!$A$3,"MA_HT","DDL","MA_QH","DCH")</f>
        <v>0</v>
      </c>
      <c r="AM42" s="22">
        <f ca="1">+GETPIVOTDATA("XBG4",'binhgia (2016)'!$A$3,"MA_HT","DDL","MA_QH","DKG")</f>
        <v>0</v>
      </c>
      <c r="AN42" s="22">
        <f ca="1">+GETPIVOTDATA("XBG4",'binhgia (2016)'!$A$3,"MA_HT","DDL","MA_QH","DDT")</f>
        <v>0</v>
      </c>
      <c r="AO42" s="43" t="e">
        <f ca="1">$D42-$BF42</f>
        <v>#REF!</v>
      </c>
      <c r="AP42" s="22">
        <f ca="1">+GETPIVOTDATA("XBG4",'binhgia (2016)'!$A$3,"MA_HT","DDL","MA_QH","DRA")</f>
        <v>0</v>
      </c>
      <c r="AQ42" s="22">
        <f ca="1">+GETPIVOTDATA("XBG4",'binhgia (2016)'!$A$3,"MA_HT","DDL","MA_QH","ONT")</f>
        <v>0</v>
      </c>
      <c r="AR42" s="22">
        <f ca="1">+GETPIVOTDATA("XBG4",'binhgia (2016)'!$A$3,"MA_HT","DDL","MA_QH","ODT")</f>
        <v>0</v>
      </c>
      <c r="AS42" s="22">
        <f ca="1">+GETPIVOTDATA("XBG4",'binhgia (2016)'!$A$3,"MA_HT","DDL","MA_QH","TSC")</f>
        <v>0</v>
      </c>
      <c r="AT42" s="22">
        <f ca="1">+GETPIVOTDATA("XBG4",'binhgia (2016)'!$A$3,"MA_HT","DDL","MA_QH","DTS")</f>
        <v>0</v>
      </c>
      <c r="AU42" s="22">
        <f ca="1">+GETPIVOTDATA("XBG4",'binhgia (2016)'!$A$3,"MA_HT","DDL","MA_QH","DNG")</f>
        <v>0</v>
      </c>
      <c r="AV42" s="22">
        <f ca="1">+GETPIVOTDATA("XBG4",'binhgia (2016)'!$A$3,"MA_HT","DDL","MA_QH","TON")</f>
        <v>0</v>
      </c>
      <c r="AW42" s="22">
        <f ca="1">+GETPIVOTDATA("XBG4",'binhgia (2016)'!$A$3,"MA_HT","DDL","MA_QH","NTD")</f>
        <v>0</v>
      </c>
      <c r="AX42" s="22">
        <f ca="1">+GETPIVOTDATA("XBG4",'binhgia (2016)'!$A$3,"MA_HT","DDL","MA_QH","SKX")</f>
        <v>0</v>
      </c>
      <c r="AY42" s="22">
        <f ca="1">+GETPIVOTDATA("XBG4",'binhgia (2016)'!$A$3,"MA_HT","DDL","MA_QH","DSH")</f>
        <v>0</v>
      </c>
      <c r="AZ42" s="22">
        <f ca="1">+GETPIVOTDATA("XBG4",'binhgia (2016)'!$A$3,"MA_HT","DDL","MA_QH","DKV")</f>
        <v>0</v>
      </c>
      <c r="BA42" s="89">
        <f ca="1">+GETPIVOTDATA("XBG4",'binhgia (2016)'!$A$3,"MA_HT","DDL","MA_QH","TIN")</f>
        <v>0</v>
      </c>
      <c r="BB42" s="50">
        <f ca="1">+GETPIVOTDATA("XBG4",'binhgia (2016)'!$A$3,"MA_HT","DDL","MA_QH","SON")</f>
        <v>0</v>
      </c>
      <c r="BC42" s="50">
        <f ca="1">+GETPIVOTDATA("XBG4",'binhgia (2016)'!$A$3,"MA_HT","DDL","MA_QH","MNC")</f>
        <v>0</v>
      </c>
      <c r="BD42" s="22">
        <f ca="1">+GETPIVOTDATA("XBG4",'binhgia (2016)'!$A$3,"MA_HT","DDL","MA_QH","PNK")</f>
        <v>0</v>
      </c>
      <c r="BE42" s="71">
        <f ca="1">+GETPIVOTDATA("XBG4",'binhgia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+GETPIVOTDATA("XBG4",'binhgia (2016)'!$A$3,"MA_HT","DRA","MA_QH","LUC")</f>
        <v>0</v>
      </c>
      <c r="H43" s="22">
        <f ca="1">+GETPIVOTDATA("XBG4",'binhgia (2016)'!$A$3,"MA_HT","DRA","MA_QH","LUK")</f>
        <v>0</v>
      </c>
      <c r="I43" s="22">
        <f ca="1">+GETPIVOTDATA("XBG4",'binhgia (2016)'!$A$3,"MA_HT","DRA","MA_QH","LUN")</f>
        <v>0</v>
      </c>
      <c r="J43" s="22">
        <f ca="1">+GETPIVOTDATA("XBG4",'binhgia (2016)'!$A$3,"MA_HT","DRA","MA_QH","HNK")</f>
        <v>0</v>
      </c>
      <c r="K43" s="22">
        <f ca="1">+GETPIVOTDATA("XBG4",'binhgia (2016)'!$A$3,"MA_HT","DRA","MA_QH","CLN")</f>
        <v>0</v>
      </c>
      <c r="L43" s="22">
        <f ca="1">+GETPIVOTDATA("XBG4",'binhgia (2016)'!$A$3,"MA_HT","DRA","MA_QH","RSX")</f>
        <v>0</v>
      </c>
      <c r="M43" s="22">
        <f ca="1">+GETPIVOTDATA("XBG4",'binhgia (2016)'!$A$3,"MA_HT","DRA","MA_QH","RPH")</f>
        <v>0</v>
      </c>
      <c r="N43" s="22">
        <f ca="1">+GETPIVOTDATA("XBG4",'binhgia (2016)'!$A$3,"MA_HT","DRA","MA_QH","RDD")</f>
        <v>0</v>
      </c>
      <c r="O43" s="22">
        <f ca="1">+GETPIVOTDATA("XBG4",'binhgia (2016)'!$A$3,"MA_HT","DRA","MA_QH","NTS")</f>
        <v>0</v>
      </c>
      <c r="P43" s="22">
        <f ca="1">+GETPIVOTDATA("XBG4",'binhgia (2016)'!$A$3,"MA_HT","DRA","MA_QH","LMU")</f>
        <v>0</v>
      </c>
      <c r="Q43" s="22">
        <f ca="1">+GETPIVOTDATA("XBG4",'binhgia (2016)'!$A$3,"MA_HT","DRA","MA_QH","NKH")</f>
        <v>0</v>
      </c>
      <c r="R43" s="79">
        <f ca="1">SUM(S43:AA43,AN43:AO43,AQ43:BD43)</f>
        <v>0</v>
      </c>
      <c r="S43" s="22">
        <f ca="1">+GETPIVOTDATA("XBG4",'binhgia (2016)'!$A$3,"MA_HT","DRA","MA_QH","CQP")</f>
        <v>0</v>
      </c>
      <c r="T43" s="22">
        <f ca="1">+GETPIVOTDATA("XBG4",'binhgia (2016)'!$A$3,"MA_HT","DRA","MA_QH","CAN")</f>
        <v>0</v>
      </c>
      <c r="U43" s="22">
        <f ca="1">+GETPIVOTDATA("XBG4",'binhgia (2016)'!$A$3,"MA_HT","DRA","MA_QH","SKK")</f>
        <v>0</v>
      </c>
      <c r="V43" s="22">
        <f ca="1">+GETPIVOTDATA("XBG4",'binhgia (2016)'!$A$3,"MA_HT","DRA","MA_QH","SKT")</f>
        <v>0</v>
      </c>
      <c r="W43" s="22">
        <f ca="1">+GETPIVOTDATA("XBG4",'binhgia (2016)'!$A$3,"MA_HT","DRA","MA_QH","SKN")</f>
        <v>0</v>
      </c>
      <c r="X43" s="22">
        <f ca="1">+GETPIVOTDATA("XBG4",'binhgia (2016)'!$A$3,"MA_HT","DRA","MA_QH","TMD")</f>
        <v>0</v>
      </c>
      <c r="Y43" s="22">
        <f ca="1">+GETPIVOTDATA("XBG4",'binhgia (2016)'!$A$3,"MA_HT","DRA","MA_QH","SKC")</f>
        <v>0</v>
      </c>
      <c r="Z43" s="22">
        <f ca="1">+GETPIVOTDATA("XBG4",'binhgia (2016)'!$A$3,"MA_HT","DRA","MA_QH","SKS")</f>
        <v>0</v>
      </c>
      <c r="AA43" s="52">
        <f ca="1" t="shared" si="21"/>
        <v>0</v>
      </c>
      <c r="AB43" s="22">
        <f ca="1">+GETPIVOTDATA("XBG4",'binhgia (2016)'!$A$3,"MA_HT","DRA","MA_QH","DGT")</f>
        <v>0</v>
      </c>
      <c r="AC43" s="22">
        <f ca="1">+GETPIVOTDATA("XBG4",'binhgia (2016)'!$A$3,"MA_HT","DRA","MA_QH","DTL")</f>
        <v>0</v>
      </c>
      <c r="AD43" s="22">
        <f ca="1">+GETPIVOTDATA("XBG4",'binhgia (2016)'!$A$3,"MA_HT","DRA","MA_QH","DNL")</f>
        <v>0</v>
      </c>
      <c r="AE43" s="22">
        <f ca="1">+GETPIVOTDATA("XBG4",'binhgia (2016)'!$A$3,"MA_HT","DRA","MA_QH","DBV")</f>
        <v>0</v>
      </c>
      <c r="AF43" s="22">
        <f ca="1">+GETPIVOTDATA("XBG4",'binhgia (2016)'!$A$3,"MA_HT","DRA","MA_QH","DVH")</f>
        <v>0</v>
      </c>
      <c r="AG43" s="22">
        <f ca="1">+GETPIVOTDATA("XBG4",'binhgia (2016)'!$A$3,"MA_HT","DRA","MA_QH","DYT")</f>
        <v>0</v>
      </c>
      <c r="AH43" s="22">
        <f ca="1">+GETPIVOTDATA("XBG4",'binhgia (2016)'!$A$3,"MA_HT","DRA","MA_QH","DGD")</f>
        <v>0</v>
      </c>
      <c r="AI43" s="22">
        <f ca="1">+GETPIVOTDATA("XBG4",'binhgia (2016)'!$A$3,"MA_HT","DRA","MA_QH","DTT")</f>
        <v>0</v>
      </c>
      <c r="AJ43" s="22">
        <f ca="1">+GETPIVOTDATA("XBG4",'binhgia (2016)'!$A$3,"MA_HT","DRA","MA_QH","NCK")</f>
        <v>0</v>
      </c>
      <c r="AK43" s="22">
        <f ca="1">+GETPIVOTDATA("XBG4",'binhgia (2016)'!$A$3,"MA_HT","DRA","MA_QH","DXH")</f>
        <v>0</v>
      </c>
      <c r="AL43" s="22">
        <f ca="1">+GETPIVOTDATA("XBG4",'binhgia (2016)'!$A$3,"MA_HT","DRA","MA_QH","DCH")</f>
        <v>0</v>
      </c>
      <c r="AM43" s="22">
        <f ca="1">+GETPIVOTDATA("XBG4",'binhgia (2016)'!$A$3,"MA_HT","DRA","MA_QH","DKG")</f>
        <v>0</v>
      </c>
      <c r="AN43" s="22">
        <f ca="1">+GETPIVOTDATA("XBG4",'binhgia (2016)'!$A$3,"MA_HT","DRA","MA_QH","DDT")</f>
        <v>0</v>
      </c>
      <c r="AO43" s="22">
        <f ca="1">+GETPIVOTDATA("XBG4",'binhgia (2016)'!$A$3,"MA_HT","DRA","MA_QH","DDL")</f>
        <v>0</v>
      </c>
      <c r="AP43" s="43" t="e">
        <f ca="1">$D43-$BF43</f>
        <v>#REF!</v>
      </c>
      <c r="AQ43" s="22">
        <f ca="1">+GETPIVOTDATA("XBG4",'binhgia (2016)'!$A$3,"MA_HT","DRA","MA_QH","ONT")</f>
        <v>0</v>
      </c>
      <c r="AR43" s="22">
        <f ca="1">+GETPIVOTDATA("XBG4",'binhgia (2016)'!$A$3,"MA_HT","DRA","MA_QH","ODT")</f>
        <v>0</v>
      </c>
      <c r="AS43" s="22">
        <f ca="1">+GETPIVOTDATA("XBG4",'binhgia (2016)'!$A$3,"MA_HT","DRA","MA_QH","TSC")</f>
        <v>0</v>
      </c>
      <c r="AT43" s="22">
        <f ca="1">+GETPIVOTDATA("XBG4",'binhgia (2016)'!$A$3,"MA_HT","DRA","MA_QH","DTS")</f>
        <v>0</v>
      </c>
      <c r="AU43" s="22">
        <f ca="1">+GETPIVOTDATA("XBG4",'binhgia (2016)'!$A$3,"MA_HT","DRA","MA_QH","DNG")</f>
        <v>0</v>
      </c>
      <c r="AV43" s="22">
        <f ca="1">+GETPIVOTDATA("XBG4",'binhgia (2016)'!$A$3,"MA_HT","DRA","MA_QH","TON")</f>
        <v>0</v>
      </c>
      <c r="AW43" s="22">
        <f ca="1">+GETPIVOTDATA("XBG4",'binhgia (2016)'!$A$3,"MA_HT","DRA","MA_QH","NTD")</f>
        <v>0</v>
      </c>
      <c r="AX43" s="22">
        <f ca="1">+GETPIVOTDATA("XBG4",'binhgia (2016)'!$A$3,"MA_HT","DRA","MA_QH","SKX")</f>
        <v>0</v>
      </c>
      <c r="AY43" s="22">
        <f ca="1">+GETPIVOTDATA("XBG4",'binhgia (2016)'!$A$3,"MA_HT","DRA","MA_QH","DSH")</f>
        <v>0</v>
      </c>
      <c r="AZ43" s="22">
        <f ca="1">+GETPIVOTDATA("XBG4",'binhgia (2016)'!$A$3,"MA_HT","DRA","MA_QH","DKV")</f>
        <v>0</v>
      </c>
      <c r="BA43" s="89">
        <f ca="1">+GETPIVOTDATA("XBG4",'binhgia (2016)'!$A$3,"MA_HT","DRA","MA_QH","TIN")</f>
        <v>0</v>
      </c>
      <c r="BB43" s="50">
        <f ca="1">+GETPIVOTDATA("XBG4",'binhgia (2016)'!$A$3,"MA_HT","DRA","MA_QH","SON")</f>
        <v>0</v>
      </c>
      <c r="BC43" s="50">
        <f ca="1">+GETPIVOTDATA("XBG4",'binhgia (2016)'!$A$3,"MA_HT","DRA","MA_QH","MNC")</f>
        <v>0</v>
      </c>
      <c r="BD43" s="22">
        <f ca="1">+GETPIVOTDATA("XBG4",'binhgia (2016)'!$A$3,"MA_HT","DRA","MA_QH","PNK")</f>
        <v>0</v>
      </c>
      <c r="BE43" s="71">
        <f ca="1">+GETPIVOTDATA("XBG4",'binhgia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+GETPIVOTDATA("XBG4",'binhgia (2016)'!$A$3,"MA_HT","ONT","MA_QH","LUC")</f>
        <v>0</v>
      </c>
      <c r="H44" s="22">
        <f ca="1">+GETPIVOTDATA("XBG4",'binhgia (2016)'!$A$3,"MA_HT","ONT","MA_QH","LUK")</f>
        <v>0</v>
      </c>
      <c r="I44" s="22">
        <f ca="1">+GETPIVOTDATA("XBG4",'binhgia (2016)'!$A$3,"MA_HT","ONT","MA_QH","LUN")</f>
        <v>0</v>
      </c>
      <c r="J44" s="22">
        <f ca="1">+GETPIVOTDATA("XBG4",'binhgia (2016)'!$A$3,"MA_HT","ONT","MA_QH","HNK")</f>
        <v>0</v>
      </c>
      <c r="K44" s="22">
        <f ca="1">+GETPIVOTDATA("XBG4",'binhgia (2016)'!$A$3,"MA_HT","ONT","MA_QH","CLN")</f>
        <v>0</v>
      </c>
      <c r="L44" s="22">
        <f ca="1">+GETPIVOTDATA("XBG4",'binhgia (2016)'!$A$3,"MA_HT","ONT","MA_QH","RSX")</f>
        <v>0</v>
      </c>
      <c r="M44" s="22">
        <f ca="1">+GETPIVOTDATA("XBG4",'binhgia (2016)'!$A$3,"MA_HT","ONT","MA_QH","RPH")</f>
        <v>0</v>
      </c>
      <c r="N44" s="22">
        <f ca="1">+GETPIVOTDATA("XBG4",'binhgia (2016)'!$A$3,"MA_HT","ONT","MA_QH","RDD")</f>
        <v>0</v>
      </c>
      <c r="O44" s="22">
        <f ca="1">+GETPIVOTDATA("XBG4",'binhgia (2016)'!$A$3,"MA_HT","ONT","MA_QH","NTS")</f>
        <v>0</v>
      </c>
      <c r="P44" s="22">
        <f ca="1">+GETPIVOTDATA("XBG4",'binhgia (2016)'!$A$3,"MA_HT","ONT","MA_QH","LMU")</f>
        <v>0</v>
      </c>
      <c r="Q44" s="22">
        <f ca="1">+GETPIVOTDATA("XBG4",'binhgia (2016)'!$A$3,"MA_HT","ONT","MA_QH","NKH")</f>
        <v>0</v>
      </c>
      <c r="R44" s="79">
        <f ca="1">SUM(S44:AA44,AN44:AP44,AR44:BD44)</f>
        <v>0</v>
      </c>
      <c r="S44" s="22">
        <f ca="1">+GETPIVOTDATA("XBG4",'binhgia (2016)'!$A$3,"MA_HT","ONT","MA_QH","CQP")</f>
        <v>0</v>
      </c>
      <c r="T44" s="22">
        <f ca="1">+GETPIVOTDATA("XBG4",'binhgia (2016)'!$A$3,"MA_HT","ONT","MA_QH","CAN")</f>
        <v>0</v>
      </c>
      <c r="U44" s="22">
        <f ca="1">+GETPIVOTDATA("XBG4",'binhgia (2016)'!$A$3,"MA_HT","ONT","MA_QH","SKK")</f>
        <v>0</v>
      </c>
      <c r="V44" s="22">
        <f ca="1">+GETPIVOTDATA("XBG4",'binhgia (2016)'!$A$3,"MA_HT","ONT","MA_QH","SKT")</f>
        <v>0</v>
      </c>
      <c r="W44" s="22">
        <f ca="1">+GETPIVOTDATA("XBG4",'binhgia (2016)'!$A$3,"MA_HT","ONT","MA_QH","SKN")</f>
        <v>0</v>
      </c>
      <c r="X44" s="22">
        <f ca="1">+GETPIVOTDATA("XBG4",'binhgia (2016)'!$A$3,"MA_HT","ONT","MA_QH","TMD")</f>
        <v>0</v>
      </c>
      <c r="Y44" s="22">
        <f ca="1">+GETPIVOTDATA("XBG4",'binhgia (2016)'!$A$3,"MA_HT","ONT","MA_QH","SKC")</f>
        <v>0</v>
      </c>
      <c r="Z44" s="22">
        <f ca="1">+GETPIVOTDATA("XBG4",'binhgia (2016)'!$A$3,"MA_HT","ONT","MA_QH","SKS")</f>
        <v>0</v>
      </c>
      <c r="AA44" s="52">
        <f ca="1" t="shared" si="21"/>
        <v>0</v>
      </c>
      <c r="AB44" s="22">
        <f ca="1">+GETPIVOTDATA("XBG4",'binhgia (2016)'!$A$3,"MA_HT","ONT","MA_QH","DGT")</f>
        <v>0</v>
      </c>
      <c r="AC44" s="22">
        <f ca="1">+GETPIVOTDATA("XBG4",'binhgia (2016)'!$A$3,"MA_HT","ONT","MA_QH","DTL")</f>
        <v>0</v>
      </c>
      <c r="AD44" s="22">
        <f ca="1">+GETPIVOTDATA("XBG4",'binhgia (2016)'!$A$3,"MA_HT","ONT","MA_QH","DNL")</f>
        <v>0</v>
      </c>
      <c r="AE44" s="22">
        <f ca="1">+GETPIVOTDATA("XBG4",'binhgia (2016)'!$A$3,"MA_HT","ONT","MA_QH","DBV")</f>
        <v>0</v>
      </c>
      <c r="AF44" s="22">
        <f ca="1">+GETPIVOTDATA("XBG4",'binhgia (2016)'!$A$3,"MA_HT","ONT","MA_QH","DVH")</f>
        <v>0</v>
      </c>
      <c r="AG44" s="22">
        <f ca="1">+GETPIVOTDATA("XBG4",'binhgia (2016)'!$A$3,"MA_HT","ONT","MA_QH","DYT")</f>
        <v>0</v>
      </c>
      <c r="AH44" s="22">
        <f ca="1">+GETPIVOTDATA("XBG4",'binhgia (2016)'!$A$3,"MA_HT","ONT","MA_QH","DGD")</f>
        <v>0</v>
      </c>
      <c r="AI44" s="22">
        <f ca="1">+GETPIVOTDATA("XBG4",'binhgia (2016)'!$A$3,"MA_HT","ONT","MA_QH","DTT")</f>
        <v>0</v>
      </c>
      <c r="AJ44" s="22">
        <f ca="1">+GETPIVOTDATA("XBG4",'binhgia (2016)'!$A$3,"MA_HT","ONT","MA_QH","NCK")</f>
        <v>0</v>
      </c>
      <c r="AK44" s="22">
        <f ca="1">+GETPIVOTDATA("XBG4",'binhgia (2016)'!$A$3,"MA_HT","ONT","MA_QH","DXH")</f>
        <v>0</v>
      </c>
      <c r="AL44" s="22">
        <f ca="1">+GETPIVOTDATA("XBG4",'binhgia (2016)'!$A$3,"MA_HT","ONT","MA_QH","DCH")</f>
        <v>0</v>
      </c>
      <c r="AM44" s="22">
        <f ca="1">+GETPIVOTDATA("XBG4",'binhgia (2016)'!$A$3,"MA_HT","ONT","MA_QH","DKG")</f>
        <v>0</v>
      </c>
      <c r="AN44" s="22">
        <f ca="1">+GETPIVOTDATA("XBG4",'binhgia (2016)'!$A$3,"MA_HT","ONT","MA_QH","DDT")</f>
        <v>0</v>
      </c>
      <c r="AO44" s="22">
        <f ca="1">+GETPIVOTDATA("XBG4",'binhgia (2016)'!$A$3,"MA_HT","ONT","MA_QH","DDL")</f>
        <v>0</v>
      </c>
      <c r="AP44" s="22">
        <f ca="1">+GETPIVOTDATA("XBG4",'binhgia (2016)'!$A$3,"MA_HT","ONT","MA_QH","DRA")</f>
        <v>0</v>
      </c>
      <c r="AQ44" s="43" t="e">
        <f ca="1">$D44-$BF44</f>
        <v>#REF!</v>
      </c>
      <c r="AR44" s="22">
        <f ca="1">+GETPIVOTDATA("XBG4",'binhgia (2016)'!$A$3,"MA_HT","ONT","MA_QH","ODT")</f>
        <v>0</v>
      </c>
      <c r="AS44" s="22">
        <f ca="1">+GETPIVOTDATA("XBG4",'binhgia (2016)'!$A$3,"MA_HT","ONT","MA_QH","TSC")</f>
        <v>0</v>
      </c>
      <c r="AT44" s="22">
        <f ca="1">+GETPIVOTDATA("XBG4",'binhgia (2016)'!$A$3,"MA_HT","ONT","MA_QH","DTS")</f>
        <v>0</v>
      </c>
      <c r="AU44" s="22">
        <f ca="1">+GETPIVOTDATA("XBG4",'binhgia (2016)'!$A$3,"MA_HT","ONT","MA_QH","DNG")</f>
        <v>0</v>
      </c>
      <c r="AV44" s="22">
        <f ca="1">+GETPIVOTDATA("XBG4",'binhgia (2016)'!$A$3,"MA_HT","ONT","MA_QH","TON")</f>
        <v>0</v>
      </c>
      <c r="AW44" s="22">
        <f ca="1">+GETPIVOTDATA("XBG4",'binhgia (2016)'!$A$3,"MA_HT","ONT","MA_QH","NTD")</f>
        <v>0</v>
      </c>
      <c r="AX44" s="22">
        <f ca="1">+GETPIVOTDATA("XBG4",'binhgia (2016)'!$A$3,"MA_HT","ONT","MA_QH","SKX")</f>
        <v>0</v>
      </c>
      <c r="AY44" s="22">
        <f ca="1">+GETPIVOTDATA("XBG4",'binhgia (2016)'!$A$3,"MA_HT","ONT","MA_QH","DSH")</f>
        <v>0</v>
      </c>
      <c r="AZ44" s="22">
        <f ca="1">+GETPIVOTDATA("XBG4",'binhgia (2016)'!$A$3,"MA_HT","ONT","MA_QH","DKV")</f>
        <v>0</v>
      </c>
      <c r="BA44" s="89">
        <f ca="1">+GETPIVOTDATA("XBG4",'binhgia (2016)'!$A$3,"MA_HT","ONT","MA_QH","TIN")</f>
        <v>0</v>
      </c>
      <c r="BB44" s="50">
        <f ca="1">+GETPIVOTDATA("XBG4",'binhgia (2016)'!$A$3,"MA_HT","ONT","MA_QH","SON")</f>
        <v>0</v>
      </c>
      <c r="BC44" s="50">
        <f ca="1">+GETPIVOTDATA("XBG4",'binhgia (2016)'!$A$3,"MA_HT","ONT","MA_QH","MNC")</f>
        <v>0</v>
      </c>
      <c r="BD44" s="22">
        <f ca="1">+GETPIVOTDATA("XBG4",'binhgia (2016)'!$A$3,"MA_HT","ONT","MA_QH","PNK")</f>
        <v>0</v>
      </c>
      <c r="BE44" s="71">
        <f ca="1">+GETPIVOTDATA("XBG4",'binhgia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+GETPIVOTDATA("XBG4",'binhgia (2016)'!$A$3,"MA_HT","ODT","MA_QH","LUC")</f>
        <v>0</v>
      </c>
      <c r="H45" s="67">
        <f ca="1">+GETPIVOTDATA("XBG4",'binhgia (2016)'!$A$3,"MA_HT","ODT","MA_QH","LUK")</f>
        <v>0</v>
      </c>
      <c r="I45" s="67">
        <f ca="1">+GETPIVOTDATA("XBG4",'binhgia (2016)'!$A$3,"MA_HT","ODT","MA_QH","LUN")</f>
        <v>0</v>
      </c>
      <c r="J45" s="67">
        <f ca="1">+GETPIVOTDATA("XBG4",'binhgia (2016)'!$A$3,"MA_HT","ODT","MA_QH","HNK")</f>
        <v>0</v>
      </c>
      <c r="K45" s="67">
        <f ca="1">+GETPIVOTDATA("XBG4",'binhgia (2016)'!$A$3,"MA_HT","ODT","MA_QH","CLN")</f>
        <v>0</v>
      </c>
      <c r="L45" s="67">
        <f ca="1">+GETPIVOTDATA("XBG4",'binhgia (2016)'!$A$3,"MA_HT","ODT","MA_QH","RSX")</f>
        <v>0</v>
      </c>
      <c r="M45" s="67">
        <f ca="1">+GETPIVOTDATA("XBG4",'binhgia (2016)'!$A$3,"MA_HT","ODT","MA_QH","RPH")</f>
        <v>0</v>
      </c>
      <c r="N45" s="67">
        <f ca="1">+GETPIVOTDATA("XBG4",'binhgia (2016)'!$A$3,"MA_HT","ODT","MA_QH","RDD")</f>
        <v>0</v>
      </c>
      <c r="O45" s="67">
        <f ca="1">+GETPIVOTDATA("XBG4",'binhgia (2016)'!$A$3,"MA_HT","ODT","MA_QH","NTS")</f>
        <v>0</v>
      </c>
      <c r="P45" s="67">
        <f ca="1">+GETPIVOTDATA("XBG4",'binhgia (2016)'!$A$3,"MA_HT","ODT","MA_QH","LMU")</f>
        <v>0</v>
      </c>
      <c r="Q45" s="67">
        <f ca="1">+GETPIVOTDATA("XBG4",'binhgia (2016)'!$A$3,"MA_HT","ODT","MA_QH","NKH")</f>
        <v>0</v>
      </c>
      <c r="R45" s="79">
        <f ca="1">SUM(S45:AA45,AN45:AQ45,AS45:BD45)</f>
        <v>0</v>
      </c>
      <c r="S45" s="67">
        <f ca="1">+GETPIVOTDATA("XBG4",'binhgia (2016)'!$A$3,"MA_HT","ODT","MA_QH","CQP")</f>
        <v>0</v>
      </c>
      <c r="T45" s="67">
        <f ca="1">+GETPIVOTDATA("XBG4",'binhgia (2016)'!$A$3,"MA_HT","ODT","MA_QH","CAN")</f>
        <v>0</v>
      </c>
      <c r="U45" s="67">
        <f ca="1">+GETPIVOTDATA("XBG4",'binhgia (2016)'!$A$3,"MA_HT","ODT","MA_QH","SKK")</f>
        <v>0</v>
      </c>
      <c r="V45" s="67">
        <f ca="1">+GETPIVOTDATA("XBG4",'binhgia (2016)'!$A$3,"MA_HT","ODT","MA_QH","SKT")</f>
        <v>0</v>
      </c>
      <c r="W45" s="67">
        <f ca="1">+GETPIVOTDATA("XBG4",'binhgia (2016)'!$A$3,"MA_HT","ODT","MA_QH","SKN")</f>
        <v>0</v>
      </c>
      <c r="X45" s="67">
        <f ca="1">+GETPIVOTDATA("XBG4",'binhgia (2016)'!$A$3,"MA_HT","ODT","MA_QH","TMD")</f>
        <v>0</v>
      </c>
      <c r="Y45" s="67">
        <f ca="1">+GETPIVOTDATA("XBG4",'binhgia (2016)'!$A$3,"MA_HT","ODT","MA_QH","SKC")</f>
        <v>0</v>
      </c>
      <c r="Z45" s="67">
        <f ca="1">+GETPIVOTDATA("XBG4",'binhgia (2016)'!$A$3,"MA_HT","ODT","MA_QH","SKS")</f>
        <v>0</v>
      </c>
      <c r="AA45" s="66">
        <f ca="1" t="shared" si="21"/>
        <v>0</v>
      </c>
      <c r="AB45" s="67">
        <f ca="1">+GETPIVOTDATA("XBG4",'binhgia (2016)'!$A$3,"MA_HT","ODT","MA_QH","DGT")</f>
        <v>0</v>
      </c>
      <c r="AC45" s="67">
        <f ca="1">+GETPIVOTDATA("XBG4",'binhgia (2016)'!$A$3,"MA_HT","ODT","MA_QH","DTL")</f>
        <v>0</v>
      </c>
      <c r="AD45" s="67">
        <f ca="1">+GETPIVOTDATA("XBG4",'binhgia (2016)'!$A$3,"MA_HT","ODT","MA_QH","DNL")</f>
        <v>0</v>
      </c>
      <c r="AE45" s="67">
        <f ca="1">+GETPIVOTDATA("XBG4",'binhgia (2016)'!$A$3,"MA_HT","ODT","MA_QH","DBV")</f>
        <v>0</v>
      </c>
      <c r="AF45" s="67">
        <f ca="1">+GETPIVOTDATA("XBG4",'binhgia (2016)'!$A$3,"MA_HT","ODT","MA_QH","DVH")</f>
        <v>0</v>
      </c>
      <c r="AG45" s="67">
        <f ca="1">+GETPIVOTDATA("XBG4",'binhgia (2016)'!$A$3,"MA_HT","ODT","MA_QH","DYT")</f>
        <v>0</v>
      </c>
      <c r="AH45" s="67">
        <f ca="1">+GETPIVOTDATA("XBG4",'binhgia (2016)'!$A$3,"MA_HT","ODT","MA_QH","DGD")</f>
        <v>0</v>
      </c>
      <c r="AI45" s="67">
        <f ca="1">+GETPIVOTDATA("XBG4",'binhgia (2016)'!$A$3,"MA_HT","ODT","MA_QH","DTT")</f>
        <v>0</v>
      </c>
      <c r="AJ45" s="67">
        <f ca="1">+GETPIVOTDATA("XBG4",'binhgia (2016)'!$A$3,"MA_HT","ODT","MA_QH","NCK")</f>
        <v>0</v>
      </c>
      <c r="AK45" s="67">
        <f ca="1">+GETPIVOTDATA("XBG4",'binhgia (2016)'!$A$3,"MA_HT","ODT","MA_QH","DXH")</f>
        <v>0</v>
      </c>
      <c r="AL45" s="67">
        <f ca="1">+GETPIVOTDATA("XBG4",'binhgia (2016)'!$A$3,"MA_HT","ODT","MA_QH","DCH")</f>
        <v>0</v>
      </c>
      <c r="AM45" s="67">
        <f ca="1">+GETPIVOTDATA("XBG4",'binhgia (2016)'!$A$3,"MA_HT","ODT","MA_QH","DKG")</f>
        <v>0</v>
      </c>
      <c r="AN45" s="67">
        <f ca="1">+GETPIVOTDATA("XBG4",'binhgia (2016)'!$A$3,"MA_HT","ODT","MA_QH","DDT")</f>
        <v>0</v>
      </c>
      <c r="AO45" s="67">
        <f ca="1">+GETPIVOTDATA("XBG4",'binhgia (2016)'!$A$3,"MA_HT","ODT","MA_QH","DDL")</f>
        <v>0</v>
      </c>
      <c r="AP45" s="67">
        <f ca="1">+GETPIVOTDATA("XBG4",'binhgia (2016)'!$A$3,"MA_HT","ODT","MA_QH","DRA")</f>
        <v>0</v>
      </c>
      <c r="AQ45" s="67">
        <f ca="1">+GETPIVOTDATA("XBG4",'binhgia (2016)'!$A$3,"MA_HT","ODT","MA_QH","ONT")</f>
        <v>0</v>
      </c>
      <c r="AR45" s="82" t="e">
        <f ca="1">$D45-$BF45</f>
        <v>#REF!</v>
      </c>
      <c r="AS45" s="67">
        <f ca="1">+GETPIVOTDATA("XBG4",'binhgia (2016)'!$A$3,"MA_HT","ODT","MA_QH","TSC")</f>
        <v>0</v>
      </c>
      <c r="AT45" s="67">
        <f ca="1">+GETPIVOTDATA("XBG4",'binhgia (2016)'!$A$3,"MA_HT","ODT","MA_QH","DTS")</f>
        <v>0</v>
      </c>
      <c r="AU45" s="67">
        <f ca="1">+GETPIVOTDATA("XBG4",'binhgia (2016)'!$A$3,"MA_HT","ODT","MA_QH","DNG")</f>
        <v>0</v>
      </c>
      <c r="AV45" s="67">
        <f ca="1">+GETPIVOTDATA("XBG4",'binhgia (2016)'!$A$3,"MA_HT","ODT","MA_QH","TON")</f>
        <v>0</v>
      </c>
      <c r="AW45" s="67">
        <f ca="1">+GETPIVOTDATA("XBG4",'binhgia (2016)'!$A$3,"MA_HT","ODT","MA_QH","NTD")</f>
        <v>0</v>
      </c>
      <c r="AX45" s="67">
        <f ca="1">+GETPIVOTDATA("XBG4",'binhgia (2016)'!$A$3,"MA_HT","ODT","MA_QH","SKX")</f>
        <v>0</v>
      </c>
      <c r="AY45" s="67">
        <f ca="1">+GETPIVOTDATA("XBG4",'binhgia (2016)'!$A$3,"MA_HT","ODT","MA_QH","DSH")</f>
        <v>0</v>
      </c>
      <c r="AZ45" s="67">
        <f ca="1">+GETPIVOTDATA("XBG4",'binhgia (2016)'!$A$3,"MA_HT","ODT","MA_QH","DKV")</f>
        <v>0</v>
      </c>
      <c r="BA45" s="92">
        <f ca="1">+GETPIVOTDATA("XBG4",'binhgia (2016)'!$A$3,"MA_HT","ODT","MA_QH","TIN")</f>
        <v>0</v>
      </c>
      <c r="BB45" s="93">
        <f ca="1">+GETPIVOTDATA("XBG4",'binhgia (2016)'!$A$3,"MA_HT","ODT","MA_QH","SON")</f>
        <v>0</v>
      </c>
      <c r="BC45" s="93">
        <f ca="1">+GETPIVOTDATA("XBG4",'binhgia (2016)'!$A$3,"MA_HT","ODT","MA_QH","MNC")</f>
        <v>0</v>
      </c>
      <c r="BD45" s="67">
        <f ca="1">+GETPIVOTDATA("XBG4",'binhgia (2016)'!$A$3,"MA_HT","ODT","MA_QH","PNK")</f>
        <v>0</v>
      </c>
      <c r="BE45" s="116">
        <f ca="1">+GETPIVOTDATA("XBG4",'binhgia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+GETPIVOTDATA("XBG4",'binhgia (2016)'!$A$3,"MA_HT","TSC","MA_QH","LUC")</f>
        <v>0</v>
      </c>
      <c r="H46" s="22">
        <f ca="1">+GETPIVOTDATA("XBG4",'binhgia (2016)'!$A$3,"MA_HT","TSC","MA_QH","LUK")</f>
        <v>0</v>
      </c>
      <c r="I46" s="22">
        <f ca="1">+GETPIVOTDATA("XBG4",'binhgia (2016)'!$A$3,"MA_HT","TSC","MA_QH","LUN")</f>
        <v>0</v>
      </c>
      <c r="J46" s="22">
        <f ca="1">+GETPIVOTDATA("XBG4",'binhgia (2016)'!$A$3,"MA_HT","TSC","MA_QH","HNK")</f>
        <v>0</v>
      </c>
      <c r="K46" s="22">
        <f ca="1">+GETPIVOTDATA("XBG4",'binhgia (2016)'!$A$3,"MA_HT","TSC","MA_QH","CLN")</f>
        <v>0</v>
      </c>
      <c r="L46" s="22">
        <f ca="1">+GETPIVOTDATA("XBG4",'binhgia (2016)'!$A$3,"MA_HT","TSC","MA_QH","RSX")</f>
        <v>0</v>
      </c>
      <c r="M46" s="22">
        <f ca="1">+GETPIVOTDATA("XBG4",'binhgia (2016)'!$A$3,"MA_HT","TSC","MA_QH","RPH")</f>
        <v>0</v>
      </c>
      <c r="N46" s="22">
        <f ca="1">+GETPIVOTDATA("XBG4",'binhgia (2016)'!$A$3,"MA_HT","TSC","MA_QH","RDD")</f>
        <v>0</v>
      </c>
      <c r="O46" s="22">
        <f ca="1">+GETPIVOTDATA("XBG4",'binhgia (2016)'!$A$3,"MA_HT","TSC","MA_QH","NTS")</f>
        <v>0</v>
      </c>
      <c r="P46" s="22">
        <f ca="1">+GETPIVOTDATA("XBG4",'binhgia (2016)'!$A$3,"MA_HT","TSC","MA_QH","LMU")</f>
        <v>0</v>
      </c>
      <c r="Q46" s="22">
        <f ca="1">+GETPIVOTDATA("XBG4",'binhgia (2016)'!$A$3,"MA_HT","TSC","MA_QH","NKH")</f>
        <v>0</v>
      </c>
      <c r="R46" s="48">
        <f ca="1">SUM(S46:AA46,AN46:AR46,AT46:BD46)</f>
        <v>0</v>
      </c>
      <c r="S46" s="22">
        <f ca="1">+GETPIVOTDATA("XBG4",'binhgia (2016)'!$A$3,"MA_HT","TSC","MA_QH","CQP")</f>
        <v>0</v>
      </c>
      <c r="T46" s="22">
        <f ca="1">+GETPIVOTDATA("XBG4",'binhgia (2016)'!$A$3,"MA_HT","TSC","MA_QH","CAN")</f>
        <v>0</v>
      </c>
      <c r="U46" s="22">
        <f ca="1">+GETPIVOTDATA("XBG4",'binhgia (2016)'!$A$3,"MA_HT","TSC","MA_QH","SKK")</f>
        <v>0</v>
      </c>
      <c r="V46" s="22">
        <f ca="1">+GETPIVOTDATA("XBG4",'binhgia (2016)'!$A$3,"MA_HT","TSC","MA_QH","SKT")</f>
        <v>0</v>
      </c>
      <c r="W46" s="22">
        <f ca="1">+GETPIVOTDATA("XBG4",'binhgia (2016)'!$A$3,"MA_HT","TSC","MA_QH","SKN")</f>
        <v>0</v>
      </c>
      <c r="X46" s="22">
        <f ca="1">+GETPIVOTDATA("XBG4",'binhgia (2016)'!$A$3,"MA_HT","TSC","MA_QH","TMD")</f>
        <v>0</v>
      </c>
      <c r="Y46" s="22">
        <f ca="1">+GETPIVOTDATA("XBG4",'binhgia (2016)'!$A$3,"MA_HT","TSC","MA_QH","SKC")</f>
        <v>0</v>
      </c>
      <c r="Z46" s="22">
        <f ca="1">+GETPIVOTDATA("XBG4",'binhgia (2016)'!$A$3,"MA_HT","TSC","MA_QH","SKS")</f>
        <v>0</v>
      </c>
      <c r="AA46" s="52">
        <f ca="1" t="shared" si="21"/>
        <v>0</v>
      </c>
      <c r="AB46" s="22">
        <f ca="1">+GETPIVOTDATA("XBG4",'binhgia (2016)'!$A$3,"MA_HT","TSC","MA_QH","DGT")</f>
        <v>0</v>
      </c>
      <c r="AC46" s="22">
        <f ca="1">+GETPIVOTDATA("XBG4",'binhgia (2016)'!$A$3,"MA_HT","TSC","MA_QH","DTL")</f>
        <v>0</v>
      </c>
      <c r="AD46" s="22">
        <f ca="1">+GETPIVOTDATA("XBG4",'binhgia (2016)'!$A$3,"MA_HT","TSC","MA_QH","DNL")</f>
        <v>0</v>
      </c>
      <c r="AE46" s="22">
        <f ca="1">+GETPIVOTDATA("XBG4",'binhgia (2016)'!$A$3,"MA_HT","TSC","MA_QH","DBV")</f>
        <v>0</v>
      </c>
      <c r="AF46" s="22">
        <f ca="1">+GETPIVOTDATA("XBG4",'binhgia (2016)'!$A$3,"MA_HT","TSC","MA_QH","DVH")</f>
        <v>0</v>
      </c>
      <c r="AG46" s="22">
        <f ca="1">+GETPIVOTDATA("XBG4",'binhgia (2016)'!$A$3,"MA_HT","TSC","MA_QH","DYT")</f>
        <v>0</v>
      </c>
      <c r="AH46" s="22">
        <f ca="1">+GETPIVOTDATA("XBG4",'binhgia (2016)'!$A$3,"MA_HT","TSC","MA_QH","DGD")</f>
        <v>0</v>
      </c>
      <c r="AI46" s="22">
        <f ca="1">+GETPIVOTDATA("XBG4",'binhgia (2016)'!$A$3,"MA_HT","TSC","MA_QH","DTT")</f>
        <v>0</v>
      </c>
      <c r="AJ46" s="22">
        <f ca="1">+GETPIVOTDATA("XBG4",'binhgia (2016)'!$A$3,"MA_HT","TSC","MA_QH","NCK")</f>
        <v>0</v>
      </c>
      <c r="AK46" s="22">
        <f ca="1">+GETPIVOTDATA("XBG4",'binhgia (2016)'!$A$3,"MA_HT","TSC","MA_QH","DXH")</f>
        <v>0</v>
      </c>
      <c r="AL46" s="22">
        <f ca="1">+GETPIVOTDATA("XBG4",'binhgia (2016)'!$A$3,"MA_HT","TSC","MA_QH","DCH")</f>
        <v>0</v>
      </c>
      <c r="AM46" s="22">
        <f ca="1">+GETPIVOTDATA("XBG4",'binhgia (2016)'!$A$3,"MA_HT","TSC","MA_QH","DKG")</f>
        <v>0</v>
      </c>
      <c r="AN46" s="22">
        <f ca="1">+GETPIVOTDATA("XBG4",'binhgia (2016)'!$A$3,"MA_HT","TSC","MA_QH","DDT")</f>
        <v>0</v>
      </c>
      <c r="AO46" s="22">
        <f ca="1">+GETPIVOTDATA("XBG4",'binhgia (2016)'!$A$3,"MA_HT","TSC","MA_QH","DDL")</f>
        <v>0</v>
      </c>
      <c r="AP46" s="22">
        <f ca="1">+GETPIVOTDATA("XBG4",'binhgia (2016)'!$A$3,"MA_HT","TSC","MA_QH","DRA")</f>
        <v>0</v>
      </c>
      <c r="AQ46" s="22">
        <f ca="1">+GETPIVOTDATA("XBG4",'binhgia (2016)'!$A$3,"MA_HT","TSC","MA_QH","ONT")</f>
        <v>0</v>
      </c>
      <c r="AR46" s="22">
        <f ca="1">+GETPIVOTDATA("XBG4",'binhgia (2016)'!$A$3,"MA_HT","TSC","MA_QH","ODT")</f>
        <v>0</v>
      </c>
      <c r="AS46" s="43" t="e">
        <f ca="1">$D46-$BF46</f>
        <v>#REF!</v>
      </c>
      <c r="AT46" s="22">
        <f ca="1">+GETPIVOTDATA("XBG4",'binhgia (2016)'!$A$3,"MA_HT","TSC","MA_QH","DTS")</f>
        <v>0</v>
      </c>
      <c r="AU46" s="22">
        <f ca="1">+GETPIVOTDATA("XBG4",'binhgia (2016)'!$A$3,"MA_HT","TSC","MA_QH","DNG")</f>
        <v>0</v>
      </c>
      <c r="AV46" s="22">
        <f ca="1">+GETPIVOTDATA("XBG4",'binhgia (2016)'!$A$3,"MA_HT","TSC","MA_QH","TON")</f>
        <v>0</v>
      </c>
      <c r="AW46" s="22">
        <f ca="1">+GETPIVOTDATA("XBG4",'binhgia (2016)'!$A$3,"MA_HT","TSC","MA_QH","NTD")</f>
        <v>0</v>
      </c>
      <c r="AX46" s="22">
        <f ca="1">+GETPIVOTDATA("XBG4",'binhgia (2016)'!$A$3,"MA_HT","TSC","MA_QH","SKX")</f>
        <v>0</v>
      </c>
      <c r="AY46" s="22">
        <f ca="1">+GETPIVOTDATA("XBG4",'binhgia (2016)'!$A$3,"MA_HT","TSC","MA_QH","DSH")</f>
        <v>0</v>
      </c>
      <c r="AZ46" s="22">
        <f ca="1">+GETPIVOTDATA("XBG4",'binhgia (2016)'!$A$3,"MA_HT","TSC","MA_QH","DKV")</f>
        <v>0</v>
      </c>
      <c r="BA46" s="89">
        <f ca="1">+GETPIVOTDATA("XBG4",'binhgia (2016)'!$A$3,"MA_HT","TSC","MA_QH","TIN")</f>
        <v>0</v>
      </c>
      <c r="BB46" s="50">
        <f ca="1">+GETPIVOTDATA("XBG4",'binhgia (2016)'!$A$3,"MA_HT","TSC","MA_QH","SON")</f>
        <v>0</v>
      </c>
      <c r="BC46" s="50">
        <f ca="1">+GETPIVOTDATA("XBG4",'binhgia (2016)'!$A$3,"MA_HT","TSC","MA_QH","MNC")</f>
        <v>0</v>
      </c>
      <c r="BD46" s="22">
        <f ca="1">+GETPIVOTDATA("XBG4",'binhgia (2016)'!$A$3,"MA_HT","TSC","MA_QH","PNK")</f>
        <v>0</v>
      </c>
      <c r="BE46" s="71">
        <f ca="1">+GETPIVOTDATA("XBG4",'binhgia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+GETPIVOTDATA("XBG4",'binhgia (2016)'!$A$3,"MA_HT","DTS","MA_QH","LUC")</f>
        <v>0</v>
      </c>
      <c r="H47" s="60">
        <f ca="1">+GETPIVOTDATA("XBG4",'binhgia (2016)'!$A$3,"MA_HT","DTS","MA_QH","LUK")</f>
        <v>0</v>
      </c>
      <c r="I47" s="60">
        <f ca="1">+GETPIVOTDATA("XBG4",'binhgia (2016)'!$A$3,"MA_HT","DTS","MA_QH","LUN")</f>
        <v>0</v>
      </c>
      <c r="J47" s="60">
        <f ca="1">+GETPIVOTDATA("XBG4",'binhgia (2016)'!$A$3,"MA_HT","DTS","MA_QH","HNK")</f>
        <v>0</v>
      </c>
      <c r="K47" s="60">
        <f ca="1">+GETPIVOTDATA("XBG4",'binhgia (2016)'!$A$3,"MA_HT","DTS","MA_QH","CLN")</f>
        <v>0</v>
      </c>
      <c r="L47" s="60">
        <f ca="1">+GETPIVOTDATA("XBG4",'binhgia (2016)'!$A$3,"MA_HT","DTS","MA_QH","RSX")</f>
        <v>0</v>
      </c>
      <c r="M47" s="60">
        <f ca="1">+GETPIVOTDATA("XBG4",'binhgia (2016)'!$A$3,"MA_HT","DTS","MA_QH","RPH")</f>
        <v>0</v>
      </c>
      <c r="N47" s="60">
        <f ca="1">+GETPIVOTDATA("XBG4",'binhgia (2016)'!$A$3,"MA_HT","DTS","MA_QH","RDD")</f>
        <v>0</v>
      </c>
      <c r="O47" s="60">
        <f ca="1">+GETPIVOTDATA("XBG4",'binhgia (2016)'!$A$3,"MA_HT","DTS","MA_QH","NTS")</f>
        <v>0</v>
      </c>
      <c r="P47" s="60">
        <f ca="1">+GETPIVOTDATA("XBG4",'binhgia (2016)'!$A$3,"MA_HT","DTS","MA_QH","LMU")</f>
        <v>0</v>
      </c>
      <c r="Q47" s="60">
        <f ca="1">+GETPIVOTDATA("XBG4",'binhgia (2016)'!$A$3,"MA_HT","DTS","MA_QH","NKH")</f>
        <v>0</v>
      </c>
      <c r="R47" s="78">
        <f ca="1">SUM(S47:AA47,AN47:AS47,AU47:BD47)</f>
        <v>0</v>
      </c>
      <c r="S47" s="60">
        <f ca="1">+GETPIVOTDATA("XBG4",'binhgia (2016)'!$A$3,"MA_HT","DTS","MA_QH","CQP")</f>
        <v>0</v>
      </c>
      <c r="T47" s="60">
        <f ca="1">+GETPIVOTDATA("XBG4",'binhgia (2016)'!$A$3,"MA_HT","DTS","MA_QH","CAN")</f>
        <v>0</v>
      </c>
      <c r="U47" s="60">
        <f ca="1">+GETPIVOTDATA("XBG4",'binhgia (2016)'!$A$3,"MA_HT","DTS","MA_QH","SKK")</f>
        <v>0</v>
      </c>
      <c r="V47" s="60">
        <f ca="1">+GETPIVOTDATA("XBG4",'binhgia (2016)'!$A$3,"MA_HT","DTS","MA_QH","SKT")</f>
        <v>0</v>
      </c>
      <c r="W47" s="60">
        <f ca="1">+GETPIVOTDATA("XBG4",'binhgia (2016)'!$A$3,"MA_HT","DTS","MA_QH","SKN")</f>
        <v>0</v>
      </c>
      <c r="X47" s="60">
        <f ca="1">+GETPIVOTDATA("XBG4",'binhgia (2016)'!$A$3,"MA_HT","DTS","MA_QH","TMD")</f>
        <v>0</v>
      </c>
      <c r="Y47" s="60">
        <f ca="1">+GETPIVOTDATA("XBG4",'binhgia (2016)'!$A$3,"MA_HT","DTS","MA_QH","SKC")</f>
        <v>0</v>
      </c>
      <c r="Z47" s="60">
        <f ca="1">+GETPIVOTDATA("XBG4",'binhgia (2016)'!$A$3,"MA_HT","DTS","MA_QH","SKS")</f>
        <v>0</v>
      </c>
      <c r="AA47" s="59">
        <f ca="1" t="shared" si="21"/>
        <v>0</v>
      </c>
      <c r="AB47" s="60">
        <f ca="1">+GETPIVOTDATA("XBG4",'binhgia (2016)'!$A$3,"MA_HT","DTS","MA_QH","DGT")</f>
        <v>0</v>
      </c>
      <c r="AC47" s="60">
        <f ca="1">+GETPIVOTDATA("XBG4",'binhgia (2016)'!$A$3,"MA_HT","DTS","MA_QH","DTL")</f>
        <v>0</v>
      </c>
      <c r="AD47" s="60">
        <f ca="1">+GETPIVOTDATA("XBG4",'binhgia (2016)'!$A$3,"MA_HT","DTS","MA_QH","DNL")</f>
        <v>0</v>
      </c>
      <c r="AE47" s="60">
        <f ca="1">+GETPIVOTDATA("XBG4",'binhgia (2016)'!$A$3,"MA_HT","DTS","MA_QH","DBV")</f>
        <v>0</v>
      </c>
      <c r="AF47" s="60">
        <f ca="1">+GETPIVOTDATA("XBG4",'binhgia (2016)'!$A$3,"MA_HT","DTS","MA_QH","DVH")</f>
        <v>0</v>
      </c>
      <c r="AG47" s="60">
        <f ca="1">+GETPIVOTDATA("XBG4",'binhgia (2016)'!$A$3,"MA_HT","DTS","MA_QH","DYT")</f>
        <v>0</v>
      </c>
      <c r="AH47" s="60">
        <f ca="1">+GETPIVOTDATA("XBG4",'binhgia (2016)'!$A$3,"MA_HT","DTS","MA_QH","DGD")</f>
        <v>0</v>
      </c>
      <c r="AI47" s="60">
        <f ca="1">+GETPIVOTDATA("XBG4",'binhgia (2016)'!$A$3,"MA_HT","DTS","MA_QH","DTT")</f>
        <v>0</v>
      </c>
      <c r="AJ47" s="60">
        <f ca="1">+GETPIVOTDATA("XBG4",'binhgia (2016)'!$A$3,"MA_HT","DTS","MA_QH","NCK")</f>
        <v>0</v>
      </c>
      <c r="AK47" s="60">
        <f ca="1">+GETPIVOTDATA("XBG4",'binhgia (2016)'!$A$3,"MA_HT","DTS","MA_QH","DXH")</f>
        <v>0</v>
      </c>
      <c r="AL47" s="60">
        <f ca="1">+GETPIVOTDATA("XBG4",'binhgia (2016)'!$A$3,"MA_HT","DTS","MA_QH","DCH")</f>
        <v>0</v>
      </c>
      <c r="AM47" s="60">
        <f ca="1">+GETPIVOTDATA("XBG4",'binhgia (2016)'!$A$3,"MA_HT","DTS","MA_QH","DKG")</f>
        <v>0</v>
      </c>
      <c r="AN47" s="60">
        <f ca="1">+GETPIVOTDATA("XBG4",'binhgia (2016)'!$A$3,"MA_HT","DTS","MA_QH","DDT")</f>
        <v>0</v>
      </c>
      <c r="AO47" s="60">
        <f ca="1">+GETPIVOTDATA("XBG4",'binhgia (2016)'!$A$3,"MA_HT","DTS","MA_QH","DDL")</f>
        <v>0</v>
      </c>
      <c r="AP47" s="60">
        <f ca="1">+GETPIVOTDATA("XBG4",'binhgia (2016)'!$A$3,"MA_HT","DTS","MA_QH","DRA")</f>
        <v>0</v>
      </c>
      <c r="AQ47" s="60">
        <f ca="1">+GETPIVOTDATA("XBG4",'binhgia (2016)'!$A$3,"MA_HT","DTS","MA_QH","ONT")</f>
        <v>0</v>
      </c>
      <c r="AR47" s="60">
        <f ca="1">+GETPIVOTDATA("XBG4",'binhgia (2016)'!$A$3,"MA_HT","DTS","MA_QH","ODT")</f>
        <v>0</v>
      </c>
      <c r="AS47" s="60">
        <f ca="1">+GETPIVOTDATA("XBG4",'binhgia (2016)'!$A$3,"MA_HT","DTS","MA_QH","TSC")</f>
        <v>0</v>
      </c>
      <c r="AT47" s="81" t="e">
        <f ca="1">$D47-$BF47</f>
        <v>#REF!</v>
      </c>
      <c r="AU47" s="60">
        <f ca="1">+GETPIVOTDATA("XBG4",'binhgia (2016)'!$A$3,"MA_HT","DTS","MA_QH","DNG")</f>
        <v>0</v>
      </c>
      <c r="AV47" s="60">
        <f ca="1">+GETPIVOTDATA("XBG4",'binhgia (2016)'!$A$3,"MA_HT","DTS","MA_QH","TON")</f>
        <v>0</v>
      </c>
      <c r="AW47" s="60">
        <f ca="1">+GETPIVOTDATA("XBG4",'binhgia (2016)'!$A$3,"MA_HT","DTS","MA_QH","NTD")</f>
        <v>0</v>
      </c>
      <c r="AX47" s="60">
        <f ca="1">+GETPIVOTDATA("XBG4",'binhgia (2016)'!$A$3,"MA_HT","DTS","MA_QH","SKX")</f>
        <v>0</v>
      </c>
      <c r="AY47" s="60">
        <f ca="1">+GETPIVOTDATA("XBG4",'binhgia (2016)'!$A$3,"MA_HT","DTS","MA_QH","DSH")</f>
        <v>0</v>
      </c>
      <c r="AZ47" s="60">
        <f ca="1">+GETPIVOTDATA("XBG4",'binhgia (2016)'!$A$3,"MA_HT","DTS","MA_QH","DKV")</f>
        <v>0</v>
      </c>
      <c r="BA47" s="90">
        <f ca="1">+GETPIVOTDATA("XBG4",'binhgia (2016)'!$A$3,"MA_HT","DTS","MA_QH","TIN")</f>
        <v>0</v>
      </c>
      <c r="BB47" s="91">
        <f ca="1">+GETPIVOTDATA("XBG4",'binhgia (2016)'!$A$3,"MA_HT","DTS","MA_QH","SON")</f>
        <v>0</v>
      </c>
      <c r="BC47" s="91">
        <f ca="1">+GETPIVOTDATA("XBG4",'binhgia (2016)'!$A$3,"MA_HT","DTS","MA_QH","MNC")</f>
        <v>0</v>
      </c>
      <c r="BD47" s="60">
        <f ca="1">+GETPIVOTDATA("XBG4",'binhgia (2016)'!$A$3,"MA_HT","DTS","MA_QH","PNK")</f>
        <v>0</v>
      </c>
      <c r="BE47" s="111">
        <f ca="1">+GETPIVOTDATA("XBG4",'binhgia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+GETPIVOTDATA("XBG4",'binhgia (2016)'!$A$3,"MA_HT","DNG","MA_QH","LUC")</f>
        <v>0</v>
      </c>
      <c r="H48" s="22">
        <f ca="1">+GETPIVOTDATA("XBG4",'binhgia (2016)'!$A$3,"MA_HT","DNG","MA_QH","LUK")</f>
        <v>0</v>
      </c>
      <c r="I48" s="22">
        <f ca="1">+GETPIVOTDATA("XBG4",'binhgia (2016)'!$A$3,"MA_HT","DNG","MA_QH","LUN")</f>
        <v>0</v>
      </c>
      <c r="J48" s="22">
        <f ca="1">+GETPIVOTDATA("XBG4",'binhgia (2016)'!$A$3,"MA_HT","DNG","MA_QH","HNK")</f>
        <v>0</v>
      </c>
      <c r="K48" s="22">
        <f ca="1">+GETPIVOTDATA("XBG4",'binhgia (2016)'!$A$3,"MA_HT","DNG","MA_QH","CLN")</f>
        <v>0</v>
      </c>
      <c r="L48" s="22">
        <f ca="1">+GETPIVOTDATA("XBG4",'binhgia (2016)'!$A$3,"MA_HT","DNG","MA_QH","RSX")</f>
        <v>0</v>
      </c>
      <c r="M48" s="22">
        <f ca="1">+GETPIVOTDATA("XBG4",'binhgia (2016)'!$A$3,"MA_HT","DNG","MA_QH","RPH")</f>
        <v>0</v>
      </c>
      <c r="N48" s="22">
        <f ca="1">+GETPIVOTDATA("XBG4",'binhgia (2016)'!$A$3,"MA_HT","DNG","MA_QH","RDD")</f>
        <v>0</v>
      </c>
      <c r="O48" s="22">
        <f ca="1">+GETPIVOTDATA("XBG4",'binhgia (2016)'!$A$3,"MA_HT","DNG","MA_QH","NTS")</f>
        <v>0</v>
      </c>
      <c r="P48" s="22">
        <f ca="1">+GETPIVOTDATA("XBG4",'binhgia (2016)'!$A$3,"MA_HT","DNG","MA_QH","LMU")</f>
        <v>0</v>
      </c>
      <c r="Q48" s="22">
        <f ca="1">+GETPIVOTDATA("XBG4",'binhgia (2016)'!$A$3,"MA_HT","DNG","MA_QH","NKH")</f>
        <v>0</v>
      </c>
      <c r="R48" s="79">
        <f ca="1">SUM(S48:AA48,AN48:AT48,AV48:BD48)</f>
        <v>0</v>
      </c>
      <c r="S48" s="22">
        <f ca="1">+GETPIVOTDATA("XBG4",'binhgia (2016)'!$A$3,"MA_HT","DNG","MA_QH","CQP")</f>
        <v>0</v>
      </c>
      <c r="T48" s="22">
        <f ca="1">+GETPIVOTDATA("XBG4",'binhgia (2016)'!$A$3,"MA_HT","DNG","MA_QH","CAN")</f>
        <v>0</v>
      </c>
      <c r="U48" s="22">
        <f ca="1">+GETPIVOTDATA("XBG4",'binhgia (2016)'!$A$3,"MA_HT","DNG","MA_QH","SKK")</f>
        <v>0</v>
      </c>
      <c r="V48" s="22">
        <f ca="1">+GETPIVOTDATA("XBG4",'binhgia (2016)'!$A$3,"MA_HT","DNG","MA_QH","SKT")</f>
        <v>0</v>
      </c>
      <c r="W48" s="22">
        <f ca="1">+GETPIVOTDATA("XBG4",'binhgia (2016)'!$A$3,"MA_HT","DNG","MA_QH","SKN")</f>
        <v>0</v>
      </c>
      <c r="X48" s="22">
        <f ca="1">+GETPIVOTDATA("XBG4",'binhgia (2016)'!$A$3,"MA_HT","DNG","MA_QH","TMD")</f>
        <v>0</v>
      </c>
      <c r="Y48" s="22">
        <f ca="1">+GETPIVOTDATA("XBG4",'binhgia (2016)'!$A$3,"MA_HT","DNG","MA_QH","SKC")</f>
        <v>0</v>
      </c>
      <c r="Z48" s="22">
        <f ca="1">+GETPIVOTDATA("XBG4",'binhgia (2016)'!$A$3,"MA_HT","DNG","MA_QH","SKS")</f>
        <v>0</v>
      </c>
      <c r="AA48" s="52">
        <f ca="1" t="shared" si="21"/>
        <v>0</v>
      </c>
      <c r="AB48" s="22">
        <f ca="1">+GETPIVOTDATA("XBG4",'binhgia (2016)'!$A$3,"MA_HT","DNG","MA_QH","DGT")</f>
        <v>0</v>
      </c>
      <c r="AC48" s="22">
        <f ca="1">+GETPIVOTDATA("XBG4",'binhgia (2016)'!$A$3,"MA_HT","DNG","MA_QH","DTL")</f>
        <v>0</v>
      </c>
      <c r="AD48" s="22">
        <f ca="1">+GETPIVOTDATA("XBG4",'binhgia (2016)'!$A$3,"MA_HT","DNG","MA_QH","DNL")</f>
        <v>0</v>
      </c>
      <c r="AE48" s="22">
        <f ca="1">+GETPIVOTDATA("XBG4",'binhgia (2016)'!$A$3,"MA_HT","DNG","MA_QH","DBV")</f>
        <v>0</v>
      </c>
      <c r="AF48" s="22">
        <f ca="1">+GETPIVOTDATA("XBG4",'binhgia (2016)'!$A$3,"MA_HT","DNG","MA_QH","DVH")</f>
        <v>0</v>
      </c>
      <c r="AG48" s="22">
        <f ca="1">+GETPIVOTDATA("XBG4",'binhgia (2016)'!$A$3,"MA_HT","DNG","MA_QH","DYT")</f>
        <v>0</v>
      </c>
      <c r="AH48" s="22">
        <f ca="1">+GETPIVOTDATA("XBG4",'binhgia (2016)'!$A$3,"MA_HT","DNG","MA_QH","DGD")</f>
        <v>0</v>
      </c>
      <c r="AI48" s="22">
        <f ca="1">+GETPIVOTDATA("XBG4",'binhgia (2016)'!$A$3,"MA_HT","DNG","MA_QH","DTT")</f>
        <v>0</v>
      </c>
      <c r="AJ48" s="22">
        <f ca="1">+GETPIVOTDATA("XBG4",'binhgia (2016)'!$A$3,"MA_HT","DNG","MA_QH","NCK")</f>
        <v>0</v>
      </c>
      <c r="AK48" s="22">
        <f ca="1">+GETPIVOTDATA("XBG4",'binhgia (2016)'!$A$3,"MA_HT","DNG","MA_QH","DXH")</f>
        <v>0</v>
      </c>
      <c r="AL48" s="22">
        <f ca="1">+GETPIVOTDATA("XBG4",'binhgia (2016)'!$A$3,"MA_HT","DNG","MA_QH","DCH")</f>
        <v>0</v>
      </c>
      <c r="AM48" s="22">
        <f ca="1">+GETPIVOTDATA("XBG4",'binhgia (2016)'!$A$3,"MA_HT","DNG","MA_QH","DKG")</f>
        <v>0</v>
      </c>
      <c r="AN48" s="22">
        <f ca="1">+GETPIVOTDATA("XBG4",'binhgia (2016)'!$A$3,"MA_HT","DNG","MA_QH","DDT")</f>
        <v>0</v>
      </c>
      <c r="AO48" s="22">
        <f ca="1">+GETPIVOTDATA("XBG4",'binhgia (2016)'!$A$3,"MA_HT","DNG","MA_QH","DDL")</f>
        <v>0</v>
      </c>
      <c r="AP48" s="22">
        <f ca="1">+GETPIVOTDATA("XBG4",'binhgia (2016)'!$A$3,"MA_HT","DNG","MA_QH","DRA")</f>
        <v>0</v>
      </c>
      <c r="AQ48" s="22">
        <f ca="1">+GETPIVOTDATA("XBG4",'binhgia (2016)'!$A$3,"MA_HT","DNG","MA_QH","ONT")</f>
        <v>0</v>
      </c>
      <c r="AR48" s="22">
        <f ca="1">+GETPIVOTDATA("XBG4",'binhgia (2016)'!$A$3,"MA_HT","DNG","MA_QH","ODT")</f>
        <v>0</v>
      </c>
      <c r="AS48" s="22">
        <f ca="1">+GETPIVOTDATA("XBG4",'binhgia (2016)'!$A$3,"MA_HT","DNG","MA_QH","TSC")</f>
        <v>0</v>
      </c>
      <c r="AT48" s="22">
        <f ca="1">+GETPIVOTDATA("XBG4",'binhgia (2016)'!$A$3,"MA_HT","DNG","MA_QH","DTS")</f>
        <v>0</v>
      </c>
      <c r="AU48" s="43" t="e">
        <f ca="1">$D48-$BF48</f>
        <v>#REF!</v>
      </c>
      <c r="AV48" s="22">
        <f ca="1">+GETPIVOTDATA("XBG4",'binhgia (2016)'!$A$3,"MA_HT","DNG","MA_QH","TON")</f>
        <v>0</v>
      </c>
      <c r="AW48" s="22">
        <f ca="1">+GETPIVOTDATA("XBG4",'binhgia (2016)'!$A$3,"MA_HT","DNG","MA_QH","NTD")</f>
        <v>0</v>
      </c>
      <c r="AX48" s="22">
        <f ca="1">+GETPIVOTDATA("XBG4",'binhgia (2016)'!$A$3,"MA_HT","DNG","MA_QH","SKX")</f>
        <v>0</v>
      </c>
      <c r="AY48" s="22">
        <f ca="1">+GETPIVOTDATA("XBG4",'binhgia (2016)'!$A$3,"MA_HT","DNG","MA_QH","DSH")</f>
        <v>0</v>
      </c>
      <c r="AZ48" s="22">
        <f ca="1">+GETPIVOTDATA("XBG4",'binhgia (2016)'!$A$3,"MA_HT","DNG","MA_QH","DKV")</f>
        <v>0</v>
      </c>
      <c r="BA48" s="89">
        <f ca="1">+GETPIVOTDATA("XBG4",'binhgia (2016)'!$A$3,"MA_HT","DNG","MA_QH","TIN")</f>
        <v>0</v>
      </c>
      <c r="BB48" s="50">
        <f ca="1">+GETPIVOTDATA("XBG4",'binhgia (2016)'!$A$3,"MA_HT","DNG","MA_QH","SON")</f>
        <v>0</v>
      </c>
      <c r="BC48" s="50">
        <f ca="1">+GETPIVOTDATA("XBG4",'binhgia (2016)'!$A$3,"MA_HT","DNG","MA_QH","MNC")</f>
        <v>0</v>
      </c>
      <c r="BD48" s="22">
        <f ca="1">+GETPIVOTDATA("XBG4",'binhgia (2016)'!$A$3,"MA_HT","DNG","MA_QH","PNK")</f>
        <v>0</v>
      </c>
      <c r="BE48" s="71">
        <f ca="1">+GETPIVOTDATA("XBG4",'binhgia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+GETPIVOTDATA("XBG4",'binhgia (2016)'!$A$3,"MA_HT","TON","MA_QH","LUC")</f>
        <v>0</v>
      </c>
      <c r="H49" s="22">
        <f ca="1">+GETPIVOTDATA("XBG4",'binhgia (2016)'!$A$3,"MA_HT","TON","MA_QH","LUK")</f>
        <v>0</v>
      </c>
      <c r="I49" s="22">
        <f ca="1">+GETPIVOTDATA("XBG4",'binhgia (2016)'!$A$3,"MA_HT","TON","MA_QH","LUN")</f>
        <v>0</v>
      </c>
      <c r="J49" s="22">
        <f ca="1">+GETPIVOTDATA("XBG4",'binhgia (2016)'!$A$3,"MA_HT","TON","MA_QH","HNK")</f>
        <v>0</v>
      </c>
      <c r="K49" s="22">
        <f ca="1">+GETPIVOTDATA("XBG4",'binhgia (2016)'!$A$3,"MA_HT","TON","MA_QH","CLN")</f>
        <v>0</v>
      </c>
      <c r="L49" s="22">
        <f ca="1">+GETPIVOTDATA("XBG4",'binhgia (2016)'!$A$3,"MA_HT","TON","MA_QH","RSX")</f>
        <v>0</v>
      </c>
      <c r="M49" s="22">
        <f ca="1">+GETPIVOTDATA("XBG4",'binhgia (2016)'!$A$3,"MA_HT","TON","MA_QH","RPH")</f>
        <v>0</v>
      </c>
      <c r="N49" s="22">
        <f ca="1">+GETPIVOTDATA("XBG4",'binhgia (2016)'!$A$3,"MA_HT","TON","MA_QH","RDD")</f>
        <v>0</v>
      </c>
      <c r="O49" s="22">
        <f ca="1">+GETPIVOTDATA("XBG4",'binhgia (2016)'!$A$3,"MA_HT","TON","MA_QH","NTS")</f>
        <v>0</v>
      </c>
      <c r="P49" s="22">
        <f ca="1">+GETPIVOTDATA("XBG4",'binhgia (2016)'!$A$3,"MA_HT","TON","MA_QH","LMU")</f>
        <v>0</v>
      </c>
      <c r="Q49" s="22">
        <f ca="1">+GETPIVOTDATA("XBG4",'binhgia (2016)'!$A$3,"MA_HT","TON","MA_QH","NKH")</f>
        <v>0</v>
      </c>
      <c r="R49" s="79">
        <f ca="1">SUM(S49:AA49,AN49:AU49,AW49:BD49)</f>
        <v>0</v>
      </c>
      <c r="S49" s="22">
        <f ca="1">+GETPIVOTDATA("XBG4",'binhgia (2016)'!$A$3,"MA_HT","TON","MA_QH","CQP")</f>
        <v>0</v>
      </c>
      <c r="T49" s="22">
        <f ca="1">+GETPIVOTDATA("XBG4",'binhgia (2016)'!$A$3,"MA_HT","TON","MA_QH","CAN")</f>
        <v>0</v>
      </c>
      <c r="U49" s="22">
        <f ca="1">+GETPIVOTDATA("XBG4",'binhgia (2016)'!$A$3,"MA_HT","TON","MA_QH","SKK")</f>
        <v>0</v>
      </c>
      <c r="V49" s="22">
        <f ca="1">+GETPIVOTDATA("XBG4",'binhgia (2016)'!$A$3,"MA_HT","TON","MA_QH","SKT")</f>
        <v>0</v>
      </c>
      <c r="W49" s="22">
        <f ca="1">+GETPIVOTDATA("XBG4",'binhgia (2016)'!$A$3,"MA_HT","TON","MA_QH","SKN")</f>
        <v>0</v>
      </c>
      <c r="X49" s="22">
        <f ca="1">+GETPIVOTDATA("XBG4",'binhgia (2016)'!$A$3,"MA_HT","TON","MA_QH","TMD")</f>
        <v>0</v>
      </c>
      <c r="Y49" s="22">
        <f ca="1">+GETPIVOTDATA("XBG4",'binhgia (2016)'!$A$3,"MA_HT","TON","MA_QH","SKC")</f>
        <v>0</v>
      </c>
      <c r="Z49" s="22">
        <f ca="1">+GETPIVOTDATA("XBG4",'binhgia (2016)'!$A$3,"MA_HT","TON","MA_QH","SKS")</f>
        <v>0</v>
      </c>
      <c r="AA49" s="52">
        <f ca="1" t="shared" si="21"/>
        <v>0</v>
      </c>
      <c r="AB49" s="22">
        <f ca="1">+GETPIVOTDATA("XBG4",'binhgia (2016)'!$A$3,"MA_HT","TON","MA_QH","DGT")</f>
        <v>0</v>
      </c>
      <c r="AC49" s="22">
        <f ca="1">+GETPIVOTDATA("XBG4",'binhgia (2016)'!$A$3,"MA_HT","TON","MA_QH","DTL")</f>
        <v>0</v>
      </c>
      <c r="AD49" s="22">
        <f ca="1">+GETPIVOTDATA("XBG4",'binhgia (2016)'!$A$3,"MA_HT","TON","MA_QH","DNL")</f>
        <v>0</v>
      </c>
      <c r="AE49" s="22">
        <f ca="1">+GETPIVOTDATA("XBG4",'binhgia (2016)'!$A$3,"MA_HT","TON","MA_QH","DBV")</f>
        <v>0</v>
      </c>
      <c r="AF49" s="22">
        <f ca="1">+GETPIVOTDATA("XBG4",'binhgia (2016)'!$A$3,"MA_HT","TON","MA_QH","DVH")</f>
        <v>0</v>
      </c>
      <c r="AG49" s="22">
        <f ca="1">+GETPIVOTDATA("XBG4",'binhgia (2016)'!$A$3,"MA_HT","TON","MA_QH","DYT")</f>
        <v>0</v>
      </c>
      <c r="AH49" s="22">
        <f ca="1">+GETPIVOTDATA("XBG4",'binhgia (2016)'!$A$3,"MA_HT","TON","MA_QH","DGD")</f>
        <v>0</v>
      </c>
      <c r="AI49" s="22">
        <f ca="1">+GETPIVOTDATA("XBG4",'binhgia (2016)'!$A$3,"MA_HT","TON","MA_QH","DTT")</f>
        <v>0</v>
      </c>
      <c r="AJ49" s="22">
        <f ca="1">+GETPIVOTDATA("XBG4",'binhgia (2016)'!$A$3,"MA_HT","TON","MA_QH","NCK")</f>
        <v>0</v>
      </c>
      <c r="AK49" s="22">
        <f ca="1">+GETPIVOTDATA("XBG4",'binhgia (2016)'!$A$3,"MA_HT","TON","MA_QH","DXH")</f>
        <v>0</v>
      </c>
      <c r="AL49" s="22">
        <f ca="1">+GETPIVOTDATA("XBG4",'binhgia (2016)'!$A$3,"MA_HT","TON","MA_QH","DCH")</f>
        <v>0</v>
      </c>
      <c r="AM49" s="22">
        <f ca="1">+GETPIVOTDATA("XBG4",'binhgia (2016)'!$A$3,"MA_HT","TON","MA_QH","DKG")</f>
        <v>0</v>
      </c>
      <c r="AN49" s="22">
        <f ca="1">+GETPIVOTDATA("XBG4",'binhgia (2016)'!$A$3,"MA_HT","TON","MA_QH","DDT")</f>
        <v>0</v>
      </c>
      <c r="AO49" s="22">
        <f ca="1">+GETPIVOTDATA("XBG4",'binhgia (2016)'!$A$3,"MA_HT","TON","MA_QH","DDL")</f>
        <v>0</v>
      </c>
      <c r="AP49" s="22">
        <f ca="1">+GETPIVOTDATA("XBG4",'binhgia (2016)'!$A$3,"MA_HT","TON","MA_QH","DRA")</f>
        <v>0</v>
      </c>
      <c r="AQ49" s="22">
        <f ca="1">+GETPIVOTDATA("XBG4",'binhgia (2016)'!$A$3,"MA_HT","TON","MA_QH","ONT")</f>
        <v>0</v>
      </c>
      <c r="AR49" s="22">
        <f ca="1">+GETPIVOTDATA("XBG4",'binhgia (2016)'!$A$3,"MA_HT","TON","MA_QH","ODT")</f>
        <v>0</v>
      </c>
      <c r="AS49" s="22">
        <f ca="1">+GETPIVOTDATA("XBG4",'binhgia (2016)'!$A$3,"MA_HT","TON","MA_QH","TSC")</f>
        <v>0</v>
      </c>
      <c r="AT49" s="22">
        <f ca="1">+GETPIVOTDATA("XBG4",'binhgia (2016)'!$A$3,"MA_HT","TON","MA_QH","DTS")</f>
        <v>0</v>
      </c>
      <c r="AU49" s="22">
        <f ca="1">+GETPIVOTDATA("XBG4",'binhgia (2016)'!$A$3,"MA_HT","TON","MA_QH","DNG")</f>
        <v>0</v>
      </c>
      <c r="AV49" s="43" t="e">
        <f ca="1">$D49-$BF49</f>
        <v>#REF!</v>
      </c>
      <c r="AW49" s="22">
        <f ca="1">+GETPIVOTDATA("XBG4",'binhgia (2016)'!$A$3,"MA_HT","TON","MA_QH","NTD")</f>
        <v>0</v>
      </c>
      <c r="AX49" s="22">
        <f ca="1">+GETPIVOTDATA("XBG4",'binhgia (2016)'!$A$3,"MA_HT","TON","MA_QH","SKX")</f>
        <v>0</v>
      </c>
      <c r="AY49" s="22">
        <f ca="1">+GETPIVOTDATA("XBG4",'binhgia (2016)'!$A$3,"MA_HT","TON","MA_QH","DSH")</f>
        <v>0</v>
      </c>
      <c r="AZ49" s="22">
        <f ca="1">+GETPIVOTDATA("XBG4",'binhgia (2016)'!$A$3,"MA_HT","TON","MA_QH","DKV")</f>
        <v>0</v>
      </c>
      <c r="BA49" s="89">
        <f ca="1">+GETPIVOTDATA("XBG4",'binhgia (2016)'!$A$3,"MA_HT","TON","MA_QH","TIN")</f>
        <v>0</v>
      </c>
      <c r="BB49" s="50">
        <f ca="1">+GETPIVOTDATA("XBG4",'binhgia (2016)'!$A$3,"MA_HT","TON","MA_QH","SON")</f>
        <v>0</v>
      </c>
      <c r="BC49" s="50">
        <f ca="1">+GETPIVOTDATA("XBG4",'binhgia (2016)'!$A$3,"MA_HT","TON","MA_QH","MNC")</f>
        <v>0</v>
      </c>
      <c r="BD49" s="22">
        <f ca="1">+GETPIVOTDATA("XBG4",'binhgia (2016)'!$A$3,"MA_HT","TON","MA_QH","PNK")</f>
        <v>0</v>
      </c>
      <c r="BE49" s="71">
        <f ca="1">+GETPIVOTDATA("XBG4",'binhgia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+GETPIVOTDATA("XBG4",'binhgia (2016)'!$A$3,"MA_HT","NTD","MA_QH","LUC")</f>
        <v>0</v>
      </c>
      <c r="H50" s="22">
        <f ca="1">+GETPIVOTDATA("XBG4",'binhgia (2016)'!$A$3,"MA_HT","NTD","MA_QH","LUK")</f>
        <v>0</v>
      </c>
      <c r="I50" s="22">
        <f ca="1">+GETPIVOTDATA("XBG4",'binhgia (2016)'!$A$3,"MA_HT","NTD","MA_QH","LUN")</f>
        <v>0</v>
      </c>
      <c r="J50" s="22">
        <f ca="1">+GETPIVOTDATA("XBG4",'binhgia (2016)'!$A$3,"MA_HT","NTD","MA_QH","HNK")</f>
        <v>0</v>
      </c>
      <c r="K50" s="22">
        <f ca="1">+GETPIVOTDATA("XBG4",'binhgia (2016)'!$A$3,"MA_HT","NTD","MA_QH","CLN")</f>
        <v>0</v>
      </c>
      <c r="L50" s="22">
        <f ca="1">+GETPIVOTDATA("XBG4",'binhgia (2016)'!$A$3,"MA_HT","NTD","MA_QH","RSX")</f>
        <v>0</v>
      </c>
      <c r="M50" s="22">
        <f ca="1">+GETPIVOTDATA("XBG4",'binhgia (2016)'!$A$3,"MA_HT","NTD","MA_QH","RPH")</f>
        <v>0</v>
      </c>
      <c r="N50" s="22">
        <f ca="1">+GETPIVOTDATA("XBG4",'binhgia (2016)'!$A$3,"MA_HT","NTD","MA_QH","RDD")</f>
        <v>0</v>
      </c>
      <c r="O50" s="22">
        <f ca="1">+GETPIVOTDATA("XBG4",'binhgia (2016)'!$A$3,"MA_HT","NTD","MA_QH","NTS")</f>
        <v>0</v>
      </c>
      <c r="P50" s="22">
        <f ca="1">+GETPIVOTDATA("XBG4",'binhgia (2016)'!$A$3,"MA_HT","NTD","MA_QH","LMU")</f>
        <v>0</v>
      </c>
      <c r="Q50" s="22">
        <f ca="1">+GETPIVOTDATA("XBG4",'binhgia (2016)'!$A$3,"MA_HT","NTD","MA_QH","NKH")</f>
        <v>0</v>
      </c>
      <c r="R50" s="79">
        <f ca="1">SUM(S50:AA50,AN50:AV50,AX50:BD50)</f>
        <v>0</v>
      </c>
      <c r="S50" s="22">
        <f ca="1">+GETPIVOTDATA("XBG4",'binhgia (2016)'!$A$3,"MA_HT","NTD","MA_QH","CQP")</f>
        <v>0</v>
      </c>
      <c r="T50" s="22">
        <f ca="1">+GETPIVOTDATA("XBG4",'binhgia (2016)'!$A$3,"MA_HT","NTD","MA_QH","CAN")</f>
        <v>0</v>
      </c>
      <c r="U50" s="22">
        <f ca="1">+GETPIVOTDATA("XBG4",'binhgia (2016)'!$A$3,"MA_HT","NTD","MA_QH","SKK")</f>
        <v>0</v>
      </c>
      <c r="V50" s="22">
        <f ca="1">+GETPIVOTDATA("XBG4",'binhgia (2016)'!$A$3,"MA_HT","NTD","MA_QH","SKT")</f>
        <v>0</v>
      </c>
      <c r="W50" s="22">
        <f ca="1">+GETPIVOTDATA("XBG4",'binhgia (2016)'!$A$3,"MA_HT","NTD","MA_QH","SKN")</f>
        <v>0</v>
      </c>
      <c r="X50" s="22">
        <f ca="1">+GETPIVOTDATA("XBG4",'binhgia (2016)'!$A$3,"MA_HT","NTD","MA_QH","TMD")</f>
        <v>0</v>
      </c>
      <c r="Y50" s="22">
        <f ca="1">+GETPIVOTDATA("XBG4",'binhgia (2016)'!$A$3,"MA_HT","NTD","MA_QH","SKC")</f>
        <v>0</v>
      </c>
      <c r="Z50" s="22">
        <f ca="1">+GETPIVOTDATA("XBG4",'binhgia (2016)'!$A$3,"MA_HT","NTD","MA_QH","SKS")</f>
        <v>0</v>
      </c>
      <c r="AA50" s="52">
        <f ca="1" t="shared" si="21"/>
        <v>0</v>
      </c>
      <c r="AB50" s="22">
        <f ca="1">+GETPIVOTDATA("XBG4",'binhgia (2016)'!$A$3,"MA_HT","NTD","MA_QH","DGT")</f>
        <v>0</v>
      </c>
      <c r="AC50" s="22">
        <f ca="1">+GETPIVOTDATA("XBG4",'binhgia (2016)'!$A$3,"MA_HT","NTD","MA_QH","DTL")</f>
        <v>0</v>
      </c>
      <c r="AD50" s="22">
        <f ca="1">+GETPIVOTDATA("XBG4",'binhgia (2016)'!$A$3,"MA_HT","NTD","MA_QH","DNL")</f>
        <v>0</v>
      </c>
      <c r="AE50" s="22">
        <f ca="1">+GETPIVOTDATA("XBG4",'binhgia (2016)'!$A$3,"MA_HT","NTD","MA_QH","DBV")</f>
        <v>0</v>
      </c>
      <c r="AF50" s="22">
        <f ca="1">+GETPIVOTDATA("XBG4",'binhgia (2016)'!$A$3,"MA_HT","NTD","MA_QH","DVH")</f>
        <v>0</v>
      </c>
      <c r="AG50" s="22">
        <f ca="1">+GETPIVOTDATA("XBG4",'binhgia (2016)'!$A$3,"MA_HT","NTD","MA_QH","DYT")</f>
        <v>0</v>
      </c>
      <c r="AH50" s="22">
        <f ca="1">+GETPIVOTDATA("XBG4",'binhgia (2016)'!$A$3,"MA_HT","NTD","MA_QH","DGD")</f>
        <v>0</v>
      </c>
      <c r="AI50" s="22">
        <f ca="1">+GETPIVOTDATA("XBG4",'binhgia (2016)'!$A$3,"MA_HT","NTD","MA_QH","DTT")</f>
        <v>0</v>
      </c>
      <c r="AJ50" s="22">
        <f ca="1">+GETPIVOTDATA("XBG4",'binhgia (2016)'!$A$3,"MA_HT","NTD","MA_QH","NCK")</f>
        <v>0</v>
      </c>
      <c r="AK50" s="22">
        <f ca="1">+GETPIVOTDATA("XBG4",'binhgia (2016)'!$A$3,"MA_HT","NTD","MA_QH","DXH")</f>
        <v>0</v>
      </c>
      <c r="AL50" s="22">
        <f ca="1">+GETPIVOTDATA("XBG4",'binhgia (2016)'!$A$3,"MA_HT","NTD","MA_QH","DCH")</f>
        <v>0</v>
      </c>
      <c r="AM50" s="22">
        <f ca="1">+GETPIVOTDATA("XBG4",'binhgia (2016)'!$A$3,"MA_HT","NTD","MA_QH","DKG")</f>
        <v>0</v>
      </c>
      <c r="AN50" s="22">
        <f ca="1">+GETPIVOTDATA("XBG4",'binhgia (2016)'!$A$3,"MA_HT","NTD","MA_QH","DDT")</f>
        <v>0</v>
      </c>
      <c r="AO50" s="22">
        <f ca="1">+GETPIVOTDATA("XBG4",'binhgia (2016)'!$A$3,"MA_HT","NTD","MA_QH","DDL")</f>
        <v>0</v>
      </c>
      <c r="AP50" s="22">
        <f ca="1">+GETPIVOTDATA("XBG4",'binhgia (2016)'!$A$3,"MA_HT","NTD","MA_QH","DRA")</f>
        <v>0</v>
      </c>
      <c r="AQ50" s="22">
        <f ca="1">+GETPIVOTDATA("XBG4",'binhgia (2016)'!$A$3,"MA_HT","NTD","MA_QH","ONT")</f>
        <v>0</v>
      </c>
      <c r="AR50" s="22">
        <f ca="1">+GETPIVOTDATA("XBG4",'binhgia (2016)'!$A$3,"MA_HT","NTD","MA_QH","ODT")</f>
        <v>0</v>
      </c>
      <c r="AS50" s="22">
        <f ca="1">+GETPIVOTDATA("XBG4",'binhgia (2016)'!$A$3,"MA_HT","NTD","MA_QH","TSC")</f>
        <v>0</v>
      </c>
      <c r="AT50" s="22">
        <f ca="1">+GETPIVOTDATA("XBG4",'binhgia (2016)'!$A$3,"MA_HT","NTD","MA_QH","DTS")</f>
        <v>0</v>
      </c>
      <c r="AU50" s="22">
        <f ca="1">+GETPIVOTDATA("XBG4",'binhgia (2016)'!$A$3,"MA_HT","NTD","MA_QH","DNG")</f>
        <v>0</v>
      </c>
      <c r="AV50" s="22">
        <f ca="1">+GETPIVOTDATA("XBG4",'binhgia (2016)'!$A$3,"MA_HT","NTD","MA_QH","TON")</f>
        <v>0</v>
      </c>
      <c r="AW50" s="43" t="e">
        <f ca="1">$D50-$BF50</f>
        <v>#REF!</v>
      </c>
      <c r="AX50" s="22">
        <f ca="1">+GETPIVOTDATA("XBG4",'binhgia (2016)'!$A$3,"MA_HT","NTD","MA_QH","SKX")</f>
        <v>0</v>
      </c>
      <c r="AY50" s="22">
        <f ca="1">+GETPIVOTDATA("XBG4",'binhgia (2016)'!$A$3,"MA_HT","NTD","MA_QH","DSH")</f>
        <v>0</v>
      </c>
      <c r="AZ50" s="22">
        <f ca="1">+GETPIVOTDATA("XBG4",'binhgia (2016)'!$A$3,"MA_HT","NTD","MA_QH","DKV")</f>
        <v>0</v>
      </c>
      <c r="BA50" s="89">
        <f ca="1">+GETPIVOTDATA("XBG4",'binhgia (2016)'!$A$3,"MA_HT","NTD","MA_QH","TIN")</f>
        <v>0</v>
      </c>
      <c r="BB50" s="50">
        <f ca="1">+GETPIVOTDATA("XBG4",'binhgia (2016)'!$A$3,"MA_HT","NTD","MA_QH","SON")</f>
        <v>0</v>
      </c>
      <c r="BC50" s="50">
        <f ca="1">+GETPIVOTDATA("XBG4",'binhgia (2016)'!$A$3,"MA_HT","NTD","MA_QH","MNC")</f>
        <v>0</v>
      </c>
      <c r="BD50" s="22">
        <f ca="1">+GETPIVOTDATA("XBG4",'binhgia (2016)'!$A$3,"MA_HT","NTD","MA_QH","PNK")</f>
        <v>0</v>
      </c>
      <c r="BE50" s="71">
        <f ca="1">+GETPIVOTDATA("XBG4",'binhgia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+GETPIVOTDATA("XBG4",'binhgia (2016)'!$A$3,"MA_HT","SKX","MA_QH","LUC")</f>
        <v>0</v>
      </c>
      <c r="H51" s="22">
        <f ca="1">+GETPIVOTDATA("XBG4",'binhgia (2016)'!$A$3,"MA_HT","SKX","MA_QH","LUK")</f>
        <v>0</v>
      </c>
      <c r="I51" s="22">
        <f ca="1">+GETPIVOTDATA("XBG4",'binhgia (2016)'!$A$3,"MA_HT","SKX","MA_QH","LUN")</f>
        <v>0</v>
      </c>
      <c r="J51" s="22">
        <f ca="1">+GETPIVOTDATA("XBG4",'binhgia (2016)'!$A$3,"MA_HT","SKX","MA_QH","HNK")</f>
        <v>0</v>
      </c>
      <c r="K51" s="22">
        <f ca="1">+GETPIVOTDATA("XBG4",'binhgia (2016)'!$A$3,"MA_HT","SKX","MA_QH","CLN")</f>
        <v>0</v>
      </c>
      <c r="L51" s="22">
        <f ca="1">+GETPIVOTDATA("XBG4",'binhgia (2016)'!$A$3,"MA_HT","SKX","MA_QH","RSX")</f>
        <v>0</v>
      </c>
      <c r="M51" s="22">
        <f ca="1">+GETPIVOTDATA("XBG4",'binhgia (2016)'!$A$3,"MA_HT","SKX","MA_QH","RPH")</f>
        <v>0</v>
      </c>
      <c r="N51" s="22">
        <f ca="1">+GETPIVOTDATA("XBG4",'binhgia (2016)'!$A$3,"MA_HT","SKX","MA_QH","RDD")</f>
        <v>0</v>
      </c>
      <c r="O51" s="22">
        <f ca="1">+GETPIVOTDATA("XBG4",'binhgia (2016)'!$A$3,"MA_HT","SKX","MA_QH","NTS")</f>
        <v>0</v>
      </c>
      <c r="P51" s="22">
        <f ca="1">+GETPIVOTDATA("XBG4",'binhgia (2016)'!$A$3,"MA_HT","SKX","MA_QH","LMU")</f>
        <v>0</v>
      </c>
      <c r="Q51" s="22">
        <f ca="1">+GETPIVOTDATA("XBG4",'binhgia (2016)'!$A$3,"MA_HT","SKX","MA_QH","NKH")</f>
        <v>0</v>
      </c>
      <c r="R51" s="79">
        <f ca="1">SUM(S51:AA51,AN51:AW51,AY51:BD51)</f>
        <v>0</v>
      </c>
      <c r="S51" s="22">
        <f ca="1">+GETPIVOTDATA("XBG4",'binhgia (2016)'!$A$3,"MA_HT","SKX","MA_QH","CQP")</f>
        <v>0</v>
      </c>
      <c r="T51" s="22">
        <f ca="1">+GETPIVOTDATA("XBG4",'binhgia (2016)'!$A$3,"MA_HT","SKX","MA_QH","CAN")</f>
        <v>0</v>
      </c>
      <c r="U51" s="22">
        <f ca="1">+GETPIVOTDATA("XBG4",'binhgia (2016)'!$A$3,"MA_HT","SKX","MA_QH","SKK")</f>
        <v>0</v>
      </c>
      <c r="V51" s="22">
        <f ca="1">+GETPIVOTDATA("XBG4",'binhgia (2016)'!$A$3,"MA_HT","SKX","MA_QH","SKT")</f>
        <v>0</v>
      </c>
      <c r="W51" s="22">
        <f ca="1">+GETPIVOTDATA("XBG4",'binhgia (2016)'!$A$3,"MA_HT","SKX","MA_QH","SKN")</f>
        <v>0</v>
      </c>
      <c r="X51" s="22">
        <f ca="1">+GETPIVOTDATA("XBG4",'binhgia (2016)'!$A$3,"MA_HT","SKX","MA_QH","TMD")</f>
        <v>0</v>
      </c>
      <c r="Y51" s="22">
        <f ca="1">+GETPIVOTDATA("XBG4",'binhgia (2016)'!$A$3,"MA_HT","SKX","MA_QH","SKC")</f>
        <v>0</v>
      </c>
      <c r="Z51" s="22">
        <f ca="1">+GETPIVOTDATA("XBG4",'binhgia (2016)'!$A$3,"MA_HT","SKX","MA_QH","SKS")</f>
        <v>0</v>
      </c>
      <c r="AA51" s="52">
        <f ca="1" t="shared" si="21"/>
        <v>0</v>
      </c>
      <c r="AB51" s="22">
        <f ca="1">+GETPIVOTDATA("XBG4",'binhgia (2016)'!$A$3,"MA_HT","SKX","MA_QH","DGT")</f>
        <v>0</v>
      </c>
      <c r="AC51" s="22">
        <f ca="1">+GETPIVOTDATA("XBG4",'binhgia (2016)'!$A$3,"MA_HT","SKX","MA_QH","DTL")</f>
        <v>0</v>
      </c>
      <c r="AD51" s="22">
        <f ca="1">+GETPIVOTDATA("XBG4",'binhgia (2016)'!$A$3,"MA_HT","SKX","MA_QH","DNL")</f>
        <v>0</v>
      </c>
      <c r="AE51" s="22">
        <f ca="1">+GETPIVOTDATA("XBG4",'binhgia (2016)'!$A$3,"MA_HT","SKX","MA_QH","DBV")</f>
        <v>0</v>
      </c>
      <c r="AF51" s="22">
        <f ca="1">+GETPIVOTDATA("XBG4",'binhgia (2016)'!$A$3,"MA_HT","SKX","MA_QH","DVH")</f>
        <v>0</v>
      </c>
      <c r="AG51" s="22">
        <f ca="1">+GETPIVOTDATA("XBG4",'binhgia (2016)'!$A$3,"MA_HT","SKX","MA_QH","DYT")</f>
        <v>0</v>
      </c>
      <c r="AH51" s="22">
        <f ca="1">+GETPIVOTDATA("XBG4",'binhgia (2016)'!$A$3,"MA_HT","SKX","MA_QH","DGD")</f>
        <v>0</v>
      </c>
      <c r="AI51" s="22">
        <f ca="1">+GETPIVOTDATA("XBG4",'binhgia (2016)'!$A$3,"MA_HT","SKX","MA_QH","DTT")</f>
        <v>0</v>
      </c>
      <c r="AJ51" s="22">
        <f ca="1">+GETPIVOTDATA("XBG4",'binhgia (2016)'!$A$3,"MA_HT","SKX","MA_QH","NCK")</f>
        <v>0</v>
      </c>
      <c r="AK51" s="22">
        <f ca="1">+GETPIVOTDATA("XBG4",'binhgia (2016)'!$A$3,"MA_HT","SKX","MA_QH","DXH")</f>
        <v>0</v>
      </c>
      <c r="AL51" s="22">
        <f ca="1">+GETPIVOTDATA("XBG4",'binhgia (2016)'!$A$3,"MA_HT","SKX","MA_QH","DCH")</f>
        <v>0</v>
      </c>
      <c r="AM51" s="22">
        <f ca="1">+GETPIVOTDATA("XBG4",'binhgia (2016)'!$A$3,"MA_HT","SKX","MA_QH","DKG")</f>
        <v>0</v>
      </c>
      <c r="AN51" s="22">
        <f ca="1">+GETPIVOTDATA("XBG4",'binhgia (2016)'!$A$3,"MA_HT","SKX","MA_QH","DDT")</f>
        <v>0</v>
      </c>
      <c r="AO51" s="22">
        <f ca="1">+GETPIVOTDATA("XBG4",'binhgia (2016)'!$A$3,"MA_HT","SKX","MA_QH","DDL")</f>
        <v>0</v>
      </c>
      <c r="AP51" s="22">
        <f ca="1">+GETPIVOTDATA("XBG4",'binhgia (2016)'!$A$3,"MA_HT","SKX","MA_QH","DRA")</f>
        <v>0</v>
      </c>
      <c r="AQ51" s="22">
        <f ca="1">+GETPIVOTDATA("XBG4",'binhgia (2016)'!$A$3,"MA_HT","SKX","MA_QH","ONT")</f>
        <v>0</v>
      </c>
      <c r="AR51" s="22">
        <f ca="1">+GETPIVOTDATA("XBG4",'binhgia (2016)'!$A$3,"MA_HT","SKX","MA_QH","ODT")</f>
        <v>0</v>
      </c>
      <c r="AS51" s="22">
        <f ca="1">+GETPIVOTDATA("XBG4",'binhgia (2016)'!$A$3,"MA_HT","SKX","MA_QH","TSC")</f>
        <v>0</v>
      </c>
      <c r="AT51" s="22">
        <f ca="1">+GETPIVOTDATA("XBG4",'binhgia (2016)'!$A$3,"MA_HT","SKX","MA_QH","DTS")</f>
        <v>0</v>
      </c>
      <c r="AU51" s="22">
        <f ca="1">+GETPIVOTDATA("XBG4",'binhgia (2016)'!$A$3,"MA_HT","SKX","MA_QH","DNG")</f>
        <v>0</v>
      </c>
      <c r="AV51" s="22">
        <f ca="1">+GETPIVOTDATA("XBG4",'binhgia (2016)'!$A$3,"MA_HT","SKX","MA_QH","TON")</f>
        <v>0</v>
      </c>
      <c r="AW51" s="22">
        <f ca="1">+GETPIVOTDATA("XBG4",'binhgia (2016)'!$A$3,"MA_HT","SKX","MA_QH","NTD")</f>
        <v>0</v>
      </c>
      <c r="AX51" s="43" t="e">
        <f ca="1">$D51-$BF51</f>
        <v>#REF!</v>
      </c>
      <c r="AY51" s="22">
        <f ca="1">+GETPIVOTDATA("XBG4",'binhgia (2016)'!$A$3,"MA_HT","SKX","MA_QH","DSH")</f>
        <v>0</v>
      </c>
      <c r="AZ51" s="22">
        <f ca="1">+GETPIVOTDATA("XBG4",'binhgia (2016)'!$A$3,"MA_HT","SKX","MA_QH","DKV")</f>
        <v>0</v>
      </c>
      <c r="BA51" s="89">
        <f ca="1">+GETPIVOTDATA("XBG4",'binhgia (2016)'!$A$3,"MA_HT","SKX","MA_QH","TIN")</f>
        <v>0</v>
      </c>
      <c r="BB51" s="50">
        <f ca="1">+GETPIVOTDATA("XBG4",'binhgia (2016)'!$A$3,"MA_HT","SKX","MA_QH","SON")</f>
        <v>0</v>
      </c>
      <c r="BC51" s="50">
        <f ca="1">+GETPIVOTDATA("XBG4",'binhgia (2016)'!$A$3,"MA_HT","SKX","MA_QH","MNC")</f>
        <v>0</v>
      </c>
      <c r="BD51" s="22">
        <f ca="1">+GETPIVOTDATA("XBG4",'binhgia (2016)'!$A$3,"MA_HT","SKX","MA_QH","PNK")</f>
        <v>0</v>
      </c>
      <c r="BE51" s="71">
        <f ca="1">+GETPIVOTDATA("XBG4",'binhgia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+GETPIVOTDATA("XBG4",'binhgia (2016)'!$A$3,"MA_HT","DSH","MA_QH","LUC")</f>
        <v>0</v>
      </c>
      <c r="H52" s="22">
        <f ca="1">+GETPIVOTDATA("XBG4",'binhgia (2016)'!$A$3,"MA_HT","DSH","MA_QH","LUK")</f>
        <v>0</v>
      </c>
      <c r="I52" s="22">
        <f ca="1">+GETPIVOTDATA("XBG4",'binhgia (2016)'!$A$3,"MA_HT","DSH","MA_QH","LUN")</f>
        <v>0</v>
      </c>
      <c r="J52" s="22">
        <f ca="1">+GETPIVOTDATA("XBG4",'binhgia (2016)'!$A$3,"MA_HT","DSH","MA_QH","HNK")</f>
        <v>0</v>
      </c>
      <c r="K52" s="22">
        <f ca="1">+GETPIVOTDATA("XBG4",'binhgia (2016)'!$A$3,"MA_HT","DSH","MA_QH","CLN")</f>
        <v>0</v>
      </c>
      <c r="L52" s="22">
        <f ca="1">+GETPIVOTDATA("XBG4",'binhgia (2016)'!$A$3,"MA_HT","DSH","MA_QH","RSX")</f>
        <v>0</v>
      </c>
      <c r="M52" s="22">
        <f ca="1">+GETPIVOTDATA("XBG4",'binhgia (2016)'!$A$3,"MA_HT","DSH","MA_QH","RPH")</f>
        <v>0</v>
      </c>
      <c r="N52" s="22">
        <f ca="1">+GETPIVOTDATA("XBG4",'binhgia (2016)'!$A$3,"MA_HT","DSH","MA_QH","RDD")</f>
        <v>0</v>
      </c>
      <c r="O52" s="22">
        <f ca="1">+GETPIVOTDATA("XBG4",'binhgia (2016)'!$A$3,"MA_HT","DSH","MA_QH","NTS")</f>
        <v>0</v>
      </c>
      <c r="P52" s="22">
        <f ca="1">+GETPIVOTDATA("XBG4",'binhgia (2016)'!$A$3,"MA_HT","DSH","MA_QH","LMU")</f>
        <v>0</v>
      </c>
      <c r="Q52" s="22">
        <f ca="1">+GETPIVOTDATA("XBG4",'binhgia (2016)'!$A$3,"MA_HT","DSH","MA_QH","NKH")</f>
        <v>0</v>
      </c>
      <c r="R52" s="79">
        <f ca="1">SUM(S52:AA52,AN52:AX52,AZ52:BD52)</f>
        <v>0</v>
      </c>
      <c r="S52" s="22">
        <f ca="1">+GETPIVOTDATA("XBG4",'binhgia (2016)'!$A$3,"MA_HT","DSH","MA_QH","CQP")</f>
        <v>0</v>
      </c>
      <c r="T52" s="22">
        <f ca="1">+GETPIVOTDATA("XBG4",'binhgia (2016)'!$A$3,"MA_HT","DSH","MA_QH","CAN")</f>
        <v>0</v>
      </c>
      <c r="U52" s="22">
        <f ca="1">+GETPIVOTDATA("XBG4",'binhgia (2016)'!$A$3,"MA_HT","DSH","MA_QH","SKK")</f>
        <v>0</v>
      </c>
      <c r="V52" s="22">
        <f ca="1">+GETPIVOTDATA("XBG4",'binhgia (2016)'!$A$3,"MA_HT","DSH","MA_QH","SKT")</f>
        <v>0</v>
      </c>
      <c r="W52" s="22">
        <f ca="1">+GETPIVOTDATA("XBG4",'binhgia (2016)'!$A$3,"MA_HT","DSH","MA_QH","SKN")</f>
        <v>0</v>
      </c>
      <c r="X52" s="22">
        <f ca="1">+GETPIVOTDATA("XBG4",'binhgia (2016)'!$A$3,"MA_HT","DSH","MA_QH","TMD")</f>
        <v>0</v>
      </c>
      <c r="Y52" s="22">
        <f ca="1">+GETPIVOTDATA("XBG4",'binhgia (2016)'!$A$3,"MA_HT","DSH","MA_QH","SKC")</f>
        <v>0</v>
      </c>
      <c r="Z52" s="22">
        <f ca="1">+GETPIVOTDATA("XBG4",'binhgia (2016)'!$A$3,"MA_HT","DSH","MA_QH","SKS")</f>
        <v>0</v>
      </c>
      <c r="AA52" s="52">
        <f ca="1" t="shared" si="21"/>
        <v>0</v>
      </c>
      <c r="AB52" s="22">
        <f ca="1">+GETPIVOTDATA("XBG4",'binhgia (2016)'!$A$3,"MA_HT","DSH","MA_QH","DGT")</f>
        <v>0</v>
      </c>
      <c r="AC52" s="22">
        <f ca="1">+GETPIVOTDATA("XBG4",'binhgia (2016)'!$A$3,"MA_HT","DSH","MA_QH","DTL")</f>
        <v>0</v>
      </c>
      <c r="AD52" s="22">
        <f ca="1">+GETPIVOTDATA("XBG4",'binhgia (2016)'!$A$3,"MA_HT","DSH","MA_QH","DNL")</f>
        <v>0</v>
      </c>
      <c r="AE52" s="22">
        <f ca="1">+GETPIVOTDATA("XBG4",'binhgia (2016)'!$A$3,"MA_HT","DSH","MA_QH","DBV")</f>
        <v>0</v>
      </c>
      <c r="AF52" s="22">
        <f ca="1">+GETPIVOTDATA("XBG4",'binhgia (2016)'!$A$3,"MA_HT","DSH","MA_QH","DVH")</f>
        <v>0</v>
      </c>
      <c r="AG52" s="22">
        <f ca="1">+GETPIVOTDATA("XBG4",'binhgia (2016)'!$A$3,"MA_HT","DSH","MA_QH","DYT")</f>
        <v>0</v>
      </c>
      <c r="AH52" s="22">
        <f ca="1">+GETPIVOTDATA("XBG4",'binhgia (2016)'!$A$3,"MA_HT","DSH","MA_QH","DGD")</f>
        <v>0</v>
      </c>
      <c r="AI52" s="22">
        <f ca="1">+GETPIVOTDATA("XBG4",'binhgia (2016)'!$A$3,"MA_HT","DSH","MA_QH","DTT")</f>
        <v>0</v>
      </c>
      <c r="AJ52" s="22">
        <f ca="1">+GETPIVOTDATA("XBG4",'binhgia (2016)'!$A$3,"MA_HT","DSH","MA_QH","NCK")</f>
        <v>0</v>
      </c>
      <c r="AK52" s="22">
        <f ca="1">+GETPIVOTDATA("XBG4",'binhgia (2016)'!$A$3,"MA_HT","DSH","MA_QH","DXH")</f>
        <v>0</v>
      </c>
      <c r="AL52" s="22">
        <f ca="1">+GETPIVOTDATA("XBG4",'binhgia (2016)'!$A$3,"MA_HT","DSH","MA_QH","DCH")</f>
        <v>0</v>
      </c>
      <c r="AM52" s="22">
        <f ca="1">+GETPIVOTDATA("XBG4",'binhgia (2016)'!$A$3,"MA_HT","DSH","MA_QH","DKG")</f>
        <v>0</v>
      </c>
      <c r="AN52" s="22">
        <f ca="1">+GETPIVOTDATA("XBG4",'binhgia (2016)'!$A$3,"MA_HT","DSH","MA_QH","DDT")</f>
        <v>0</v>
      </c>
      <c r="AO52" s="22">
        <f ca="1">+GETPIVOTDATA("XBG4",'binhgia (2016)'!$A$3,"MA_HT","DSH","MA_QH","DDL")</f>
        <v>0</v>
      </c>
      <c r="AP52" s="22">
        <f ca="1">+GETPIVOTDATA("XBG4",'binhgia (2016)'!$A$3,"MA_HT","DSH","MA_QH","DRA")</f>
        <v>0</v>
      </c>
      <c r="AQ52" s="22">
        <f ca="1">+GETPIVOTDATA("XBG4",'binhgia (2016)'!$A$3,"MA_HT","DSH","MA_QH","ONT")</f>
        <v>0</v>
      </c>
      <c r="AR52" s="22">
        <f ca="1">+GETPIVOTDATA("XBG4",'binhgia (2016)'!$A$3,"MA_HT","DSH","MA_QH","ODT")</f>
        <v>0</v>
      </c>
      <c r="AS52" s="22">
        <f ca="1">+GETPIVOTDATA("XBG4",'binhgia (2016)'!$A$3,"MA_HT","DSH","MA_QH","TSC")</f>
        <v>0</v>
      </c>
      <c r="AT52" s="22">
        <f ca="1">+GETPIVOTDATA("XBG4",'binhgia (2016)'!$A$3,"MA_HT","DSH","MA_QH","DTS")</f>
        <v>0</v>
      </c>
      <c r="AU52" s="22">
        <f ca="1">+GETPIVOTDATA("XBG4",'binhgia (2016)'!$A$3,"MA_HT","DSH","MA_QH","DNG")</f>
        <v>0</v>
      </c>
      <c r="AV52" s="22">
        <f ca="1">+GETPIVOTDATA("XBG4",'binhgia (2016)'!$A$3,"MA_HT","DSH","MA_QH","TON")</f>
        <v>0</v>
      </c>
      <c r="AW52" s="22">
        <f ca="1">+GETPIVOTDATA("XBG4",'binhgia (2016)'!$A$3,"MA_HT","DSH","MA_QH","NTD")</f>
        <v>0</v>
      </c>
      <c r="AX52" s="22">
        <f ca="1">+GETPIVOTDATA("XBG4",'binhgia (2016)'!$A$3,"MA_HT","DSH","MA_QH","SKX")</f>
        <v>0</v>
      </c>
      <c r="AY52" s="43" t="e">
        <f ca="1">$D52-$BF52</f>
        <v>#REF!</v>
      </c>
      <c r="AZ52" s="22">
        <f ca="1">+GETPIVOTDATA("XBG4",'binhgia (2016)'!$A$3,"MA_HT","DSH","MA_QH","DKV")</f>
        <v>0</v>
      </c>
      <c r="BA52" s="89">
        <f ca="1">+GETPIVOTDATA("XBG4",'binhgia (2016)'!$A$3,"MA_HT","DSH","MA_QH","TIN")</f>
        <v>0</v>
      </c>
      <c r="BB52" s="50">
        <f ca="1">+GETPIVOTDATA("XBG4",'binhgia (2016)'!$A$3,"MA_HT","DSH","MA_QH","SON")</f>
        <v>0</v>
      </c>
      <c r="BC52" s="50">
        <f ca="1">+GETPIVOTDATA("XBG4",'binhgia (2016)'!$A$3,"MA_HT","DSH","MA_QH","MNC")</f>
        <v>0</v>
      </c>
      <c r="BD52" s="22">
        <f ca="1">+GETPIVOTDATA("XBG4",'binhgia (2016)'!$A$3,"MA_HT","DSH","MA_QH","PNK")</f>
        <v>0</v>
      </c>
      <c r="BE52" s="71">
        <f ca="1">+GETPIVOTDATA("XBG4",'binhgia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+GETPIVOTDATA("XBG4",'binhgia (2016)'!$A$3,"MA_HT","DKV","MA_QH","LUC")</f>
        <v>0</v>
      </c>
      <c r="H53" s="22">
        <f ca="1">+GETPIVOTDATA("XBG4",'binhgia (2016)'!$A$3,"MA_HT","DKV","MA_QH","LUK")</f>
        <v>0</v>
      </c>
      <c r="I53" s="22">
        <f ca="1">+GETPIVOTDATA("XBG4",'binhgia (2016)'!$A$3,"MA_HT","DKV","MA_QH","LUN")</f>
        <v>0</v>
      </c>
      <c r="J53" s="22">
        <f ca="1">+GETPIVOTDATA("XBG4",'binhgia (2016)'!$A$3,"MA_HT","DKV","MA_QH","HNK")</f>
        <v>0</v>
      </c>
      <c r="K53" s="22">
        <f ca="1">+GETPIVOTDATA("XBG4",'binhgia (2016)'!$A$3,"MA_HT","DKV","MA_QH","CLN")</f>
        <v>0</v>
      </c>
      <c r="L53" s="22">
        <f ca="1">+GETPIVOTDATA("XBG4",'binhgia (2016)'!$A$3,"MA_HT","DKV","MA_QH","RSX")</f>
        <v>0</v>
      </c>
      <c r="M53" s="22">
        <f ca="1">+GETPIVOTDATA("XBG4",'binhgia (2016)'!$A$3,"MA_HT","DKV","MA_QH","RPH")</f>
        <v>0</v>
      </c>
      <c r="N53" s="22">
        <f ca="1">+GETPIVOTDATA("XBG4",'binhgia (2016)'!$A$3,"MA_HT","DKV","MA_QH","RDD")</f>
        <v>0</v>
      </c>
      <c r="O53" s="22">
        <f ca="1">+GETPIVOTDATA("XBG4",'binhgia (2016)'!$A$3,"MA_HT","DKV","MA_QH","NTS")</f>
        <v>0</v>
      </c>
      <c r="P53" s="22">
        <f ca="1">+GETPIVOTDATA("XBG4",'binhgia (2016)'!$A$3,"MA_HT","DKV","MA_QH","LMU")</f>
        <v>0</v>
      </c>
      <c r="Q53" s="22">
        <f ca="1">+GETPIVOTDATA("XBG4",'binhgia (2016)'!$A$3,"MA_HT","DKV","MA_QH","NKH")</f>
        <v>0</v>
      </c>
      <c r="R53" s="79">
        <f ca="1">SUM(S53:AA53,AN53:AY53,BB53:BD53)</f>
        <v>0</v>
      </c>
      <c r="S53" s="22">
        <f ca="1">+GETPIVOTDATA("XBG4",'binhgia (2016)'!$A$3,"MA_HT","DKV","MA_QH","CQP")</f>
        <v>0</v>
      </c>
      <c r="T53" s="22">
        <f ca="1">+GETPIVOTDATA("XBG4",'binhgia (2016)'!$A$3,"MA_HT","DKV","MA_QH","CAN")</f>
        <v>0</v>
      </c>
      <c r="U53" s="22">
        <f ca="1">+GETPIVOTDATA("XBG4",'binhgia (2016)'!$A$3,"MA_HT","DKV","MA_QH","SKK")</f>
        <v>0</v>
      </c>
      <c r="V53" s="22">
        <f ca="1">+GETPIVOTDATA("XBG4",'binhgia (2016)'!$A$3,"MA_HT","DKV","MA_QH","SKT")</f>
        <v>0</v>
      </c>
      <c r="W53" s="22">
        <f ca="1">+GETPIVOTDATA("XBG4",'binhgia (2016)'!$A$3,"MA_HT","DKV","MA_QH","SKN")</f>
        <v>0</v>
      </c>
      <c r="X53" s="22">
        <f ca="1">+GETPIVOTDATA("XBG4",'binhgia (2016)'!$A$3,"MA_HT","DKV","MA_QH","TMD")</f>
        <v>0</v>
      </c>
      <c r="Y53" s="22">
        <f ca="1">+GETPIVOTDATA("XBG4",'binhgia (2016)'!$A$3,"MA_HT","DKV","MA_QH","SKC")</f>
        <v>0</v>
      </c>
      <c r="Z53" s="22">
        <f ca="1">+GETPIVOTDATA("XBG4",'binhgia (2016)'!$A$3,"MA_HT","DKV","MA_QH","SKS")</f>
        <v>0</v>
      </c>
      <c r="AA53" s="52">
        <f ca="1" t="shared" si="21"/>
        <v>0</v>
      </c>
      <c r="AB53" s="22">
        <f ca="1">+GETPIVOTDATA("XBG4",'binhgia (2016)'!$A$3,"MA_HT","DKV","MA_QH","DGT")</f>
        <v>0</v>
      </c>
      <c r="AC53" s="22">
        <f ca="1">+GETPIVOTDATA("XBG4",'binhgia (2016)'!$A$3,"MA_HT","DKV","MA_QH","DTL")</f>
        <v>0</v>
      </c>
      <c r="AD53" s="22">
        <f ca="1">+GETPIVOTDATA("XBG4",'binhgia (2016)'!$A$3,"MA_HT","DKV","MA_QH","DNL")</f>
        <v>0</v>
      </c>
      <c r="AE53" s="22">
        <f ca="1">+GETPIVOTDATA("XBG4",'binhgia (2016)'!$A$3,"MA_HT","DKV","MA_QH","DBV")</f>
        <v>0</v>
      </c>
      <c r="AF53" s="22">
        <f ca="1">+GETPIVOTDATA("XBG4",'binhgia (2016)'!$A$3,"MA_HT","DKV","MA_QH","DVH")</f>
        <v>0</v>
      </c>
      <c r="AG53" s="22">
        <f ca="1">+GETPIVOTDATA("XBG4",'binhgia (2016)'!$A$3,"MA_HT","DKV","MA_QH","DYT")</f>
        <v>0</v>
      </c>
      <c r="AH53" s="22">
        <f ca="1">+GETPIVOTDATA("XBG4",'binhgia (2016)'!$A$3,"MA_HT","DKV","MA_QH","DGD")</f>
        <v>0</v>
      </c>
      <c r="AI53" s="22">
        <f ca="1">+GETPIVOTDATA("XBG4",'binhgia (2016)'!$A$3,"MA_HT","DKV","MA_QH","DTT")</f>
        <v>0</v>
      </c>
      <c r="AJ53" s="22">
        <f ca="1">+GETPIVOTDATA("XBG4",'binhgia (2016)'!$A$3,"MA_HT","DKV","MA_QH","NCK")</f>
        <v>0</v>
      </c>
      <c r="AK53" s="22">
        <f ca="1">+GETPIVOTDATA("XBG4",'binhgia (2016)'!$A$3,"MA_HT","DKV","MA_QH","DXH")</f>
        <v>0</v>
      </c>
      <c r="AL53" s="22">
        <f ca="1">+GETPIVOTDATA("XBG4",'binhgia (2016)'!$A$3,"MA_HT","DKV","MA_QH","DCH")</f>
        <v>0</v>
      </c>
      <c r="AM53" s="22">
        <f ca="1">+GETPIVOTDATA("XBG4",'binhgia (2016)'!$A$3,"MA_HT","DKV","MA_QH","DKG")</f>
        <v>0</v>
      </c>
      <c r="AN53" s="22">
        <f ca="1">+GETPIVOTDATA("XBG4",'binhgia (2016)'!$A$3,"MA_HT","DKV","MA_QH","DDT")</f>
        <v>0</v>
      </c>
      <c r="AO53" s="22">
        <f ca="1">+GETPIVOTDATA("XBG4",'binhgia (2016)'!$A$3,"MA_HT","DKV","MA_QH","DDL")</f>
        <v>0</v>
      </c>
      <c r="AP53" s="22">
        <f ca="1">+GETPIVOTDATA("XBG4",'binhgia (2016)'!$A$3,"MA_HT","DKV","MA_QH","DRA")</f>
        <v>0</v>
      </c>
      <c r="AQ53" s="22">
        <f ca="1">+GETPIVOTDATA("XBG4",'binhgia (2016)'!$A$3,"MA_HT","DKV","MA_QH","ONT")</f>
        <v>0</v>
      </c>
      <c r="AR53" s="22">
        <f ca="1">+GETPIVOTDATA("XBG4",'binhgia (2016)'!$A$3,"MA_HT","DKV","MA_QH","ODT")</f>
        <v>0</v>
      </c>
      <c r="AS53" s="22">
        <f ca="1">+GETPIVOTDATA("XBG4",'binhgia (2016)'!$A$3,"MA_HT","DKV","MA_QH","TSC")</f>
        <v>0</v>
      </c>
      <c r="AT53" s="22">
        <f ca="1">+GETPIVOTDATA("XBG4",'binhgia (2016)'!$A$3,"MA_HT","DKV","MA_QH","DTS")</f>
        <v>0</v>
      </c>
      <c r="AU53" s="22">
        <f ca="1">+GETPIVOTDATA("XBG4",'binhgia (2016)'!$A$3,"MA_HT","DKV","MA_QH","DNG")</f>
        <v>0</v>
      </c>
      <c r="AV53" s="22">
        <f ca="1">+GETPIVOTDATA("XBG4",'binhgia (2016)'!$A$3,"MA_HT","DKV","MA_QH","TON")</f>
        <v>0</v>
      </c>
      <c r="AW53" s="22">
        <f ca="1">+GETPIVOTDATA("XBG4",'binhgia (2016)'!$A$3,"MA_HT","DKV","MA_QH","NTD")</f>
        <v>0</v>
      </c>
      <c r="AX53" s="22">
        <f ca="1">+GETPIVOTDATA("XBG4",'binhgia (2016)'!$A$3,"MA_HT","DKV","MA_QH","SKX")</f>
        <v>0</v>
      </c>
      <c r="AY53" s="22">
        <f ca="1">+GETPIVOTDATA("XBG4",'binhgia (2016)'!$A$3,"MA_HT","DKV","MA_QH","DSH")</f>
        <v>0</v>
      </c>
      <c r="AZ53" s="43" t="e">
        <f ca="1">$D53-$BF53</f>
        <v>#REF!</v>
      </c>
      <c r="BA53" s="89">
        <f ca="1">+GETPIVOTDATA("XBG4",'binhgia (2016)'!$A$3,"MA_HT","DKV","MA_QH","TIN")</f>
        <v>0</v>
      </c>
      <c r="BB53" s="50">
        <f ca="1">+GETPIVOTDATA("XBG4",'binhgia (2016)'!$A$3,"MA_HT","DKV","MA_QH","SON")</f>
        <v>0</v>
      </c>
      <c r="BC53" s="50">
        <f ca="1">+GETPIVOTDATA("XBG4",'binhgia (2016)'!$A$3,"MA_HT","DKV","MA_QH","MNC")</f>
        <v>0</v>
      </c>
      <c r="BD53" s="22">
        <f ca="1">+GETPIVOTDATA("XBG4",'binhgia (2016)'!$A$3,"MA_HT","DKV","MA_QH","PNK")</f>
        <v>0</v>
      </c>
      <c r="BE53" s="71">
        <f ca="1">+GETPIVOTDATA("XBG4",'binhgia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+GETPIVOTDATA("XBG4",'binhgia (2016)'!$A$3,"MA_HT","TIN","MA_QH","LUC")</f>
        <v>0</v>
      </c>
      <c r="H54" s="22">
        <f ca="1">+GETPIVOTDATA("XBG4",'binhgia (2016)'!$A$3,"MA_HT","TIN","MA_QH","LUK")</f>
        <v>0</v>
      </c>
      <c r="I54" s="22">
        <f ca="1">+GETPIVOTDATA("XBG4",'binhgia (2016)'!$A$3,"MA_HT","TIN","MA_QH","LUN")</f>
        <v>0</v>
      </c>
      <c r="J54" s="22">
        <f ca="1">+GETPIVOTDATA("XBG4",'binhgia (2016)'!$A$3,"MA_HT","TIN","MA_QH","HNK")</f>
        <v>0</v>
      </c>
      <c r="K54" s="22">
        <f ca="1">+GETPIVOTDATA("XBG4",'binhgia (2016)'!$A$3,"MA_HT","TIN","MA_QH","CLN")</f>
        <v>0</v>
      </c>
      <c r="L54" s="22">
        <f ca="1">+GETPIVOTDATA("XBG4",'binhgia (2016)'!$A$3,"MA_HT","TIN","MA_QH","RSX")</f>
        <v>0</v>
      </c>
      <c r="M54" s="22">
        <f ca="1">+GETPIVOTDATA("XBG4",'binhgia (2016)'!$A$3,"MA_HT","TIN","MA_QH","RPH")</f>
        <v>0</v>
      </c>
      <c r="N54" s="22">
        <f ca="1">+GETPIVOTDATA("XBG4",'binhgia (2016)'!$A$3,"MA_HT","TIN","MA_QH","RDD")</f>
        <v>0</v>
      </c>
      <c r="O54" s="22">
        <f ca="1">+GETPIVOTDATA("XBG4",'binhgia (2016)'!$A$3,"MA_HT","TIN","MA_QH","NTS")</f>
        <v>0</v>
      </c>
      <c r="P54" s="22">
        <f ca="1">+GETPIVOTDATA("XBG4",'binhgia (2016)'!$A$3,"MA_HT","TIN","MA_QH","LMU")</f>
        <v>0</v>
      </c>
      <c r="Q54" s="22">
        <f ca="1">+GETPIVOTDATA("XBG4",'binhgia (2016)'!$A$3,"MA_HT","TIN","MA_QH","NKH")</f>
        <v>0</v>
      </c>
      <c r="R54" s="79">
        <f ca="1">SUM(S54:AA54,AN54:AZ54,BB54:BD54)</f>
        <v>0</v>
      </c>
      <c r="S54" s="22">
        <f ca="1">+GETPIVOTDATA("XBG4",'binhgia (2016)'!$A$3,"MA_HT","TIN","MA_QH","CQP")</f>
        <v>0</v>
      </c>
      <c r="T54" s="22">
        <f ca="1">+GETPIVOTDATA("XBG4",'binhgia (2016)'!$A$3,"MA_HT","TIN","MA_QH","CAN")</f>
        <v>0</v>
      </c>
      <c r="U54" s="22">
        <f ca="1">+GETPIVOTDATA("XBG4",'binhgia (2016)'!$A$3,"MA_HT","TIN","MA_QH","SKK")</f>
        <v>0</v>
      </c>
      <c r="V54" s="22">
        <f ca="1">+GETPIVOTDATA("XBG4",'binhgia (2016)'!$A$3,"MA_HT","TIN","MA_QH","SKT")</f>
        <v>0</v>
      </c>
      <c r="W54" s="22">
        <f ca="1">+GETPIVOTDATA("XBG4",'binhgia (2016)'!$A$3,"MA_HT","TIN","MA_QH","SKN")</f>
        <v>0</v>
      </c>
      <c r="X54" s="22">
        <f ca="1">+GETPIVOTDATA("XBG4",'binhgia (2016)'!$A$3,"MA_HT","TIN","MA_QH","TMD")</f>
        <v>0</v>
      </c>
      <c r="Y54" s="22">
        <f ca="1">+GETPIVOTDATA("XBG4",'binhgia (2016)'!$A$3,"MA_HT","TIN","MA_QH","SKC")</f>
        <v>0</v>
      </c>
      <c r="Z54" s="22">
        <f ca="1">+GETPIVOTDATA("XBG4",'binhgia (2016)'!$A$3,"MA_HT","TIN","MA_QH","SKS")</f>
        <v>0</v>
      </c>
      <c r="AA54" s="52">
        <f ca="1" t="shared" si="21"/>
        <v>0</v>
      </c>
      <c r="AB54" s="22">
        <f ca="1">+GETPIVOTDATA("XBG4",'binhgia (2016)'!$A$3,"MA_HT","TIN","MA_QH","DGT")</f>
        <v>0</v>
      </c>
      <c r="AC54" s="22">
        <f ca="1">+GETPIVOTDATA("XBG4",'binhgia (2016)'!$A$3,"MA_HT","TIN","MA_QH","DTL")</f>
        <v>0</v>
      </c>
      <c r="AD54" s="22">
        <f ca="1">+GETPIVOTDATA("XBG4",'binhgia (2016)'!$A$3,"MA_HT","TIN","MA_QH","DNL")</f>
        <v>0</v>
      </c>
      <c r="AE54" s="22">
        <f ca="1">+GETPIVOTDATA("XBG4",'binhgia (2016)'!$A$3,"MA_HT","TIN","MA_QH","DBV")</f>
        <v>0</v>
      </c>
      <c r="AF54" s="22">
        <f ca="1">+GETPIVOTDATA("XBG4",'binhgia (2016)'!$A$3,"MA_HT","TIN","MA_QH","DVH")</f>
        <v>0</v>
      </c>
      <c r="AG54" s="22">
        <f ca="1">+GETPIVOTDATA("XBG4",'binhgia (2016)'!$A$3,"MA_HT","TIN","MA_QH","DYT")</f>
        <v>0</v>
      </c>
      <c r="AH54" s="22">
        <f ca="1">+GETPIVOTDATA("XBG4",'binhgia (2016)'!$A$3,"MA_HT","TIN","MA_QH","DGD")</f>
        <v>0</v>
      </c>
      <c r="AI54" s="22">
        <f ca="1">+GETPIVOTDATA("XBG4",'binhgia (2016)'!$A$3,"MA_HT","TIN","MA_QH","DTT")</f>
        <v>0</v>
      </c>
      <c r="AJ54" s="22">
        <f ca="1">+GETPIVOTDATA("XBG4",'binhgia (2016)'!$A$3,"MA_HT","TIN","MA_QH","NCK")</f>
        <v>0</v>
      </c>
      <c r="AK54" s="22">
        <f ca="1">+GETPIVOTDATA("XBG4",'binhgia (2016)'!$A$3,"MA_HT","TIN","MA_QH","DXH")</f>
        <v>0</v>
      </c>
      <c r="AL54" s="22">
        <f ca="1">+GETPIVOTDATA("XBG4",'binhgia (2016)'!$A$3,"MA_HT","TIN","MA_QH","DCH")</f>
        <v>0</v>
      </c>
      <c r="AM54" s="22">
        <f ca="1">+GETPIVOTDATA("XBG4",'binhgia (2016)'!$A$3,"MA_HT","TIN","MA_QH","DKG")</f>
        <v>0</v>
      </c>
      <c r="AN54" s="22">
        <f ca="1">+GETPIVOTDATA("XBG4",'binhgia (2016)'!$A$3,"MA_HT","TIN","MA_QH","DDT")</f>
        <v>0</v>
      </c>
      <c r="AO54" s="22">
        <f ca="1">+GETPIVOTDATA("XBG4",'binhgia (2016)'!$A$3,"MA_HT","TIN","MA_QH","DDL")</f>
        <v>0</v>
      </c>
      <c r="AP54" s="22">
        <f ca="1">+GETPIVOTDATA("XBG4",'binhgia (2016)'!$A$3,"MA_HT","TIN","MA_QH","DRA")</f>
        <v>0</v>
      </c>
      <c r="AQ54" s="22">
        <f ca="1">+GETPIVOTDATA("XBG4",'binhgia (2016)'!$A$3,"MA_HT","TIN","MA_QH","ONT")</f>
        <v>0</v>
      </c>
      <c r="AR54" s="22">
        <f ca="1">+GETPIVOTDATA("XBG4",'binhgia (2016)'!$A$3,"MA_HT","TIN","MA_QH","ODT")</f>
        <v>0</v>
      </c>
      <c r="AS54" s="22">
        <f ca="1">+GETPIVOTDATA("XBG4",'binhgia (2016)'!$A$3,"MA_HT","TIN","MA_QH","TSC")</f>
        <v>0</v>
      </c>
      <c r="AT54" s="22">
        <f ca="1">+GETPIVOTDATA("XBG4",'binhgia (2016)'!$A$3,"MA_HT","TIN","MA_QH","DTS")</f>
        <v>0</v>
      </c>
      <c r="AU54" s="22">
        <f ca="1">+GETPIVOTDATA("XBG4",'binhgia (2016)'!$A$3,"MA_HT","TIN","MA_QH","DNG")</f>
        <v>0</v>
      </c>
      <c r="AV54" s="22">
        <f ca="1">+GETPIVOTDATA("XBG4",'binhgia (2016)'!$A$3,"MA_HT","TIN","MA_QH","TON")</f>
        <v>0</v>
      </c>
      <c r="AW54" s="22">
        <f ca="1">+GETPIVOTDATA("XBG4",'binhgia (2016)'!$A$3,"MA_HT","TIN","MA_QH","NTD")</f>
        <v>0</v>
      </c>
      <c r="AX54" s="22">
        <f ca="1">+GETPIVOTDATA("XBG4",'binhgia (2016)'!$A$3,"MA_HT","TIN","MA_QH","SKX")</f>
        <v>0</v>
      </c>
      <c r="AY54" s="22">
        <f ca="1">+GETPIVOTDATA("XBG4",'binhgia (2016)'!$A$3,"MA_HT","TIN","MA_QH","DSH")</f>
        <v>0</v>
      </c>
      <c r="AZ54" s="22">
        <f ca="1">+GETPIVOTDATA("XBG4",'binhgia (2016)'!$A$3,"MA_HT","TIN","MA_QH","DKV")</f>
        <v>0</v>
      </c>
      <c r="BA54" s="43" t="e">
        <f ca="1">$D54-$BF54</f>
        <v>#REF!</v>
      </c>
      <c r="BB54" s="22">
        <f ca="1">+GETPIVOTDATA("XBG4",'binhgia (2016)'!$A$3,"MA_HT","TIN","MA_QH","SON")</f>
        <v>0</v>
      </c>
      <c r="BC54" s="22">
        <f ca="1">+GETPIVOTDATA("XBG4",'binhgia (2016)'!$A$3,"MA_HT","TIN","MA_QH","MNC")</f>
        <v>0</v>
      </c>
      <c r="BD54" s="22">
        <f ca="1">+GETPIVOTDATA("XBG4",'binhgia (2016)'!$A$3,"MA_HT","TIN","MA_QH","PNK")</f>
        <v>0</v>
      </c>
      <c r="BE54" s="71">
        <f ca="1">+GETPIVOTDATA("XBG4",'binhgia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+GETPIVOTDATA("XBG4",'binhgia (2016)'!$A$3,"MA_HT","SON","MA_QH","LUC")</f>
        <v>0</v>
      </c>
      <c r="H55" s="22">
        <f ca="1">+GETPIVOTDATA("XBG4",'binhgia (2016)'!$A$3,"MA_HT","SON","MA_QH","LUK")</f>
        <v>0</v>
      </c>
      <c r="I55" s="22">
        <f ca="1">+GETPIVOTDATA("XBG4",'binhgia (2016)'!$A$3,"MA_HT","SON","MA_QH","LUN")</f>
        <v>0</v>
      </c>
      <c r="J55" s="22">
        <f ca="1">+GETPIVOTDATA("XBG4",'binhgia (2016)'!$A$3,"MA_HT","SON","MA_QH","HNK")</f>
        <v>0</v>
      </c>
      <c r="K55" s="22">
        <f ca="1">+GETPIVOTDATA("XBG4",'binhgia (2016)'!$A$3,"MA_HT","SON","MA_QH","CLN")</f>
        <v>0</v>
      </c>
      <c r="L55" s="22">
        <f ca="1">+GETPIVOTDATA("XBG4",'binhgia (2016)'!$A$3,"MA_HT","SON","MA_QH","RSX")</f>
        <v>0</v>
      </c>
      <c r="M55" s="22">
        <f ca="1">+GETPIVOTDATA("XBG4",'binhgia (2016)'!$A$3,"MA_HT","SON","MA_QH","RPH")</f>
        <v>0</v>
      </c>
      <c r="N55" s="22">
        <f ca="1">+GETPIVOTDATA("XBG4",'binhgia (2016)'!$A$3,"MA_HT","SON","MA_QH","RDD")</f>
        <v>0</v>
      </c>
      <c r="O55" s="22">
        <f ca="1">+GETPIVOTDATA("XBG4",'binhgia (2016)'!$A$3,"MA_HT","SON","MA_QH","NTS")</f>
        <v>0</v>
      </c>
      <c r="P55" s="22">
        <f ca="1">+GETPIVOTDATA("XBG4",'binhgia (2016)'!$A$3,"MA_HT","SON","MA_QH","LMU")</f>
        <v>0</v>
      </c>
      <c r="Q55" s="22">
        <f ca="1">+GETPIVOTDATA("XBG4",'binhgia (2016)'!$A$3,"MA_HT","SON","MA_QH","NKH")</f>
        <v>0</v>
      </c>
      <c r="R55" s="79">
        <f ca="1">SUM(S55:AA55,AN55:AZ55,BC55:BD55)</f>
        <v>0</v>
      </c>
      <c r="S55" s="22">
        <f ca="1">+GETPIVOTDATA("XBG4",'binhgia (2016)'!$A$3,"MA_HT","SON","MA_QH","CQP")</f>
        <v>0</v>
      </c>
      <c r="T55" s="22">
        <f ca="1">+GETPIVOTDATA("XBG4",'binhgia (2016)'!$A$3,"MA_HT","SON","MA_QH","CAN")</f>
        <v>0</v>
      </c>
      <c r="U55" s="22">
        <f ca="1">+GETPIVOTDATA("XBG4",'binhgia (2016)'!$A$3,"MA_HT","SON","MA_QH","SKK")</f>
        <v>0</v>
      </c>
      <c r="V55" s="22">
        <f ca="1">+GETPIVOTDATA("XBG4",'binhgia (2016)'!$A$3,"MA_HT","SON","MA_QH","SKT")</f>
        <v>0</v>
      </c>
      <c r="W55" s="22">
        <f ca="1">+GETPIVOTDATA("XBG4",'binhgia (2016)'!$A$3,"MA_HT","SON","MA_QH","SKN")</f>
        <v>0</v>
      </c>
      <c r="X55" s="22">
        <f ca="1">+GETPIVOTDATA("XBG4",'binhgia (2016)'!$A$3,"MA_HT","SON","MA_QH","TMD")</f>
        <v>0</v>
      </c>
      <c r="Y55" s="22">
        <f ca="1">+GETPIVOTDATA("XBG4",'binhgia (2016)'!$A$3,"MA_HT","SON","MA_QH","SKC")</f>
        <v>0</v>
      </c>
      <c r="Z55" s="22">
        <f ca="1">+GETPIVOTDATA("XBG4",'binhgia (2016)'!$A$3,"MA_HT","SON","MA_QH","SKS")</f>
        <v>0</v>
      </c>
      <c r="AA55" s="52">
        <f ca="1" t="shared" si="21"/>
        <v>0</v>
      </c>
      <c r="AB55" s="22">
        <f ca="1">+GETPIVOTDATA("XBG4",'binhgia (2016)'!$A$3,"MA_HT","SON","MA_QH","DGT")</f>
        <v>0</v>
      </c>
      <c r="AC55" s="22">
        <f ca="1">+GETPIVOTDATA("XBG4",'binhgia (2016)'!$A$3,"MA_HT","SON","MA_QH","DTL")</f>
        <v>0</v>
      </c>
      <c r="AD55" s="22">
        <f ca="1">+GETPIVOTDATA("XBG4",'binhgia (2016)'!$A$3,"MA_HT","SON","MA_QH","DNL")</f>
        <v>0</v>
      </c>
      <c r="AE55" s="22">
        <f ca="1">+GETPIVOTDATA("XBG4",'binhgia (2016)'!$A$3,"MA_HT","SON","MA_QH","DBV")</f>
        <v>0</v>
      </c>
      <c r="AF55" s="22">
        <f ca="1">+GETPIVOTDATA("XBG4",'binhgia (2016)'!$A$3,"MA_HT","SON","MA_QH","DVH")</f>
        <v>0</v>
      </c>
      <c r="AG55" s="22">
        <f ca="1">+GETPIVOTDATA("XBG4",'binhgia (2016)'!$A$3,"MA_HT","SON","MA_QH","DYT")</f>
        <v>0</v>
      </c>
      <c r="AH55" s="22">
        <f ca="1">+GETPIVOTDATA("XBG4",'binhgia (2016)'!$A$3,"MA_HT","SON","MA_QH","DGD")</f>
        <v>0</v>
      </c>
      <c r="AI55" s="22">
        <f ca="1">+GETPIVOTDATA("XBG4",'binhgia (2016)'!$A$3,"MA_HT","SON","MA_QH","DTT")</f>
        <v>0</v>
      </c>
      <c r="AJ55" s="22">
        <f ca="1">+GETPIVOTDATA("XBG4",'binhgia (2016)'!$A$3,"MA_HT","SON","MA_QH","NCK")</f>
        <v>0</v>
      </c>
      <c r="AK55" s="22">
        <f ca="1">+GETPIVOTDATA("XBG4",'binhgia (2016)'!$A$3,"MA_HT","SON","MA_QH","DXH")</f>
        <v>0</v>
      </c>
      <c r="AL55" s="22">
        <f ca="1">+GETPIVOTDATA("XBG4",'binhgia (2016)'!$A$3,"MA_HT","SON","MA_QH","DCH")</f>
        <v>0</v>
      </c>
      <c r="AM55" s="22">
        <f ca="1">+GETPIVOTDATA("XBG4",'binhgia (2016)'!$A$3,"MA_HT","SON","MA_QH","DKG")</f>
        <v>0</v>
      </c>
      <c r="AN55" s="22">
        <f ca="1">+GETPIVOTDATA("XBG4",'binhgia (2016)'!$A$3,"MA_HT","SON","MA_QH","DDT")</f>
        <v>0</v>
      </c>
      <c r="AO55" s="22">
        <f ca="1">+GETPIVOTDATA("XBG4",'binhgia (2016)'!$A$3,"MA_HT","SON","MA_QH","DDL")</f>
        <v>0</v>
      </c>
      <c r="AP55" s="22">
        <f ca="1">+GETPIVOTDATA("XBG4",'binhgia (2016)'!$A$3,"MA_HT","SON","MA_QH","DRA")</f>
        <v>0</v>
      </c>
      <c r="AQ55" s="22">
        <f ca="1">+GETPIVOTDATA("XBG4",'binhgia (2016)'!$A$3,"MA_HT","SON","MA_QH","ONT")</f>
        <v>0</v>
      </c>
      <c r="AR55" s="22">
        <f ca="1">+GETPIVOTDATA("XBG4",'binhgia (2016)'!$A$3,"MA_HT","SON","MA_QH","ODT")</f>
        <v>0</v>
      </c>
      <c r="AS55" s="22">
        <f ca="1">+GETPIVOTDATA("XBG4",'binhgia (2016)'!$A$3,"MA_HT","SON","MA_QH","TSC")</f>
        <v>0</v>
      </c>
      <c r="AT55" s="22">
        <f ca="1">+GETPIVOTDATA("XBG4",'binhgia (2016)'!$A$3,"MA_HT","SON","MA_QH","DTS")</f>
        <v>0</v>
      </c>
      <c r="AU55" s="22">
        <f ca="1">+GETPIVOTDATA("XBG4",'binhgia (2016)'!$A$3,"MA_HT","SON","MA_QH","DNG")</f>
        <v>0</v>
      </c>
      <c r="AV55" s="22">
        <f ca="1">+GETPIVOTDATA("XBG4",'binhgia (2016)'!$A$3,"MA_HT","SON","MA_QH","TON")</f>
        <v>0</v>
      </c>
      <c r="AW55" s="22">
        <f ca="1">+GETPIVOTDATA("XBG4",'binhgia (2016)'!$A$3,"MA_HT","SON","MA_QH","NTD")</f>
        <v>0</v>
      </c>
      <c r="AX55" s="22">
        <f ca="1">+GETPIVOTDATA("XBG4",'binhgia (2016)'!$A$3,"MA_HT","SON","MA_QH","SKX")</f>
        <v>0</v>
      </c>
      <c r="AY55" s="22">
        <f ca="1">+GETPIVOTDATA("XBG4",'binhgia (2016)'!$A$3,"MA_HT","SON","MA_QH","DSH")</f>
        <v>0</v>
      </c>
      <c r="AZ55" s="22">
        <f ca="1">+GETPIVOTDATA("XBG4",'binhgia (2016)'!$A$3,"MA_HT","SON","MA_QH","DKV")</f>
        <v>0</v>
      </c>
      <c r="BA55" s="89">
        <f ca="1">+GETPIVOTDATA("XBG4",'binhgia (2016)'!$A$3,"MA_HT","SON","MA_QH","TIN")</f>
        <v>0</v>
      </c>
      <c r="BB55" s="43" t="e">
        <f ca="1">$D55-$BF55</f>
        <v>#REF!</v>
      </c>
      <c r="BC55" s="50">
        <f ca="1">+GETPIVOTDATA("XBG4",'binhgia (2016)'!$A$3,"MA_HT","SON","MA_QH","MNC")</f>
        <v>0</v>
      </c>
      <c r="BD55" s="22">
        <f ca="1">+GETPIVOTDATA("XBG4",'binhgia (2016)'!$A$3,"MA_HT","SON","MA_QH","PNK")</f>
        <v>0</v>
      </c>
      <c r="BE55" s="71">
        <f ca="1">+GETPIVOTDATA("XBG4",'binhgia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+GETPIVOTDATA("XBG4",'binhgia (2016)'!$A$3,"MA_HT","MNC","MA_QH","LUC")</f>
        <v>0</v>
      </c>
      <c r="H56" s="22">
        <f ca="1">+GETPIVOTDATA("XBG4",'binhgia (2016)'!$A$3,"MA_HT","MNC","MA_QH","LUK")</f>
        <v>0</v>
      </c>
      <c r="I56" s="22">
        <f ca="1">+GETPIVOTDATA("XBG4",'binhgia (2016)'!$A$3,"MA_HT","MNC","MA_QH","LUN")</f>
        <v>0</v>
      </c>
      <c r="J56" s="22">
        <f ca="1">+GETPIVOTDATA("XBG4",'binhgia (2016)'!$A$3,"MA_HT","MNC","MA_QH","HNK")</f>
        <v>0</v>
      </c>
      <c r="K56" s="22">
        <f ca="1">+GETPIVOTDATA("XBG4",'binhgia (2016)'!$A$3,"MA_HT","MNC","MA_QH","CLN")</f>
        <v>0</v>
      </c>
      <c r="L56" s="22">
        <f ca="1">+GETPIVOTDATA("XBG4",'binhgia (2016)'!$A$3,"MA_HT","MNC","MA_QH","RSX")</f>
        <v>0</v>
      </c>
      <c r="M56" s="22">
        <f ca="1">+GETPIVOTDATA("XBG4",'binhgia (2016)'!$A$3,"MA_HT","MNC","MA_QH","RPH")</f>
        <v>0</v>
      </c>
      <c r="N56" s="22">
        <f ca="1">+GETPIVOTDATA("XBG4",'binhgia (2016)'!$A$3,"MA_HT","MNC","MA_QH","RDD")</f>
        <v>0</v>
      </c>
      <c r="O56" s="22">
        <f ca="1">+GETPIVOTDATA("XBG4",'binhgia (2016)'!$A$3,"MA_HT","MNC","MA_QH","NTS")</f>
        <v>0</v>
      </c>
      <c r="P56" s="22">
        <f ca="1">+GETPIVOTDATA("XBG4",'binhgia (2016)'!$A$3,"MA_HT","MNC","MA_QH","LMU")</f>
        <v>0</v>
      </c>
      <c r="Q56" s="22">
        <f ca="1">+GETPIVOTDATA("XBG4",'binhgia (2016)'!$A$3,"MA_HT","MNC","MA_QH","NKH")</f>
        <v>0</v>
      </c>
      <c r="R56" s="79">
        <f ca="1">SUM(S56:AA56,AN56:BB56,BD56)</f>
        <v>0</v>
      </c>
      <c r="S56" s="22">
        <f ca="1">+GETPIVOTDATA("XBG4",'binhgia (2016)'!$A$3,"MA_HT","MNC","MA_QH","CQP")</f>
        <v>0</v>
      </c>
      <c r="T56" s="22">
        <f ca="1">+GETPIVOTDATA("XBG4",'binhgia (2016)'!$A$3,"MA_HT","MNC","MA_QH","CAN")</f>
        <v>0</v>
      </c>
      <c r="U56" s="22">
        <f ca="1">+GETPIVOTDATA("XBG4",'binhgia (2016)'!$A$3,"MA_HT","MNC","MA_QH","SKK")</f>
        <v>0</v>
      </c>
      <c r="V56" s="22">
        <f ca="1">+GETPIVOTDATA("XBG4",'binhgia (2016)'!$A$3,"MA_HT","MNC","MA_QH","SKT")</f>
        <v>0</v>
      </c>
      <c r="W56" s="22">
        <f ca="1">+GETPIVOTDATA("XBG4",'binhgia (2016)'!$A$3,"MA_HT","MNC","MA_QH","SKN")</f>
        <v>0</v>
      </c>
      <c r="X56" s="22">
        <f ca="1">+GETPIVOTDATA("XBG4",'binhgia (2016)'!$A$3,"MA_HT","MNC","MA_QH","TMD")</f>
        <v>0</v>
      </c>
      <c r="Y56" s="22">
        <f ca="1">+GETPIVOTDATA("XBG4",'binhgia (2016)'!$A$3,"MA_HT","MNC","MA_QH","SKC")</f>
        <v>0</v>
      </c>
      <c r="Z56" s="22">
        <f ca="1">+GETPIVOTDATA("XBG4",'binhgia (2016)'!$A$3,"MA_HT","MNC","MA_QH","SKS")</f>
        <v>0</v>
      </c>
      <c r="AA56" s="52">
        <f ca="1" t="shared" si="21"/>
        <v>0</v>
      </c>
      <c r="AB56" s="22">
        <f ca="1">+GETPIVOTDATA("XBG4",'binhgia (2016)'!$A$3,"MA_HT","MNC","MA_QH","DGT")</f>
        <v>0</v>
      </c>
      <c r="AC56" s="22">
        <f ca="1">+GETPIVOTDATA("XBG4",'binhgia (2016)'!$A$3,"MA_HT","MNC","MA_QH","DTL")</f>
        <v>0</v>
      </c>
      <c r="AD56" s="22">
        <f ca="1">+GETPIVOTDATA("XBG4",'binhgia (2016)'!$A$3,"MA_HT","MNC","MA_QH","DNL")</f>
        <v>0</v>
      </c>
      <c r="AE56" s="22">
        <f ca="1">+GETPIVOTDATA("XBG4",'binhgia (2016)'!$A$3,"MA_HT","MNC","MA_QH","DBV")</f>
        <v>0</v>
      </c>
      <c r="AF56" s="22">
        <f ca="1">+GETPIVOTDATA("XBG4",'binhgia (2016)'!$A$3,"MA_HT","MNC","MA_QH","DVH")</f>
        <v>0</v>
      </c>
      <c r="AG56" s="22">
        <f ca="1">+GETPIVOTDATA("XBG4",'binhgia (2016)'!$A$3,"MA_HT","MNC","MA_QH","DYT")</f>
        <v>0</v>
      </c>
      <c r="AH56" s="22">
        <f ca="1">+GETPIVOTDATA("XBG4",'binhgia (2016)'!$A$3,"MA_HT","MNC","MA_QH","DGD")</f>
        <v>0</v>
      </c>
      <c r="AI56" s="22">
        <f ca="1">+GETPIVOTDATA("XBG4",'binhgia (2016)'!$A$3,"MA_HT","MNC","MA_QH","DTT")</f>
        <v>0</v>
      </c>
      <c r="AJ56" s="22">
        <f ca="1">+GETPIVOTDATA("XBG4",'binhgia (2016)'!$A$3,"MA_HT","MNC","MA_QH","NCK")</f>
        <v>0</v>
      </c>
      <c r="AK56" s="22">
        <f ca="1">+GETPIVOTDATA("XBG4",'binhgia (2016)'!$A$3,"MA_HT","MNC","MA_QH","DXH")</f>
        <v>0</v>
      </c>
      <c r="AL56" s="22">
        <f ca="1">+GETPIVOTDATA("XBG4",'binhgia (2016)'!$A$3,"MA_HT","MNC","MA_QH","DCH")</f>
        <v>0</v>
      </c>
      <c r="AM56" s="22">
        <f ca="1">+GETPIVOTDATA("XBG4",'binhgia (2016)'!$A$3,"MA_HT","MNC","MA_QH","DKG")</f>
        <v>0</v>
      </c>
      <c r="AN56" s="22">
        <f ca="1">+GETPIVOTDATA("XBG4",'binhgia (2016)'!$A$3,"MA_HT","MNC","MA_QH","DDT")</f>
        <v>0</v>
      </c>
      <c r="AO56" s="22">
        <f ca="1">+GETPIVOTDATA("XBG4",'binhgia (2016)'!$A$3,"MA_HT","MNC","MA_QH","DDL")</f>
        <v>0</v>
      </c>
      <c r="AP56" s="22">
        <f ca="1">+GETPIVOTDATA("XBG4",'binhgia (2016)'!$A$3,"MA_HT","MNC","MA_QH","DRA")</f>
        <v>0</v>
      </c>
      <c r="AQ56" s="22">
        <f ca="1">+GETPIVOTDATA("XBG4",'binhgia (2016)'!$A$3,"MA_HT","MNC","MA_QH","ONT")</f>
        <v>0</v>
      </c>
      <c r="AR56" s="22">
        <f ca="1">+GETPIVOTDATA("XBG4",'binhgia (2016)'!$A$3,"MA_HT","MNC","MA_QH","ODT")</f>
        <v>0</v>
      </c>
      <c r="AS56" s="22">
        <f ca="1">+GETPIVOTDATA("XBG4",'binhgia (2016)'!$A$3,"MA_HT","MNC","MA_QH","TSC")</f>
        <v>0</v>
      </c>
      <c r="AT56" s="22">
        <f ca="1">+GETPIVOTDATA("XBG4",'binhgia (2016)'!$A$3,"MA_HT","MNC","MA_QH","DTS")</f>
        <v>0</v>
      </c>
      <c r="AU56" s="22">
        <f ca="1">+GETPIVOTDATA("XBG4",'binhgia (2016)'!$A$3,"MA_HT","MNC","MA_QH","DNG")</f>
        <v>0</v>
      </c>
      <c r="AV56" s="22">
        <f ca="1">+GETPIVOTDATA("XBG4",'binhgia (2016)'!$A$3,"MA_HT","MNC","MA_QH","TON")</f>
        <v>0</v>
      </c>
      <c r="AW56" s="22">
        <f ca="1">+GETPIVOTDATA("XBG4",'binhgia (2016)'!$A$3,"MA_HT","MNC","MA_QH","NTD")</f>
        <v>0</v>
      </c>
      <c r="AX56" s="22">
        <f ca="1">+GETPIVOTDATA("XBG4",'binhgia (2016)'!$A$3,"MA_HT","MNC","MA_QH","SKX")</f>
        <v>0</v>
      </c>
      <c r="AY56" s="22">
        <f ca="1">+GETPIVOTDATA("XBG4",'binhgia (2016)'!$A$3,"MA_HT","MNC","MA_QH","DSH")</f>
        <v>0</v>
      </c>
      <c r="AZ56" s="22">
        <f ca="1">+GETPIVOTDATA("XBG4",'binhgia (2016)'!$A$3,"MA_HT","MNC","MA_QH","DKV")</f>
        <v>0</v>
      </c>
      <c r="BA56" s="89">
        <f ca="1">+GETPIVOTDATA("XBG4",'binhgia (2016)'!$A$3,"MA_HT","MNC","MA_QH","TIN")</f>
        <v>0</v>
      </c>
      <c r="BB56" s="50">
        <f ca="1">+GETPIVOTDATA("XBG4",'binhgia (2016)'!$A$3,"MA_HT","MNC","MA_QH","SON")</f>
        <v>0</v>
      </c>
      <c r="BC56" s="43" t="e">
        <f ca="1">$D56-$BF56</f>
        <v>#REF!</v>
      </c>
      <c r="BD56" s="22">
        <f ca="1">+GETPIVOTDATA("XBG4",'binhgia (2016)'!$A$3,"MA_HT","MNC","MA_QH","PNK")</f>
        <v>0</v>
      </c>
      <c r="BE56" s="71">
        <f ca="1">+GETPIVOTDATA("XBG4",'binhgia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+GETPIVOTDATA("XBG4",'binhgia (2016)'!$A$3,"MA_HT","PNK","MA_QH","LUC")</f>
        <v>0</v>
      </c>
      <c r="H57" s="22">
        <f ca="1">+GETPIVOTDATA("XBG4",'binhgia (2016)'!$A$3,"MA_HT","PNK","MA_QH","LUK")</f>
        <v>0</v>
      </c>
      <c r="I57" s="22">
        <f ca="1">+GETPIVOTDATA("XBG4",'binhgia (2016)'!$A$3,"MA_HT","PNK","MA_QH","LUN")</f>
        <v>0</v>
      </c>
      <c r="J57" s="22">
        <f ca="1">+GETPIVOTDATA("XBG4",'binhgia (2016)'!$A$3,"MA_HT","PNK","MA_QH","HNK")</f>
        <v>0</v>
      </c>
      <c r="K57" s="22">
        <f ca="1">+GETPIVOTDATA("XBG4",'binhgia (2016)'!$A$3,"MA_HT","PNK","MA_QH","CLN")</f>
        <v>0</v>
      </c>
      <c r="L57" s="22">
        <f ca="1">+GETPIVOTDATA("XBG4",'binhgia (2016)'!$A$3,"MA_HT","PNK","MA_QH","RSX")</f>
        <v>0</v>
      </c>
      <c r="M57" s="22">
        <f ca="1">+GETPIVOTDATA("XBG4",'binhgia (2016)'!$A$3,"MA_HT","PNK","MA_QH","RPH")</f>
        <v>0</v>
      </c>
      <c r="N57" s="22">
        <f ca="1">+GETPIVOTDATA("XBG4",'binhgia (2016)'!$A$3,"MA_HT","PNK","MA_QH","RDD")</f>
        <v>0</v>
      </c>
      <c r="O57" s="22">
        <f ca="1">+GETPIVOTDATA("XBG4",'binhgia (2016)'!$A$3,"MA_HT","PNK","MA_QH","NTS")</f>
        <v>0</v>
      </c>
      <c r="P57" s="22">
        <f ca="1">+GETPIVOTDATA("XBG4",'binhgia (2016)'!$A$3,"MA_HT","PNK","MA_QH","LMU")</f>
        <v>0</v>
      </c>
      <c r="Q57" s="22">
        <f ca="1">+GETPIVOTDATA("XBG4",'binhgia (2016)'!$A$3,"MA_HT","PNK","MA_QH","NKH")</f>
        <v>0</v>
      </c>
      <c r="R57" s="79">
        <f ca="1">SUM(S57:AA57,AN57:BC57)</f>
        <v>0</v>
      </c>
      <c r="S57" s="22">
        <f ca="1">+GETPIVOTDATA("XBG4",'binhgia (2016)'!$A$3,"MA_HT","PNK","MA_QH","CQP")</f>
        <v>0</v>
      </c>
      <c r="T57" s="22">
        <f ca="1">+GETPIVOTDATA("XBG4",'binhgia (2016)'!$A$3,"MA_HT","PNK","MA_QH","CAN")</f>
        <v>0</v>
      </c>
      <c r="U57" s="22">
        <f ca="1">+GETPIVOTDATA("XBG4",'binhgia (2016)'!$A$3,"MA_HT","PNK","MA_QH","SKK")</f>
        <v>0</v>
      </c>
      <c r="V57" s="22">
        <f ca="1">+GETPIVOTDATA("XBG4",'binhgia (2016)'!$A$3,"MA_HT","PNK","MA_QH","SKT")</f>
        <v>0</v>
      </c>
      <c r="W57" s="22">
        <f ca="1">+GETPIVOTDATA("XBG4",'binhgia (2016)'!$A$3,"MA_HT","PNK","MA_QH","SKN")</f>
        <v>0</v>
      </c>
      <c r="X57" s="22">
        <f ca="1">+GETPIVOTDATA("XBG4",'binhgia (2016)'!$A$3,"MA_HT","PNK","MA_QH","TMD")</f>
        <v>0</v>
      </c>
      <c r="Y57" s="22">
        <f ca="1">+GETPIVOTDATA("XBG4",'binhgia (2016)'!$A$3,"MA_HT","PNK","MA_QH","SKC")</f>
        <v>0</v>
      </c>
      <c r="Z57" s="22">
        <f ca="1">+GETPIVOTDATA("XBG4",'binhgia (2016)'!$A$3,"MA_HT","PNK","MA_QH","SKS")</f>
        <v>0</v>
      </c>
      <c r="AA57" s="52">
        <f ca="1" t="shared" si="21"/>
        <v>0</v>
      </c>
      <c r="AB57" s="22">
        <f ca="1">+GETPIVOTDATA("XBG4",'binhgia (2016)'!$A$3,"MA_HT","PNK","MA_QH","DGT")</f>
        <v>0</v>
      </c>
      <c r="AC57" s="22">
        <f ca="1">+GETPIVOTDATA("XBG4",'binhgia (2016)'!$A$3,"MA_HT","PNK","MA_QH","DTL")</f>
        <v>0</v>
      </c>
      <c r="AD57" s="22">
        <f ca="1">+GETPIVOTDATA("XBG4",'binhgia (2016)'!$A$3,"MA_HT","PNK","MA_QH","DNL")</f>
        <v>0</v>
      </c>
      <c r="AE57" s="22">
        <f ca="1">+GETPIVOTDATA("XBG4",'binhgia (2016)'!$A$3,"MA_HT","PNK","MA_QH","DBV")</f>
        <v>0</v>
      </c>
      <c r="AF57" s="22">
        <f ca="1">+GETPIVOTDATA("XBG4",'binhgia (2016)'!$A$3,"MA_HT","PNK","MA_QH","DVH")</f>
        <v>0</v>
      </c>
      <c r="AG57" s="22">
        <f ca="1">+GETPIVOTDATA("XBG4",'binhgia (2016)'!$A$3,"MA_HT","PNK","MA_QH","DYT")</f>
        <v>0</v>
      </c>
      <c r="AH57" s="22">
        <f ca="1">+GETPIVOTDATA("XBG4",'binhgia (2016)'!$A$3,"MA_HT","PNK","MA_QH","DGD")</f>
        <v>0</v>
      </c>
      <c r="AI57" s="22">
        <f ca="1">+GETPIVOTDATA("XBG4",'binhgia (2016)'!$A$3,"MA_HT","PNK","MA_QH","DTT")</f>
        <v>0</v>
      </c>
      <c r="AJ57" s="22">
        <f ca="1">+GETPIVOTDATA("XBG4",'binhgia (2016)'!$A$3,"MA_HT","PNK","MA_QH","NCK")</f>
        <v>0</v>
      </c>
      <c r="AK57" s="22">
        <f ca="1">+GETPIVOTDATA("XBG4",'binhgia (2016)'!$A$3,"MA_HT","PNK","MA_QH","DXH")</f>
        <v>0</v>
      </c>
      <c r="AL57" s="22">
        <f ca="1">+GETPIVOTDATA("XBG4",'binhgia (2016)'!$A$3,"MA_HT","PNK","MA_QH","DCH")</f>
        <v>0</v>
      </c>
      <c r="AM57" s="22">
        <f ca="1">+GETPIVOTDATA("XBG4",'binhgia (2016)'!$A$3,"MA_HT","PNK","MA_QH","DKG")</f>
        <v>0</v>
      </c>
      <c r="AN57" s="22">
        <f ca="1">+GETPIVOTDATA("XBG4",'binhgia (2016)'!$A$3,"MA_HT","PNK","MA_QH","DDT")</f>
        <v>0</v>
      </c>
      <c r="AO57" s="22">
        <f ca="1">+GETPIVOTDATA("XBG4",'binhgia (2016)'!$A$3,"MA_HT","PNK","MA_QH","DDL")</f>
        <v>0</v>
      </c>
      <c r="AP57" s="22">
        <f ca="1">+GETPIVOTDATA("XBG4",'binhgia (2016)'!$A$3,"MA_HT","PNK","MA_QH","DRA")</f>
        <v>0</v>
      </c>
      <c r="AQ57" s="22">
        <f ca="1">+GETPIVOTDATA("XBG4",'binhgia (2016)'!$A$3,"MA_HT","PNK","MA_QH","ONT")</f>
        <v>0</v>
      </c>
      <c r="AR57" s="22">
        <f ca="1">+GETPIVOTDATA("XBG4",'binhgia (2016)'!$A$3,"MA_HT","PNK","MA_QH","ODT")</f>
        <v>0</v>
      </c>
      <c r="AS57" s="22">
        <f ca="1">+GETPIVOTDATA("XBG4",'binhgia (2016)'!$A$3,"MA_HT","PNK","MA_QH","TSC")</f>
        <v>0</v>
      </c>
      <c r="AT57" s="22">
        <f ca="1">+GETPIVOTDATA("XBG4",'binhgia (2016)'!$A$3,"MA_HT","PNK","MA_QH","DTS")</f>
        <v>0</v>
      </c>
      <c r="AU57" s="22">
        <f ca="1">+GETPIVOTDATA("XBG4",'binhgia (2016)'!$A$3,"MA_HT","PNK","MA_QH","DNG")</f>
        <v>0</v>
      </c>
      <c r="AV57" s="22">
        <f ca="1">+GETPIVOTDATA("XBG4",'binhgia (2016)'!$A$3,"MA_HT","PNK","MA_QH","TON")</f>
        <v>0</v>
      </c>
      <c r="AW57" s="22">
        <f ca="1">+GETPIVOTDATA("XBG4",'binhgia (2016)'!$A$3,"MA_HT","PNK","MA_QH","NTD")</f>
        <v>0</v>
      </c>
      <c r="AX57" s="22">
        <f ca="1">+GETPIVOTDATA("XBG4",'binhgia (2016)'!$A$3,"MA_HT","PNK","MA_QH","SKX")</f>
        <v>0</v>
      </c>
      <c r="AY57" s="22">
        <f ca="1">+GETPIVOTDATA("XBG4",'binhgia (2016)'!$A$3,"MA_HT","PNK","MA_QH","DSH")</f>
        <v>0</v>
      </c>
      <c r="AZ57" s="22">
        <f ca="1">+GETPIVOTDATA("XBG4",'binhgia (2016)'!$A$3,"MA_HT","PNK","MA_QH","DKV")</f>
        <v>0</v>
      </c>
      <c r="BA57" s="89">
        <f ca="1">+GETPIVOTDATA("XBG4",'binhgia (2016)'!$A$3,"MA_HT","PNK","MA_QH","TIN")</f>
        <v>0</v>
      </c>
      <c r="BB57" s="50">
        <f ca="1">+GETPIVOTDATA("XBG4",'binhgia (2016)'!$A$3,"MA_HT","PNK","MA_QH","SON")</f>
        <v>0</v>
      </c>
      <c r="BC57" s="50">
        <f ca="1">+GETPIVOTDATA("XBG4",'binhgia (2016)'!$A$3,"MA_HT","PNK","MA_QH","MNC")</f>
        <v>0</v>
      </c>
      <c r="BD57" s="43" t="e">
        <f ca="1">$D57-$BF57</f>
        <v>#REF!</v>
      </c>
      <c r="BE57" s="71">
        <f ca="1">+GETPIVOTDATA("XBG4",'binhgia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+GETPIVOTDATA("XBG4",'binhgia (2016)'!$A$3,"MA_HT","CSD","MA_QH","LUC")</f>
        <v>0</v>
      </c>
      <c r="H58" s="71">
        <f ca="1">+GETPIVOTDATA("XBG4",'binhgia (2016)'!$A$3,"MA_HT","CSD","MA_QH","LUK")</f>
        <v>0</v>
      </c>
      <c r="I58" s="71">
        <f ca="1">+GETPIVOTDATA("XBG4",'binhgia (2016)'!$A$3,"MA_HT","CSD","MA_QH","LUN")</f>
        <v>0</v>
      </c>
      <c r="J58" s="71">
        <f ca="1">+GETPIVOTDATA("XBG4",'binhgia (2016)'!$A$3,"MA_HT","CSD","MA_QH","HNK")</f>
        <v>0</v>
      </c>
      <c r="K58" s="71">
        <f ca="1">+GETPIVOTDATA("XBG4",'binhgia (2016)'!$A$3,"MA_HT","CSD","MA_QH","CLN")</f>
        <v>0</v>
      </c>
      <c r="L58" s="71">
        <f ca="1">+GETPIVOTDATA("XBG4",'binhgia (2016)'!$A$3,"MA_HT","CSD","MA_QH","RSX")</f>
        <v>0</v>
      </c>
      <c r="M58" s="71">
        <f ca="1">+GETPIVOTDATA("XBG4",'binhgia (2016)'!$A$3,"MA_HT","CSD","MA_QH","RPH")</f>
        <v>0</v>
      </c>
      <c r="N58" s="71">
        <f ca="1">+GETPIVOTDATA("XBG4",'binhgia (2016)'!$A$3,"MA_HT","CSD","MA_QH","RDD")</f>
        <v>0</v>
      </c>
      <c r="O58" s="71">
        <f ca="1">+GETPIVOTDATA("XBG4",'binhgia (2016)'!$A$3,"MA_HT","CSD","MA_QH","NTS")</f>
        <v>0</v>
      </c>
      <c r="P58" s="71">
        <f ca="1">+GETPIVOTDATA("XBG4",'binhgia (2016)'!$A$3,"MA_HT","CSD","MA_QH","LMU")</f>
        <v>0</v>
      </c>
      <c r="Q58" s="71">
        <f ca="1">+GETPIVOTDATA("XBG4",'binhgia (2016)'!$A$3,"MA_HT","CSD","MA_QH","NKH")</f>
        <v>0</v>
      </c>
      <c r="R58" s="79">
        <f ca="1">SUM(S58:AA58,AN58:BD58)</f>
        <v>0</v>
      </c>
      <c r="S58" s="80">
        <f ca="1">+GETPIVOTDATA("XBG4",'binhgia (2016)'!$A$3,"MA_HT","CSD","MA_QH","CQP")</f>
        <v>0</v>
      </c>
      <c r="T58" s="80">
        <f ca="1">+GETPIVOTDATA("XBG4",'binhgia (2016)'!$A$3,"MA_HT","CSD","MA_QH","CAN")</f>
        <v>0</v>
      </c>
      <c r="U58" s="71">
        <f ca="1">+GETPIVOTDATA("XBG4",'binhgia (2016)'!$A$3,"MA_HT","CSD","MA_QH","SKK")</f>
        <v>0</v>
      </c>
      <c r="V58" s="71">
        <f ca="1">+GETPIVOTDATA("XBG4",'binhgia (2016)'!$A$3,"MA_HT","CSD","MA_QH","SKT")</f>
        <v>0</v>
      </c>
      <c r="W58" s="71">
        <f ca="1">+GETPIVOTDATA("XBG4",'binhgia (2016)'!$A$3,"MA_HT","CSD","MA_QH","SKN")</f>
        <v>0</v>
      </c>
      <c r="X58" s="71">
        <f ca="1">+GETPIVOTDATA("XBG4",'binhgia (2016)'!$A$3,"MA_HT","CSD","MA_QH","TMD")</f>
        <v>0</v>
      </c>
      <c r="Y58" s="71">
        <f ca="1">+GETPIVOTDATA("XBG4",'binhgia (2016)'!$A$3,"MA_HT","CSD","MA_QH","SKC")</f>
        <v>0</v>
      </c>
      <c r="Z58" s="71">
        <f ca="1">+GETPIVOTDATA("XBG4",'binhgia (2016)'!$A$3,"MA_HT","CSD","MA_QH","SKS")</f>
        <v>0</v>
      </c>
      <c r="AA58" s="52">
        <f ca="1" t="shared" si="21"/>
        <v>0</v>
      </c>
      <c r="AB58" s="80">
        <f ca="1">+GETPIVOTDATA("XBG4",'binhgia (2016)'!$A$3,"MA_HT","CSD","MA_QH","DGT")</f>
        <v>0</v>
      </c>
      <c r="AC58" s="80">
        <f ca="1">+GETPIVOTDATA("XBG4",'binhgia (2016)'!$A$3,"MA_HT","CSD","MA_QH","DTL")</f>
        <v>0</v>
      </c>
      <c r="AD58" s="80">
        <f ca="1">+GETPIVOTDATA("XBG4",'binhgia (2016)'!$A$3,"MA_HT","CSD","MA_QH","DNL")</f>
        <v>0</v>
      </c>
      <c r="AE58" s="80">
        <f ca="1">+GETPIVOTDATA("XBG4",'binhgia (2016)'!$A$3,"MA_HT","CSD","MA_QH","DBV")</f>
        <v>0</v>
      </c>
      <c r="AF58" s="80">
        <f ca="1">+GETPIVOTDATA("XBG4",'binhgia (2016)'!$A$3,"MA_HT","CSD","MA_QH","DVH")</f>
        <v>0</v>
      </c>
      <c r="AG58" s="80">
        <f ca="1">+GETPIVOTDATA("XBG4",'binhgia (2016)'!$A$3,"MA_HT","CSD","MA_QH","DYT")</f>
        <v>0</v>
      </c>
      <c r="AH58" s="80">
        <f ca="1">+GETPIVOTDATA("XBG4",'binhgia (2016)'!$A$3,"MA_HT","CSD","MA_QH","DGD")</f>
        <v>0</v>
      </c>
      <c r="AI58" s="80">
        <f ca="1">+GETPIVOTDATA("XBG4",'binhgia (2016)'!$A$3,"MA_HT","CSD","MA_QH","DTT")</f>
        <v>0</v>
      </c>
      <c r="AJ58" s="80">
        <f ca="1">+GETPIVOTDATA("XBG4",'binhgia (2016)'!$A$3,"MA_HT","CSD","MA_QH","NCK")</f>
        <v>0</v>
      </c>
      <c r="AK58" s="80">
        <f ca="1">+GETPIVOTDATA("XBG4",'binhgia (2016)'!$A$3,"MA_HT","CSD","MA_QH","DXH")</f>
        <v>0</v>
      </c>
      <c r="AL58" s="80">
        <f ca="1">+GETPIVOTDATA("XBG4",'binhgia (2016)'!$A$3,"MA_HT","CSD","MA_QH","DCH")</f>
        <v>0</v>
      </c>
      <c r="AM58" s="80">
        <f ca="1">+GETPIVOTDATA("XBG4",'binhgia (2016)'!$A$3,"MA_HT","CSD","MA_QH","DKG")</f>
        <v>0</v>
      </c>
      <c r="AN58" s="71">
        <f ca="1">+GETPIVOTDATA("XBG4",'binhgia (2016)'!$A$3,"MA_HT","CSD","MA_QH","DDT")</f>
        <v>0</v>
      </c>
      <c r="AO58" s="71">
        <f ca="1">+GETPIVOTDATA("XBG4",'binhgia (2016)'!$A$3,"MA_HT","CSD","MA_QH","DDL")</f>
        <v>0</v>
      </c>
      <c r="AP58" s="71">
        <f ca="1">+GETPIVOTDATA("XBG4",'binhgia (2016)'!$A$3,"MA_HT","CSD","MA_QH","DRA")</f>
        <v>0</v>
      </c>
      <c r="AQ58" s="71">
        <f ca="1">+GETPIVOTDATA("XBG4",'binhgia (2016)'!$A$3,"MA_HT","CSD","MA_QH","ONT")</f>
        <v>0</v>
      </c>
      <c r="AR58" s="71">
        <f ca="1">+GETPIVOTDATA("XBG4",'binhgia (2016)'!$A$3,"MA_HT","CSD","MA_QH","ODT")</f>
        <v>0</v>
      </c>
      <c r="AS58" s="71">
        <f ca="1">+GETPIVOTDATA("XBG4",'binhgia (2016)'!$A$3,"MA_HT","CSD","MA_QH","TSC")</f>
        <v>0</v>
      </c>
      <c r="AT58" s="71">
        <f ca="1">+GETPIVOTDATA("XBG4",'binhgia (2016)'!$A$3,"MA_HT","CSD","MA_QH","DTS")</f>
        <v>0</v>
      </c>
      <c r="AU58" s="71">
        <f ca="1">+GETPIVOTDATA("XBG4",'binhgia (2016)'!$A$3,"MA_HT","CSD","MA_QH","DNG")</f>
        <v>0</v>
      </c>
      <c r="AV58" s="71">
        <f ca="1">+GETPIVOTDATA("XBG4",'binhgia (2016)'!$A$3,"MA_HT","CSD","MA_QH","TON")</f>
        <v>0</v>
      </c>
      <c r="AW58" s="71">
        <f ca="1">+GETPIVOTDATA("XBG4",'binhgia (2016)'!$A$3,"MA_HT","CSD","MA_QH","NTD")</f>
        <v>0</v>
      </c>
      <c r="AX58" s="71">
        <f ca="1">+GETPIVOTDATA("XBG4",'binhgia (2016)'!$A$3,"MA_HT","CSD","MA_QH","SKX")</f>
        <v>0</v>
      </c>
      <c r="AY58" s="71">
        <f ca="1">+GETPIVOTDATA("XBG4",'binhgia (2016)'!$A$3,"MA_HT","CSD","MA_QH","DSH")</f>
        <v>0</v>
      </c>
      <c r="AZ58" s="71">
        <f ca="1">+GETPIVOTDATA("XBG4",'binhgia (2016)'!$A$3,"MA_HT","CSD","MA_QH","DKV")</f>
        <v>0</v>
      </c>
      <c r="BA58" s="89">
        <f ca="1">+GETPIVOTDATA("XBG4",'binhgia (2016)'!$A$3,"MA_HT","CSD","MA_QH","TIN")</f>
        <v>0</v>
      </c>
      <c r="BB58" s="80">
        <f ca="1">+GETPIVOTDATA("XBG4",'binhgia (2016)'!$A$3,"MA_HT","CSD","MA_QH","SON")</f>
        <v>0</v>
      </c>
      <c r="BC58" s="80">
        <f ca="1">+GETPIVOTDATA("XBG4",'binhgia (2016)'!$A$3,"MA_HT","CSD","MA_QH","MNC")</f>
        <v>0</v>
      </c>
      <c r="BD58" s="71">
        <f ca="1">+GETPIVOTDATA("XBG4",'binhgia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3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+GETPIVOTDATA("XBT4",'binhtrung (2016)'!$A$3,"MA_HT","LUC","MA_QH","LUK")</f>
        <v>0</v>
      </c>
      <c r="I8" s="50">
        <f ca="1">+GETPIVOTDATA("XBT4",'binhtrung (2016)'!$A$3,"MA_HT","LUC","MA_QH","LUN")</f>
        <v>0</v>
      </c>
      <c r="J8" s="50">
        <f ca="1">+GETPIVOTDATA("XBT4",'binhtrung (2016)'!$A$3,"MA_HT","LUC","MA_QH","HNK")</f>
        <v>0</v>
      </c>
      <c r="K8" s="50">
        <f ca="1">+GETPIVOTDATA("XBT4",'binhtrung (2016)'!$A$3,"MA_HT","LUC","MA_QH","CLN")</f>
        <v>0</v>
      </c>
      <c r="L8" s="50">
        <f ca="1">+GETPIVOTDATA("XBT4",'binhtrung (2016)'!$A$3,"MA_HT","LUC","MA_QH","RSX")</f>
        <v>0</v>
      </c>
      <c r="M8" s="50">
        <f ca="1">+GETPIVOTDATA("XBT4",'binhtrung (2016)'!$A$3,"MA_HT","LUC","MA_QH","RPH")</f>
        <v>0</v>
      </c>
      <c r="N8" s="50">
        <f ca="1">+GETPIVOTDATA("XBT4",'binhtrung (2016)'!$A$3,"MA_HT","LUC","MA_QH","RDD")</f>
        <v>0</v>
      </c>
      <c r="O8" s="50">
        <f ca="1">+GETPIVOTDATA("XBT4",'binhtrung (2016)'!$A$3,"MA_HT","LUC","MA_QH","NTS")</f>
        <v>0</v>
      </c>
      <c r="P8" s="50">
        <f ca="1">+GETPIVOTDATA("XBT4",'binhtrung (2016)'!$A$3,"MA_HT","LUC","MA_QH","LMU")</f>
        <v>0</v>
      </c>
      <c r="Q8" s="50">
        <f ca="1">+GETPIVOTDATA("XBT4",'binhtrung (2016)'!$A$3,"MA_HT","LUC","MA_QH","NKH")</f>
        <v>0</v>
      </c>
      <c r="R8" s="48">
        <f ca="1" t="shared" si="2"/>
        <v>0</v>
      </c>
      <c r="S8" s="50">
        <f ca="1">+GETPIVOTDATA("XBT4",'binhtrung (2016)'!$A$3,"MA_HT","LUC","MA_QH","CQP")</f>
        <v>0</v>
      </c>
      <c r="T8" s="50">
        <f ca="1">+GETPIVOTDATA("XBT4",'binhtrung (2016)'!$A$3,"MA_HT","LUC","MA_QH","CAN")</f>
        <v>0</v>
      </c>
      <c r="U8" s="50">
        <f ca="1">+GETPIVOTDATA("XBT4",'binhtrung (2016)'!$A$3,"MA_HT","LUC","MA_QH","SKK")</f>
        <v>0</v>
      </c>
      <c r="V8" s="50">
        <f ca="1">+GETPIVOTDATA("XBT4",'binhtrung (2016)'!$A$3,"MA_HT","LUC","MA_QH","SKT")</f>
        <v>0</v>
      </c>
      <c r="W8" s="50">
        <f ca="1">+GETPIVOTDATA("XBT4",'binhtrung (2016)'!$A$3,"MA_HT","LUC","MA_QH","SKN")</f>
        <v>0</v>
      </c>
      <c r="X8" s="50">
        <f ca="1">+GETPIVOTDATA("XBT4",'binhtrung (2016)'!$A$3,"MA_HT","LUC","MA_QH","TMD")</f>
        <v>0</v>
      </c>
      <c r="Y8" s="50">
        <f ca="1">+GETPIVOTDATA("XBT4",'binhtrung (2016)'!$A$3,"MA_HT","LUC","MA_QH","SKC")</f>
        <v>0</v>
      </c>
      <c r="Z8" s="50">
        <f ca="1">+GETPIVOTDATA("XBT4",'binhtrung (2016)'!$A$3,"MA_HT","LUC","MA_QH","SKS")</f>
        <v>0</v>
      </c>
      <c r="AA8" s="52">
        <f ca="1" t="shared" si="4"/>
        <v>0</v>
      </c>
      <c r="AB8" s="50">
        <f ca="1">+GETPIVOTDATA("XBT4",'binhtrung (2016)'!$A$3,"MA_HT","LUC","MA_QH","DGT")</f>
        <v>0</v>
      </c>
      <c r="AC8" s="50">
        <f ca="1">+GETPIVOTDATA("XBT4",'binhtrung (2016)'!$A$3,"MA_HT","LUC","MA_QH","DTL")</f>
        <v>0</v>
      </c>
      <c r="AD8" s="50">
        <f ca="1">+GETPIVOTDATA("XBT4",'binhtrung (2016)'!$A$3,"MA_HT","LUC","MA_QH","DNL")</f>
        <v>0</v>
      </c>
      <c r="AE8" s="50">
        <f ca="1">+GETPIVOTDATA("XBT4",'binhtrung (2016)'!$A$3,"MA_HT","LUC","MA_QH","DBV")</f>
        <v>0</v>
      </c>
      <c r="AF8" s="50">
        <f ca="1">+GETPIVOTDATA("XBT4",'binhtrung (2016)'!$A$3,"MA_HT","LUC","MA_QH","DVH")</f>
        <v>0</v>
      </c>
      <c r="AG8" s="50">
        <f ca="1">+GETPIVOTDATA("XBT4",'binhtrung (2016)'!$A$3,"MA_HT","LUC","MA_QH","DYT")</f>
        <v>0</v>
      </c>
      <c r="AH8" s="50">
        <f ca="1">+GETPIVOTDATA("XBT4",'binhtrung (2016)'!$A$3,"MA_HT","LUC","MA_QH","DGD")</f>
        <v>0</v>
      </c>
      <c r="AI8" s="50">
        <f ca="1">+GETPIVOTDATA("XBT4",'binhtrung (2016)'!$A$3,"MA_HT","LUC","MA_QH","DTT")</f>
        <v>0</v>
      </c>
      <c r="AJ8" s="50">
        <f ca="1">+GETPIVOTDATA("XBT4",'binhtrung (2016)'!$A$3,"MA_HT","LUC","MA_QH","NCK")</f>
        <v>0</v>
      </c>
      <c r="AK8" s="50">
        <f ca="1">+GETPIVOTDATA("XBT4",'binhtrung (2016)'!$A$3,"MA_HT","LUC","MA_QH","DXH")</f>
        <v>0</v>
      </c>
      <c r="AL8" s="50">
        <f ca="1">+GETPIVOTDATA("XBT4",'binhtrung (2016)'!$A$3,"MA_HT","LUC","MA_QH","DCH")</f>
        <v>0</v>
      </c>
      <c r="AM8" s="50">
        <f ca="1">+GETPIVOTDATA("XBT4",'binhtrung (2016)'!$A$3,"MA_HT","LUC","MA_QH","DKG")</f>
        <v>0</v>
      </c>
      <c r="AN8" s="50">
        <f ca="1">+GETPIVOTDATA("XBT4",'binhtrung (2016)'!$A$3,"MA_HT","LUC","MA_QH","DDT")</f>
        <v>0</v>
      </c>
      <c r="AO8" s="50">
        <f ca="1">+GETPIVOTDATA("XBT4",'binhtrung (2016)'!$A$3,"MA_HT","LUC","MA_QH","DDL")</f>
        <v>0</v>
      </c>
      <c r="AP8" s="50">
        <f ca="1">+GETPIVOTDATA("XBT4",'binhtrung (2016)'!$A$3,"MA_HT","LUC","MA_QH","DRA")</f>
        <v>0</v>
      </c>
      <c r="AQ8" s="50">
        <f ca="1">+GETPIVOTDATA("XBT4",'binhtrung (2016)'!$A$3,"MA_HT","LUC","MA_QH","ONT")</f>
        <v>0</v>
      </c>
      <c r="AR8" s="50">
        <f ca="1">+GETPIVOTDATA("XBT4",'binhtrung (2016)'!$A$3,"MA_HT","LUC","MA_QH","ODT")</f>
        <v>0</v>
      </c>
      <c r="AS8" s="50">
        <f ca="1">+GETPIVOTDATA("XBT4",'binhtrung (2016)'!$A$3,"MA_HT","LUC","MA_QH","TSC")</f>
        <v>0</v>
      </c>
      <c r="AT8" s="50">
        <f ca="1">+GETPIVOTDATA("XBT4",'binhtrung (2016)'!$A$3,"MA_HT","LUC","MA_QH","DTS")</f>
        <v>0</v>
      </c>
      <c r="AU8" s="50">
        <f ca="1">+GETPIVOTDATA("XBT4",'binhtrung (2016)'!$A$3,"MA_HT","LUC","MA_QH","DNG")</f>
        <v>0</v>
      </c>
      <c r="AV8" s="50">
        <f ca="1">+GETPIVOTDATA("XBT4",'binhtrung (2016)'!$A$3,"MA_HT","LUC","MA_QH","TON")</f>
        <v>0</v>
      </c>
      <c r="AW8" s="50">
        <f ca="1">+GETPIVOTDATA("XBT4",'binhtrung (2016)'!$A$3,"MA_HT","LUC","MA_QH","NTD")</f>
        <v>0</v>
      </c>
      <c r="AX8" s="50">
        <f ca="1">+GETPIVOTDATA("XBT4",'binhtrung (2016)'!$A$3,"MA_HT","LUC","MA_QH","SKX")</f>
        <v>0</v>
      </c>
      <c r="AY8" s="50">
        <f ca="1">+GETPIVOTDATA("XBT4",'binhtrung (2016)'!$A$3,"MA_HT","LUC","MA_QH","DSH")</f>
        <v>0</v>
      </c>
      <c r="AZ8" s="50">
        <f ca="1">+GETPIVOTDATA("XBT4",'binhtrung (2016)'!$A$3,"MA_HT","LUC","MA_QH","DKV")</f>
        <v>0</v>
      </c>
      <c r="BA8" s="88">
        <f ca="1">+GETPIVOTDATA("XBT4",'binhtrung (2016)'!$A$3,"MA_HT","LUC","MA_QH","TIN")</f>
        <v>0</v>
      </c>
      <c r="BB8" s="50">
        <f ca="1">+GETPIVOTDATA("XBT4",'binhtrung (2016)'!$A$3,"MA_HT","LUC","MA_QH","SON")</f>
        <v>0</v>
      </c>
      <c r="BC8" s="50">
        <f ca="1">+GETPIVOTDATA("XBT4",'binhtrung (2016)'!$A$3,"MA_HT","LUC","MA_QH","MNC")</f>
        <v>0</v>
      </c>
      <c r="BD8" s="50">
        <f ca="1">+GETPIVOTDATA("XBT4",'binhtrung (2016)'!$A$3,"MA_HT","LUC","MA_QH","PNK")</f>
        <v>0</v>
      </c>
      <c r="BE8" s="80">
        <f ca="1">+GETPIVOTDATA("XBT4",'binhtrung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+GETPIVOTDATA("XBT4",'binhtrung (2016)'!$A$3,"MA_HT","LUK","MA_QH","LUC")</f>
        <v>0</v>
      </c>
      <c r="H9" s="49" t="e">
        <f ca="1">$D9-$BF9</f>
        <v>#REF!</v>
      </c>
      <c r="I9" s="50">
        <f ca="1">+GETPIVOTDATA("XBT4",'binhtrung (2016)'!$A$3,"MA_HT","LUK","MA_QH","LUN")</f>
        <v>0</v>
      </c>
      <c r="J9" s="50">
        <f ca="1">+GETPIVOTDATA("XBT4",'binhtrung (2016)'!$A$3,"MA_HT","LUK","MA_QH","HNK")</f>
        <v>0</v>
      </c>
      <c r="K9" s="50">
        <f ca="1">+GETPIVOTDATA("XBT4",'binhtrung (2016)'!$A$3,"MA_HT","LUK","MA_QH","CLN")</f>
        <v>0</v>
      </c>
      <c r="L9" s="50">
        <f ca="1">+GETPIVOTDATA("XBT4",'binhtrung (2016)'!$A$3,"MA_HT","LUK","MA_QH","RSX")</f>
        <v>0</v>
      </c>
      <c r="M9" s="50">
        <f ca="1">+GETPIVOTDATA("XBT4",'binhtrung (2016)'!$A$3,"MA_HT","LUK","MA_QH","RPH")</f>
        <v>0</v>
      </c>
      <c r="N9" s="50">
        <f ca="1">+GETPIVOTDATA("XBT4",'binhtrung (2016)'!$A$3,"MA_HT","LUK","MA_QH","RDD")</f>
        <v>0</v>
      </c>
      <c r="O9" s="50">
        <f ca="1">+GETPIVOTDATA("XBT4",'binhtrung (2016)'!$A$3,"MA_HT","LUK","MA_QH","NTS")</f>
        <v>0</v>
      </c>
      <c r="P9" s="50">
        <f ca="1">+GETPIVOTDATA("XBT4",'binhtrung (2016)'!$A$3,"MA_HT","LUK","MA_QH","LMU")</f>
        <v>0</v>
      </c>
      <c r="Q9" s="50">
        <f ca="1">+GETPIVOTDATA("XBT4",'binhtrung (2016)'!$A$3,"MA_HT","LUK","MA_QH","NKH")</f>
        <v>0</v>
      </c>
      <c r="R9" s="48">
        <f ca="1" t="shared" si="2"/>
        <v>0</v>
      </c>
      <c r="S9" s="50">
        <f ca="1">+GETPIVOTDATA("XBT4",'binhtrung (2016)'!$A$3,"MA_HT","LUK","MA_QH","CQP")</f>
        <v>0</v>
      </c>
      <c r="T9" s="50">
        <f ca="1">+GETPIVOTDATA("XBT4",'binhtrung (2016)'!$A$3,"MA_HT","LUK","MA_QH","CAN")</f>
        <v>0</v>
      </c>
      <c r="U9" s="50">
        <f ca="1">+GETPIVOTDATA("XBT4",'binhtrung (2016)'!$A$3,"MA_HT","LUK","MA_QH","SKK")</f>
        <v>0</v>
      </c>
      <c r="V9" s="50">
        <f ca="1">+GETPIVOTDATA("XBT4",'binhtrung (2016)'!$A$3,"MA_HT","LUK","MA_QH","SKT")</f>
        <v>0</v>
      </c>
      <c r="W9" s="50">
        <f ca="1">+GETPIVOTDATA("XBT4",'binhtrung (2016)'!$A$3,"MA_HT","LUK","MA_QH","SKN")</f>
        <v>0</v>
      </c>
      <c r="X9" s="50">
        <f ca="1">+GETPIVOTDATA("XBT4",'binhtrung (2016)'!$A$3,"MA_HT","LUK","MA_QH","TMD")</f>
        <v>0</v>
      </c>
      <c r="Y9" s="50">
        <f ca="1">+GETPIVOTDATA("XBT4",'binhtrung (2016)'!$A$3,"MA_HT","LUK","MA_QH","SKC")</f>
        <v>0</v>
      </c>
      <c r="Z9" s="50">
        <f ca="1">+GETPIVOTDATA("XBT4",'binhtrung (2016)'!$A$3,"MA_HT","LUK","MA_QH","SKS")</f>
        <v>0</v>
      </c>
      <c r="AA9" s="52">
        <f ca="1" t="shared" si="4"/>
        <v>0</v>
      </c>
      <c r="AB9" s="50">
        <f ca="1">+GETPIVOTDATA("XBT4",'binhtrung (2016)'!$A$3,"MA_HT","LUK","MA_QH","DGT")</f>
        <v>0</v>
      </c>
      <c r="AC9" s="50">
        <f ca="1">+GETPIVOTDATA("XBT4",'binhtrung (2016)'!$A$3,"MA_HT","LUK","MA_QH","DTL")</f>
        <v>0</v>
      </c>
      <c r="AD9" s="50">
        <f ca="1">+GETPIVOTDATA("XBT4",'binhtrung (2016)'!$A$3,"MA_HT","LUK","MA_QH","DNL")</f>
        <v>0</v>
      </c>
      <c r="AE9" s="50">
        <f ca="1">+GETPIVOTDATA("XBT4",'binhtrung (2016)'!$A$3,"MA_HT","LUK","MA_QH","DBV")</f>
        <v>0</v>
      </c>
      <c r="AF9" s="50">
        <f ca="1">+GETPIVOTDATA("XBT4",'binhtrung (2016)'!$A$3,"MA_HT","LUK","MA_QH","DVH")</f>
        <v>0</v>
      </c>
      <c r="AG9" s="50">
        <f ca="1">+GETPIVOTDATA("XBT4",'binhtrung (2016)'!$A$3,"MA_HT","LUK","MA_QH","DYT")</f>
        <v>0</v>
      </c>
      <c r="AH9" s="50">
        <f ca="1">+GETPIVOTDATA("XBT4",'binhtrung (2016)'!$A$3,"MA_HT","LUK","MA_QH","DGD")</f>
        <v>0</v>
      </c>
      <c r="AI9" s="50">
        <f ca="1">+GETPIVOTDATA("XBT4",'binhtrung (2016)'!$A$3,"MA_HT","LUK","MA_QH","DTT")</f>
        <v>0</v>
      </c>
      <c r="AJ9" s="50">
        <f ca="1">+GETPIVOTDATA("XBT4",'binhtrung (2016)'!$A$3,"MA_HT","LUK","MA_QH","NCK")</f>
        <v>0</v>
      </c>
      <c r="AK9" s="50">
        <f ca="1">+GETPIVOTDATA("XBT4",'binhtrung (2016)'!$A$3,"MA_HT","LUK","MA_QH","DXH")</f>
        <v>0</v>
      </c>
      <c r="AL9" s="50">
        <f ca="1">+GETPIVOTDATA("XBT4",'binhtrung (2016)'!$A$3,"MA_HT","LUK","MA_QH","DCH")</f>
        <v>0</v>
      </c>
      <c r="AM9" s="50">
        <f ca="1">+GETPIVOTDATA("XBT4",'binhtrung (2016)'!$A$3,"MA_HT","LUK","MA_QH","DKG")</f>
        <v>0</v>
      </c>
      <c r="AN9" s="50">
        <f ca="1">+GETPIVOTDATA("XBT4",'binhtrung (2016)'!$A$3,"MA_HT","LUK","MA_QH","DDT")</f>
        <v>0</v>
      </c>
      <c r="AO9" s="50">
        <f ca="1">+GETPIVOTDATA("XBT4",'binhtrung (2016)'!$A$3,"MA_HT","LUK","MA_QH","DDL")</f>
        <v>0</v>
      </c>
      <c r="AP9" s="50">
        <f ca="1">+GETPIVOTDATA("XBT4",'binhtrung (2016)'!$A$3,"MA_HT","LUK","MA_QH","DRA")</f>
        <v>0</v>
      </c>
      <c r="AQ9" s="50">
        <f ca="1">+GETPIVOTDATA("XBT4",'binhtrung (2016)'!$A$3,"MA_HT","LUK","MA_QH","ONT")</f>
        <v>0</v>
      </c>
      <c r="AR9" s="50">
        <f ca="1">+GETPIVOTDATA("XBT4",'binhtrung (2016)'!$A$3,"MA_HT","LUK","MA_QH","ODT")</f>
        <v>0</v>
      </c>
      <c r="AS9" s="50">
        <f ca="1">+GETPIVOTDATA("XBT4",'binhtrung (2016)'!$A$3,"MA_HT","LUK","MA_QH","TSC")</f>
        <v>0</v>
      </c>
      <c r="AT9" s="50">
        <f ca="1">+GETPIVOTDATA("XBT4",'binhtrung (2016)'!$A$3,"MA_HT","LUK","MA_QH","DTS")</f>
        <v>0</v>
      </c>
      <c r="AU9" s="50">
        <f ca="1">+GETPIVOTDATA("XBT4",'binhtrung (2016)'!$A$3,"MA_HT","LUK","MA_QH","DNG")</f>
        <v>0</v>
      </c>
      <c r="AV9" s="50">
        <f ca="1">+GETPIVOTDATA("XBT4",'binhtrung (2016)'!$A$3,"MA_HT","LUK","MA_QH","TON")</f>
        <v>0</v>
      </c>
      <c r="AW9" s="50">
        <f ca="1">+GETPIVOTDATA("XBT4",'binhtrung (2016)'!$A$3,"MA_HT","LUK","MA_QH","NTD")</f>
        <v>0</v>
      </c>
      <c r="AX9" s="50">
        <f ca="1">+GETPIVOTDATA("XBT4",'binhtrung (2016)'!$A$3,"MA_HT","LUK","MA_QH","SKX")</f>
        <v>0</v>
      </c>
      <c r="AY9" s="50">
        <f ca="1">+GETPIVOTDATA("XBT4",'binhtrung (2016)'!$A$3,"MA_HT","LUK","MA_QH","DSH")</f>
        <v>0</v>
      </c>
      <c r="AZ9" s="50">
        <f ca="1">+GETPIVOTDATA("XBT4",'binhtrung (2016)'!$A$3,"MA_HT","LUK","MA_QH","DKV")</f>
        <v>0</v>
      </c>
      <c r="BA9" s="88">
        <f ca="1">+GETPIVOTDATA("XBT4",'binhtrung (2016)'!$A$3,"MA_HT","LUK","MA_QH","TIN")</f>
        <v>0</v>
      </c>
      <c r="BB9" s="50">
        <f ca="1">+GETPIVOTDATA("XBT4",'binhtrung (2016)'!$A$3,"MA_HT","LUK","MA_QH","SON")</f>
        <v>0</v>
      </c>
      <c r="BC9" s="50">
        <f ca="1">+GETPIVOTDATA("XBT4",'binhtrung (2016)'!$A$3,"MA_HT","LUK","MA_QH","MNC")</f>
        <v>0</v>
      </c>
      <c r="BD9" s="50">
        <f ca="1">+GETPIVOTDATA("XBT4",'binhtrung (2016)'!$A$3,"MA_HT","LUK","MA_QH","PNK")</f>
        <v>0</v>
      </c>
      <c r="BE9" s="80">
        <f ca="1">+GETPIVOTDATA("XBT4",'binhtrung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+GETPIVOTDATA("XBT4",'binhtrung (2016)'!$A$3,"MA_HT","LUN","MA_QH","LUC")</f>
        <v>0</v>
      </c>
      <c r="H10" s="50">
        <f ca="1">+GETPIVOTDATA("XBT4",'binhtrung (2016)'!$A$3,"MA_HT","LUN","MA_QH","LUK")</f>
        <v>0</v>
      </c>
      <c r="I10" s="49" t="e">
        <f ca="1">$D10-$BF10</f>
        <v>#REF!</v>
      </c>
      <c r="J10" s="50">
        <f ca="1">+GETPIVOTDATA("XBT4",'binhtrung (2016)'!$A$3,"MA_HT","LUN","MA_QH","HNK")</f>
        <v>0</v>
      </c>
      <c r="K10" s="50">
        <f ca="1">+GETPIVOTDATA("XBT4",'binhtrung (2016)'!$A$3,"MA_HT","LUN","MA_QH","CLN")</f>
        <v>0</v>
      </c>
      <c r="L10" s="50">
        <f ca="1">+GETPIVOTDATA("XBT4",'binhtrung (2016)'!$A$3,"MA_HT","LUN","MA_QH","RSX")</f>
        <v>0</v>
      </c>
      <c r="M10" s="50">
        <f ca="1">+GETPIVOTDATA("XBT4",'binhtrung (2016)'!$A$3,"MA_HT","LUN","MA_QH","RPH")</f>
        <v>0</v>
      </c>
      <c r="N10" s="50">
        <f ca="1">+GETPIVOTDATA("XBT4",'binhtrung (2016)'!$A$3,"MA_HT","LUN","MA_QH","RDD")</f>
        <v>0</v>
      </c>
      <c r="O10" s="50">
        <f ca="1">+GETPIVOTDATA("XBT4",'binhtrung (2016)'!$A$3,"MA_HT","LUN","MA_QH","NTS")</f>
        <v>0</v>
      </c>
      <c r="P10" s="50">
        <f ca="1">+GETPIVOTDATA("XBT4",'binhtrung (2016)'!$A$3,"MA_HT","LUN","MA_QH","LMU")</f>
        <v>0</v>
      </c>
      <c r="Q10" s="50">
        <f ca="1">+GETPIVOTDATA("XBT4",'binhtrung (2016)'!$A$3,"MA_HT","LUN","MA_QH","NKH")</f>
        <v>0</v>
      </c>
      <c r="R10" s="48">
        <f ca="1" t="shared" si="2"/>
        <v>0</v>
      </c>
      <c r="S10" s="50">
        <f ca="1">+GETPIVOTDATA("XBT4",'binhtrung (2016)'!$A$3,"MA_HT","LUN","MA_QH","CQP")</f>
        <v>0</v>
      </c>
      <c r="T10" s="50">
        <f ca="1">+GETPIVOTDATA("XBT4",'binhtrung (2016)'!$A$3,"MA_HT","LUN","MA_QH","CAN")</f>
        <v>0</v>
      </c>
      <c r="U10" s="50">
        <f ca="1">+GETPIVOTDATA("XBT4",'binhtrung (2016)'!$A$3,"MA_HT","LUN","MA_QH","SKK")</f>
        <v>0</v>
      </c>
      <c r="V10" s="50">
        <f ca="1">+GETPIVOTDATA("XBT4",'binhtrung (2016)'!$A$3,"MA_HT","LUN","MA_QH","SKT")</f>
        <v>0</v>
      </c>
      <c r="W10" s="50">
        <f ca="1">+GETPIVOTDATA("XBT4",'binhtrung (2016)'!$A$3,"MA_HT","LUN","MA_QH","SKN")</f>
        <v>0</v>
      </c>
      <c r="X10" s="50">
        <f ca="1">+GETPIVOTDATA("XBT4",'binhtrung (2016)'!$A$3,"MA_HT","LUN","MA_QH","TMD")</f>
        <v>0</v>
      </c>
      <c r="Y10" s="50">
        <f ca="1">+GETPIVOTDATA("XBT4",'binhtrung (2016)'!$A$3,"MA_HT","LUN","MA_QH","SKC")</f>
        <v>0</v>
      </c>
      <c r="Z10" s="50">
        <f ca="1">+GETPIVOTDATA("XBT4",'binhtrung (2016)'!$A$3,"MA_HT","LUN","MA_QH","SKS")</f>
        <v>0</v>
      </c>
      <c r="AA10" s="52">
        <f ca="1" t="shared" si="4"/>
        <v>0</v>
      </c>
      <c r="AB10" s="50">
        <f ca="1">+GETPIVOTDATA("XBT4",'binhtrung (2016)'!$A$3,"MA_HT","LUN","MA_QH","DGT")</f>
        <v>0</v>
      </c>
      <c r="AC10" s="50">
        <f ca="1">+GETPIVOTDATA("XBT4",'binhtrung (2016)'!$A$3,"MA_HT","LUN","MA_QH","DTL")</f>
        <v>0</v>
      </c>
      <c r="AD10" s="50">
        <f ca="1">+GETPIVOTDATA("XBT4",'binhtrung (2016)'!$A$3,"MA_HT","LUN","MA_QH","DNL")</f>
        <v>0</v>
      </c>
      <c r="AE10" s="50">
        <f ca="1">+GETPIVOTDATA("XBT4",'binhtrung (2016)'!$A$3,"MA_HT","LUN","MA_QH","DBV")</f>
        <v>0</v>
      </c>
      <c r="AF10" s="50">
        <f ca="1">+GETPIVOTDATA("XBT4",'binhtrung (2016)'!$A$3,"MA_HT","LUN","MA_QH","DVH")</f>
        <v>0</v>
      </c>
      <c r="AG10" s="50">
        <f ca="1">+GETPIVOTDATA("XBT4",'binhtrung (2016)'!$A$3,"MA_HT","LUN","MA_QH","DYT")</f>
        <v>0</v>
      </c>
      <c r="AH10" s="50">
        <f ca="1">+GETPIVOTDATA("XBT4",'binhtrung (2016)'!$A$3,"MA_HT","LUN","MA_QH","DGD")</f>
        <v>0</v>
      </c>
      <c r="AI10" s="50">
        <f ca="1">+GETPIVOTDATA("XBT4",'binhtrung (2016)'!$A$3,"MA_HT","LUN","MA_QH","DTT")</f>
        <v>0</v>
      </c>
      <c r="AJ10" s="50">
        <f ca="1">+GETPIVOTDATA("XBT4",'binhtrung (2016)'!$A$3,"MA_HT","LUN","MA_QH","NCK")</f>
        <v>0</v>
      </c>
      <c r="AK10" s="50">
        <f ca="1">+GETPIVOTDATA("XBT4",'binhtrung (2016)'!$A$3,"MA_HT","LUN","MA_QH","DXH")</f>
        <v>0</v>
      </c>
      <c r="AL10" s="50">
        <f ca="1">+GETPIVOTDATA("XBT4",'binhtrung (2016)'!$A$3,"MA_HT","LUN","MA_QH","DCH")</f>
        <v>0</v>
      </c>
      <c r="AM10" s="50">
        <f ca="1">+GETPIVOTDATA("XBT4",'binhtrung (2016)'!$A$3,"MA_HT","LUN","MA_QH","DKG")</f>
        <v>0</v>
      </c>
      <c r="AN10" s="50">
        <f ca="1">+GETPIVOTDATA("XBT4",'binhtrung (2016)'!$A$3,"MA_HT","LUN","MA_QH","DDT")</f>
        <v>0</v>
      </c>
      <c r="AO10" s="50">
        <f ca="1">+GETPIVOTDATA("XBT4",'binhtrung (2016)'!$A$3,"MA_HT","LUN","MA_QH","DDL")</f>
        <v>0</v>
      </c>
      <c r="AP10" s="50">
        <f ca="1">+GETPIVOTDATA("XBT4",'binhtrung (2016)'!$A$3,"MA_HT","LUN","MA_QH","DRA")</f>
        <v>0</v>
      </c>
      <c r="AQ10" s="50">
        <f ca="1">+GETPIVOTDATA("XBT4",'binhtrung (2016)'!$A$3,"MA_HT","LUN","MA_QH","ONT")</f>
        <v>0</v>
      </c>
      <c r="AR10" s="50">
        <f ca="1">+GETPIVOTDATA("XBT4",'binhtrung (2016)'!$A$3,"MA_HT","LUN","MA_QH","ODT")</f>
        <v>0</v>
      </c>
      <c r="AS10" s="50">
        <f ca="1">+GETPIVOTDATA("XBT4",'binhtrung (2016)'!$A$3,"MA_HT","LUN","MA_QH","TSC")</f>
        <v>0</v>
      </c>
      <c r="AT10" s="50">
        <f ca="1">+GETPIVOTDATA("XBT4",'binhtrung (2016)'!$A$3,"MA_HT","LUN","MA_QH","DTS")</f>
        <v>0</v>
      </c>
      <c r="AU10" s="50">
        <f ca="1">+GETPIVOTDATA("XBT4",'binhtrung (2016)'!$A$3,"MA_HT","LUN","MA_QH","DNG")</f>
        <v>0</v>
      </c>
      <c r="AV10" s="50">
        <f ca="1">+GETPIVOTDATA("XBT4",'binhtrung (2016)'!$A$3,"MA_HT","LUN","MA_QH","TON")</f>
        <v>0</v>
      </c>
      <c r="AW10" s="50">
        <f ca="1">+GETPIVOTDATA("XBT4",'binhtrung (2016)'!$A$3,"MA_HT","LUN","MA_QH","NTD")</f>
        <v>0</v>
      </c>
      <c r="AX10" s="50">
        <f ca="1">+GETPIVOTDATA("XBT4",'binhtrung (2016)'!$A$3,"MA_HT","LUN","MA_QH","SKX")</f>
        <v>0</v>
      </c>
      <c r="AY10" s="50">
        <f ca="1">+GETPIVOTDATA("XBT4",'binhtrung (2016)'!$A$3,"MA_HT","LUN","MA_QH","DSH")</f>
        <v>0</v>
      </c>
      <c r="AZ10" s="50">
        <f ca="1">+GETPIVOTDATA("XBT4",'binhtrung (2016)'!$A$3,"MA_HT","LUN","MA_QH","DKV")</f>
        <v>0</v>
      </c>
      <c r="BA10" s="88">
        <f ca="1">+GETPIVOTDATA("XBT4",'binhtrung (2016)'!$A$3,"MA_HT","LUN","MA_QH","TIN")</f>
        <v>0</v>
      </c>
      <c r="BB10" s="50">
        <f ca="1">+GETPIVOTDATA("XBT4",'binhtrung (2016)'!$A$3,"MA_HT","LUN","MA_QH","SON")</f>
        <v>0</v>
      </c>
      <c r="BC10" s="50">
        <f ca="1">+GETPIVOTDATA("XBT4",'binhtrung (2016)'!$A$3,"MA_HT","LUN","MA_QH","MNC")</f>
        <v>0</v>
      </c>
      <c r="BD10" s="50">
        <f ca="1">+GETPIVOTDATA("XBT4",'binhtrung (2016)'!$A$3,"MA_HT","LUN","MA_QH","PNK")</f>
        <v>0</v>
      </c>
      <c r="BE10" s="80">
        <f ca="1">+GETPIVOTDATA("XBT4",'binhtrung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+GETPIVOTDATA("XBT4",'binhtrung (2016)'!$A$3,"MA_HT","HNK","MA_QH","LUC")</f>
        <v>0</v>
      </c>
      <c r="H11" s="22">
        <f ca="1">+GETPIVOTDATA("XBT4",'binhtrung (2016)'!$A$3,"MA_HT","HNK","MA_QH","LUK")</f>
        <v>0</v>
      </c>
      <c r="I11" s="22">
        <f ca="1">+GETPIVOTDATA("XBT4",'binhtrung (2016)'!$A$3,"MA_HT","HNK","MA_QH","LUN")</f>
        <v>0</v>
      </c>
      <c r="J11" s="43" t="e">
        <f ca="1">$D11-$BF11</f>
        <v>#REF!</v>
      </c>
      <c r="K11" s="22">
        <f ca="1">+GETPIVOTDATA("XBT4",'binhtrung (2016)'!$A$3,"MA_HT","HNK","MA_QH","CLN")</f>
        <v>0</v>
      </c>
      <c r="L11" s="22">
        <f ca="1">+GETPIVOTDATA("XBT4",'binhtrung (2016)'!$A$3,"MA_HT","HNK","MA_QH","RSX")</f>
        <v>0</v>
      </c>
      <c r="M11" s="22">
        <f ca="1">+GETPIVOTDATA("XBT4",'binhtrung (2016)'!$A$3,"MA_HT","HNK","MA_QH","RPH")</f>
        <v>0</v>
      </c>
      <c r="N11" s="22">
        <f ca="1">+GETPIVOTDATA("XBT4",'binhtrung (2016)'!$A$3,"MA_HT","HNK","MA_QH","RDD")</f>
        <v>0</v>
      </c>
      <c r="O11" s="22">
        <f ca="1">+GETPIVOTDATA("XBT4",'binhtrung (2016)'!$A$3,"MA_HT","HNK","MA_QH","NTS")</f>
        <v>0</v>
      </c>
      <c r="P11" s="22">
        <f ca="1">+GETPIVOTDATA("XBT4",'binhtrung (2016)'!$A$3,"MA_HT","HNK","MA_QH","LMU")</f>
        <v>0</v>
      </c>
      <c r="Q11" s="22">
        <f ca="1">+GETPIVOTDATA("XBT4",'binhtrung (2016)'!$A$3,"MA_HT","HNK","MA_QH","NKH")</f>
        <v>0</v>
      </c>
      <c r="R11" s="42">
        <f ca="1" t="shared" si="2"/>
        <v>0</v>
      </c>
      <c r="S11" s="22">
        <f ca="1">+GETPIVOTDATA("XBT4",'binhtrung (2016)'!$A$3,"MA_HT","HNK","MA_QH","CQP")</f>
        <v>0</v>
      </c>
      <c r="T11" s="22">
        <f ca="1">+GETPIVOTDATA("XBT4",'binhtrung (2016)'!$A$3,"MA_HT","HNK","MA_QH","CAN")</f>
        <v>0</v>
      </c>
      <c r="U11" s="22">
        <f ca="1">+GETPIVOTDATA("XBT4",'binhtrung (2016)'!$A$3,"MA_HT","HNK","MA_QH","SKK")</f>
        <v>0</v>
      </c>
      <c r="V11" s="22">
        <f ca="1">+GETPIVOTDATA("XBT4",'binhtrung (2016)'!$A$3,"MA_HT","HNK","MA_QH","SKT")</f>
        <v>0</v>
      </c>
      <c r="W11" s="22">
        <f ca="1">+GETPIVOTDATA("XBT4",'binhtrung (2016)'!$A$3,"MA_HT","HNK","MA_QH","SKN")</f>
        <v>0</v>
      </c>
      <c r="X11" s="22">
        <f ca="1">+GETPIVOTDATA("XBT4",'binhtrung (2016)'!$A$3,"MA_HT","HNK","MA_QH","TMD")</f>
        <v>0</v>
      </c>
      <c r="Y11" s="22">
        <f ca="1">+GETPIVOTDATA("XBT4",'binhtrung (2016)'!$A$3,"MA_HT","HNK","MA_QH","SKC")</f>
        <v>0</v>
      </c>
      <c r="Z11" s="22">
        <f ca="1">+GETPIVOTDATA("XBT4",'binhtrung (2016)'!$A$3,"MA_HT","HNK","MA_QH","SKS")</f>
        <v>0</v>
      </c>
      <c r="AA11" s="52">
        <f ca="1" t="shared" si="4"/>
        <v>0</v>
      </c>
      <c r="AB11" s="22">
        <f ca="1">+GETPIVOTDATA("XBT4",'binhtrung (2016)'!$A$3,"MA_HT","HNK","MA_QH","DGT")</f>
        <v>0</v>
      </c>
      <c r="AC11" s="22">
        <f ca="1">+GETPIVOTDATA("XBT4",'binhtrung (2016)'!$A$3,"MA_HT","HNK","MA_QH","DTL")</f>
        <v>0</v>
      </c>
      <c r="AD11" s="22">
        <f ca="1">+GETPIVOTDATA("XBT4",'binhtrung (2016)'!$A$3,"MA_HT","HNK","MA_QH","DNL")</f>
        <v>0</v>
      </c>
      <c r="AE11" s="22">
        <f ca="1">+GETPIVOTDATA("XBT4",'binhtrung (2016)'!$A$3,"MA_HT","HNK","MA_QH","DBV")</f>
        <v>0</v>
      </c>
      <c r="AF11" s="22">
        <f ca="1">+GETPIVOTDATA("XBT4",'binhtrung (2016)'!$A$3,"MA_HT","HNK","MA_QH","DVH")</f>
        <v>0</v>
      </c>
      <c r="AG11" s="22">
        <f ca="1">+GETPIVOTDATA("XBT4",'binhtrung (2016)'!$A$3,"MA_HT","HNK","MA_QH","DYT")</f>
        <v>0</v>
      </c>
      <c r="AH11" s="22">
        <f ca="1">+GETPIVOTDATA("XBT4",'binhtrung (2016)'!$A$3,"MA_HT","HNK","MA_QH","DGD")</f>
        <v>0</v>
      </c>
      <c r="AI11" s="22">
        <f ca="1">+GETPIVOTDATA("XBT4",'binhtrung (2016)'!$A$3,"MA_HT","HNK","MA_QH","DTT")</f>
        <v>0</v>
      </c>
      <c r="AJ11" s="22">
        <f ca="1">+GETPIVOTDATA("XBT4",'binhtrung (2016)'!$A$3,"MA_HT","HNK","MA_QH","NCK")</f>
        <v>0</v>
      </c>
      <c r="AK11" s="22">
        <f ca="1">+GETPIVOTDATA("XBT4",'binhtrung (2016)'!$A$3,"MA_HT","HNK","MA_QH","DXH")</f>
        <v>0</v>
      </c>
      <c r="AL11" s="22">
        <f ca="1">+GETPIVOTDATA("XBT4",'binhtrung (2016)'!$A$3,"MA_HT","HNK","MA_QH","DCH")</f>
        <v>0</v>
      </c>
      <c r="AM11" s="22">
        <f ca="1">+GETPIVOTDATA("XBT4",'binhtrung (2016)'!$A$3,"MA_HT","HNK","MA_QH","DKG")</f>
        <v>0</v>
      </c>
      <c r="AN11" s="22">
        <f ca="1">+GETPIVOTDATA("XBT4",'binhtrung (2016)'!$A$3,"MA_HT","HNK","MA_QH","DDT")</f>
        <v>0</v>
      </c>
      <c r="AO11" s="22">
        <f ca="1">+GETPIVOTDATA("XBT4",'binhtrung (2016)'!$A$3,"MA_HT","HNK","MA_QH","DDL")</f>
        <v>0</v>
      </c>
      <c r="AP11" s="22">
        <f ca="1">+GETPIVOTDATA("XBT4",'binhtrung (2016)'!$A$3,"MA_HT","HNK","MA_QH","DRA")</f>
        <v>0</v>
      </c>
      <c r="AQ11" s="22">
        <f ca="1">+GETPIVOTDATA("XBT4",'binhtrung (2016)'!$A$3,"MA_HT","HNK","MA_QH","ONT")</f>
        <v>0</v>
      </c>
      <c r="AR11" s="22">
        <f ca="1">+GETPIVOTDATA("XBT4",'binhtrung (2016)'!$A$3,"MA_HT","HNK","MA_QH","ODT")</f>
        <v>0</v>
      </c>
      <c r="AS11" s="22">
        <f ca="1">+GETPIVOTDATA("XBT4",'binhtrung (2016)'!$A$3,"MA_HT","HNK","MA_QH","TSC")</f>
        <v>0</v>
      </c>
      <c r="AT11" s="22">
        <f ca="1">+GETPIVOTDATA("XBT4",'binhtrung (2016)'!$A$3,"MA_HT","HNK","MA_QH","DTS")</f>
        <v>0</v>
      </c>
      <c r="AU11" s="22">
        <f ca="1">+GETPIVOTDATA("XBT4",'binhtrung (2016)'!$A$3,"MA_HT","HNK","MA_QH","DNG")</f>
        <v>0</v>
      </c>
      <c r="AV11" s="22">
        <f ca="1">+GETPIVOTDATA("XBT4",'binhtrung (2016)'!$A$3,"MA_HT","HNK","MA_QH","TON")</f>
        <v>0</v>
      </c>
      <c r="AW11" s="22">
        <f ca="1">+GETPIVOTDATA("XBT4",'binhtrung (2016)'!$A$3,"MA_HT","HNK","MA_QH","NTD")</f>
        <v>0</v>
      </c>
      <c r="AX11" s="22">
        <f ca="1">+GETPIVOTDATA("XBT4",'binhtrung (2016)'!$A$3,"MA_HT","HNK","MA_QH","SKX")</f>
        <v>0</v>
      </c>
      <c r="AY11" s="22">
        <f ca="1">+GETPIVOTDATA("XBT4",'binhtrung (2016)'!$A$3,"MA_HT","HNK","MA_QH","DSH")</f>
        <v>0</v>
      </c>
      <c r="AZ11" s="22">
        <f ca="1">+GETPIVOTDATA("XBT4",'binhtrung (2016)'!$A$3,"MA_HT","HNK","MA_QH","DKV")</f>
        <v>0</v>
      </c>
      <c r="BA11" s="89">
        <f ca="1">+GETPIVOTDATA("XBT4",'binhtrung (2016)'!$A$3,"MA_HT","HNK","MA_QH","TIN")</f>
        <v>0</v>
      </c>
      <c r="BB11" s="50">
        <f ca="1">+GETPIVOTDATA("XBT4",'binhtrung (2016)'!$A$3,"MA_HT","HNK","MA_QH","SON")</f>
        <v>0</v>
      </c>
      <c r="BC11" s="50">
        <f ca="1">+GETPIVOTDATA("XBT4",'binhtrung (2016)'!$A$3,"MA_HT","HNK","MA_QH","MNC")</f>
        <v>0</v>
      </c>
      <c r="BD11" s="22">
        <f ca="1">+GETPIVOTDATA("XBT4",'binhtrung (2016)'!$A$3,"MA_HT","HNK","MA_QH","PNK")</f>
        <v>0</v>
      </c>
      <c r="BE11" s="71">
        <f ca="1">+GETPIVOTDATA("XBT4",'binhtrung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+GETPIVOTDATA("XBT4",'binhtrung (2016)'!$A$3,"MA_HT","CLN","MA_QH","LUC")</f>
        <v>0</v>
      </c>
      <c r="H12" s="22">
        <f ca="1">+GETPIVOTDATA("XBT4",'binhtrung (2016)'!$A$3,"MA_HT","CLN","MA_QH","LUK")</f>
        <v>0</v>
      </c>
      <c r="I12" s="22">
        <f ca="1">+GETPIVOTDATA("XBT4",'binhtrung (2016)'!$A$3,"MA_HT","CLN","MA_QH","LUN")</f>
        <v>0</v>
      </c>
      <c r="J12" s="22">
        <f ca="1">+GETPIVOTDATA("XBT4",'binhtrung (2016)'!$A$3,"MA_HT","CLN","MA_QH","HNK")</f>
        <v>0</v>
      </c>
      <c r="K12" s="43" t="e">
        <f ca="1">$D12-$BF12</f>
        <v>#REF!</v>
      </c>
      <c r="L12" s="22">
        <f ca="1">+GETPIVOTDATA("XBT4",'binhtrung (2016)'!$A$3,"MA_HT","CLN","MA_QH","RSX")</f>
        <v>0</v>
      </c>
      <c r="M12" s="22">
        <f ca="1">+GETPIVOTDATA("XBT4",'binhtrung (2016)'!$A$3,"MA_HT","CLN","MA_QH","RPH")</f>
        <v>0</v>
      </c>
      <c r="N12" s="22">
        <f ca="1">+GETPIVOTDATA("XBT4",'binhtrung (2016)'!$A$3,"MA_HT","CLN","MA_QH","RDD")</f>
        <v>0</v>
      </c>
      <c r="O12" s="22">
        <f ca="1">+GETPIVOTDATA("XBT4",'binhtrung (2016)'!$A$3,"MA_HT","CLN","MA_QH","NTS")</f>
        <v>0</v>
      </c>
      <c r="P12" s="22">
        <f ca="1">+GETPIVOTDATA("XBT4",'binhtrung (2016)'!$A$3,"MA_HT","CLN","MA_QH","LMU")</f>
        <v>0</v>
      </c>
      <c r="Q12" s="22">
        <f ca="1">+GETPIVOTDATA("XBT4",'binhtrung (2016)'!$A$3,"MA_HT","CLN","MA_QH","NKH")</f>
        <v>0</v>
      </c>
      <c r="R12" s="42">
        <f ca="1" t="shared" si="2"/>
        <v>0</v>
      </c>
      <c r="S12" s="22">
        <f ca="1">+GETPIVOTDATA("XBT4",'binhtrung (2016)'!$A$3,"MA_HT","CLN","MA_QH","CQP")</f>
        <v>0</v>
      </c>
      <c r="T12" s="22">
        <f ca="1">+GETPIVOTDATA("XBT4",'binhtrung (2016)'!$A$3,"MA_HT","CLN","MA_QH","CAN")</f>
        <v>0</v>
      </c>
      <c r="U12" s="22">
        <f ca="1">+GETPIVOTDATA("XBT4",'binhtrung (2016)'!$A$3,"MA_HT","CLN","MA_QH","SKK")</f>
        <v>0</v>
      </c>
      <c r="V12" s="22">
        <f ca="1">+GETPIVOTDATA("XBT4",'binhtrung (2016)'!$A$3,"MA_HT","CLN","MA_QH","SKT")</f>
        <v>0</v>
      </c>
      <c r="W12" s="22">
        <f ca="1">+GETPIVOTDATA("XBT4",'binhtrung (2016)'!$A$3,"MA_HT","CLN","MA_QH","SKN")</f>
        <v>0</v>
      </c>
      <c r="X12" s="22">
        <f ca="1">+GETPIVOTDATA("XBT4",'binhtrung (2016)'!$A$3,"MA_HT","CLN","MA_QH","TMD")</f>
        <v>0</v>
      </c>
      <c r="Y12" s="22">
        <f ca="1">+GETPIVOTDATA("XBT4",'binhtrung (2016)'!$A$3,"MA_HT","CLN","MA_QH","SKC")</f>
        <v>0</v>
      </c>
      <c r="Z12" s="22">
        <f ca="1">+GETPIVOTDATA("XBT4",'binhtrung (2016)'!$A$3,"MA_HT","CLN","MA_QH","SKS")</f>
        <v>0</v>
      </c>
      <c r="AA12" s="52">
        <f ca="1" t="shared" si="4"/>
        <v>0</v>
      </c>
      <c r="AB12" s="22">
        <f ca="1">+GETPIVOTDATA("XBT4",'binhtrung (2016)'!$A$3,"MA_HT","CLN","MA_QH","DGT")</f>
        <v>0</v>
      </c>
      <c r="AC12" s="22">
        <f ca="1">+GETPIVOTDATA("XBT4",'binhtrung (2016)'!$A$3,"MA_HT","CLN","MA_QH","DTL")</f>
        <v>0</v>
      </c>
      <c r="AD12" s="22">
        <f ca="1">+GETPIVOTDATA("XBT4",'binhtrung (2016)'!$A$3,"MA_HT","CLN","MA_QH","DNL")</f>
        <v>0</v>
      </c>
      <c r="AE12" s="22">
        <f ca="1">+GETPIVOTDATA("XBT4",'binhtrung (2016)'!$A$3,"MA_HT","CLN","MA_QH","DBV")</f>
        <v>0</v>
      </c>
      <c r="AF12" s="22">
        <f ca="1">+GETPIVOTDATA("XBT4",'binhtrung (2016)'!$A$3,"MA_HT","CLN","MA_QH","DVH")</f>
        <v>0</v>
      </c>
      <c r="AG12" s="22">
        <f ca="1">+GETPIVOTDATA("XBT4",'binhtrung (2016)'!$A$3,"MA_HT","CLN","MA_QH","DYT")</f>
        <v>0</v>
      </c>
      <c r="AH12" s="22">
        <f ca="1">+GETPIVOTDATA("XBT4",'binhtrung (2016)'!$A$3,"MA_HT","CLN","MA_QH","DGD")</f>
        <v>0</v>
      </c>
      <c r="AI12" s="22">
        <f ca="1">+GETPIVOTDATA("XBT4",'binhtrung (2016)'!$A$3,"MA_HT","CLN","MA_QH","DTT")</f>
        <v>0</v>
      </c>
      <c r="AJ12" s="22">
        <f ca="1">+GETPIVOTDATA("XBT4",'binhtrung (2016)'!$A$3,"MA_HT","CLN","MA_QH","NCK")</f>
        <v>0</v>
      </c>
      <c r="AK12" s="22">
        <f ca="1">+GETPIVOTDATA("XBT4",'binhtrung (2016)'!$A$3,"MA_HT","CLN","MA_QH","DXH")</f>
        <v>0</v>
      </c>
      <c r="AL12" s="22">
        <f ca="1">+GETPIVOTDATA("XBT4",'binhtrung (2016)'!$A$3,"MA_HT","CLN","MA_QH","DCH")</f>
        <v>0</v>
      </c>
      <c r="AM12" s="22">
        <f ca="1">+GETPIVOTDATA("XBT4",'binhtrung (2016)'!$A$3,"MA_HT","CLN","MA_QH","DKG")</f>
        <v>0</v>
      </c>
      <c r="AN12" s="22">
        <f ca="1">+GETPIVOTDATA("XBT4",'binhtrung (2016)'!$A$3,"MA_HT","CLN","MA_QH","DDT")</f>
        <v>0</v>
      </c>
      <c r="AO12" s="22">
        <f ca="1">+GETPIVOTDATA("XBT4",'binhtrung (2016)'!$A$3,"MA_HT","CLN","MA_QH","DDL")</f>
        <v>0</v>
      </c>
      <c r="AP12" s="22">
        <f ca="1">+GETPIVOTDATA("XBT4",'binhtrung (2016)'!$A$3,"MA_HT","CLN","MA_QH","DRA")</f>
        <v>0</v>
      </c>
      <c r="AQ12" s="22">
        <f ca="1">+GETPIVOTDATA("XBT4",'binhtrung (2016)'!$A$3,"MA_HT","CLN","MA_QH","ONT")</f>
        <v>0</v>
      </c>
      <c r="AR12" s="22">
        <f ca="1">+GETPIVOTDATA("XBT4",'binhtrung (2016)'!$A$3,"MA_HT","CLN","MA_QH","ODT")</f>
        <v>0</v>
      </c>
      <c r="AS12" s="22">
        <f ca="1">+GETPIVOTDATA("XBT4",'binhtrung (2016)'!$A$3,"MA_HT","CLN","MA_QH","TSC")</f>
        <v>0</v>
      </c>
      <c r="AT12" s="22">
        <f ca="1">+GETPIVOTDATA("XBT4",'binhtrung (2016)'!$A$3,"MA_HT","CLN","MA_QH","DTS")</f>
        <v>0</v>
      </c>
      <c r="AU12" s="22">
        <f ca="1">+GETPIVOTDATA("XBT4",'binhtrung (2016)'!$A$3,"MA_HT","CLN","MA_QH","DNG")</f>
        <v>0</v>
      </c>
      <c r="AV12" s="22">
        <f ca="1">+GETPIVOTDATA("XBT4",'binhtrung (2016)'!$A$3,"MA_HT","CLN","MA_QH","TON")</f>
        <v>0</v>
      </c>
      <c r="AW12" s="22">
        <f ca="1">+GETPIVOTDATA("XBT4",'binhtrung (2016)'!$A$3,"MA_HT","CLN","MA_QH","NTD")</f>
        <v>0</v>
      </c>
      <c r="AX12" s="22">
        <f ca="1">+GETPIVOTDATA("XBT4",'binhtrung (2016)'!$A$3,"MA_HT","CLN","MA_QH","SKX")</f>
        <v>0</v>
      </c>
      <c r="AY12" s="22">
        <f ca="1">+GETPIVOTDATA("XBT4",'binhtrung (2016)'!$A$3,"MA_HT","CLN","MA_QH","DSH")</f>
        <v>0</v>
      </c>
      <c r="AZ12" s="22">
        <f ca="1">+GETPIVOTDATA("XBT4",'binhtrung (2016)'!$A$3,"MA_HT","CLN","MA_QH","DKV")</f>
        <v>0</v>
      </c>
      <c r="BA12" s="89">
        <f ca="1">+GETPIVOTDATA("XBT4",'binhtrung (2016)'!$A$3,"MA_HT","CLN","MA_QH","TIN")</f>
        <v>0</v>
      </c>
      <c r="BB12" s="50">
        <f ca="1">+GETPIVOTDATA("XBT4",'binhtrung (2016)'!$A$3,"MA_HT","CLN","MA_QH","SON")</f>
        <v>0</v>
      </c>
      <c r="BC12" s="50">
        <f ca="1">+GETPIVOTDATA("XBT4",'binhtrung (2016)'!$A$3,"MA_HT","CLN","MA_QH","MNC")</f>
        <v>0</v>
      </c>
      <c r="BD12" s="22">
        <f ca="1">+GETPIVOTDATA("XBT4",'binhtrung (2016)'!$A$3,"MA_HT","CLN","MA_QH","PNK")</f>
        <v>0</v>
      </c>
      <c r="BE12" s="71">
        <f ca="1">+GETPIVOTDATA("XBT4",'binhtrung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+GETPIVOTDATA("XBT4",'binhtrung (2016)'!$A$3,"MA_HT","RSX","MA_QH","LUC")</f>
        <v>0</v>
      </c>
      <c r="H13" s="22">
        <f ca="1">+GETPIVOTDATA("XBT4",'binhtrung (2016)'!$A$3,"MA_HT","RSX","MA_QH","LUK")</f>
        <v>0</v>
      </c>
      <c r="I13" s="22">
        <f ca="1">+GETPIVOTDATA("XBT4",'binhtrung (2016)'!$A$3,"MA_HT","RSX","MA_QH","LUN")</f>
        <v>0</v>
      </c>
      <c r="J13" s="22">
        <f ca="1">+GETPIVOTDATA("XBT4",'binhtrung (2016)'!$A$3,"MA_HT","RSX","MA_QH","HNK")</f>
        <v>0</v>
      </c>
      <c r="K13" s="22">
        <f ca="1">+GETPIVOTDATA("XBT4",'binhtrung (2016)'!$A$3,"MA_HT","RSX","MA_QH","CLN")</f>
        <v>0</v>
      </c>
      <c r="L13" s="43" t="e">
        <f ca="1">$D13-$BF13</f>
        <v>#REF!</v>
      </c>
      <c r="M13" s="22">
        <f ca="1">+GETPIVOTDATA("XBT4",'binhtrung (2016)'!$A$3,"MA_HT","RSX","MA_QH","RPH")</f>
        <v>0</v>
      </c>
      <c r="N13" s="22">
        <f ca="1">+GETPIVOTDATA("XBT4",'binhtrung (2016)'!$A$3,"MA_HT","RSX","MA_QH","RDD")</f>
        <v>0</v>
      </c>
      <c r="O13" s="22">
        <f ca="1">+GETPIVOTDATA("XBT4",'binhtrung (2016)'!$A$3,"MA_HT","RSX","MA_QH","NTS")</f>
        <v>0</v>
      </c>
      <c r="P13" s="22">
        <f ca="1">+GETPIVOTDATA("XBT4",'binhtrung (2016)'!$A$3,"MA_HT","RSX","MA_QH","LMU")</f>
        <v>0</v>
      </c>
      <c r="Q13" s="22">
        <f ca="1">+GETPIVOTDATA("XBT4",'binhtrung (2016)'!$A$3,"MA_HT","RSX","MA_QH","NKH")</f>
        <v>0</v>
      </c>
      <c r="R13" s="42">
        <f ca="1" t="shared" si="2"/>
        <v>0</v>
      </c>
      <c r="S13" s="22">
        <f ca="1">+GETPIVOTDATA("XBT4",'binhtrung (2016)'!$A$3,"MA_HT","RSX","MA_QH","CQP")</f>
        <v>0</v>
      </c>
      <c r="T13" s="22">
        <f ca="1">+GETPIVOTDATA("XBT4",'binhtrung (2016)'!$A$3,"MA_HT","RSX","MA_QH","CAN")</f>
        <v>0</v>
      </c>
      <c r="U13" s="22">
        <f ca="1">+GETPIVOTDATA("XBT4",'binhtrung (2016)'!$A$3,"MA_HT","RSX","MA_QH","SKK")</f>
        <v>0</v>
      </c>
      <c r="V13" s="22">
        <f ca="1">+GETPIVOTDATA("XBT4",'binhtrung (2016)'!$A$3,"MA_HT","RSX","MA_QH","SKT")</f>
        <v>0</v>
      </c>
      <c r="W13" s="22">
        <f ca="1">+GETPIVOTDATA("XBT4",'binhtrung (2016)'!$A$3,"MA_HT","RSX","MA_QH","SKN")</f>
        <v>0</v>
      </c>
      <c r="X13" s="22">
        <f ca="1">+GETPIVOTDATA("XBT4",'binhtrung (2016)'!$A$3,"MA_HT","RSX","MA_QH","TMD")</f>
        <v>0</v>
      </c>
      <c r="Y13" s="22">
        <f ca="1">+GETPIVOTDATA("XBT4",'binhtrung (2016)'!$A$3,"MA_HT","RSX","MA_QH","SKC")</f>
        <v>0</v>
      </c>
      <c r="Z13" s="22">
        <f ca="1">+GETPIVOTDATA("XBT4",'binhtrung (2016)'!$A$3,"MA_HT","RSX","MA_QH","SKS")</f>
        <v>0</v>
      </c>
      <c r="AA13" s="52">
        <f ca="1" t="shared" si="4"/>
        <v>0</v>
      </c>
      <c r="AB13" s="22">
        <f ca="1">+GETPIVOTDATA("XBT4",'binhtrung (2016)'!$A$3,"MA_HT","RSX","MA_QH","DGT")</f>
        <v>0</v>
      </c>
      <c r="AC13" s="22">
        <f ca="1">+GETPIVOTDATA("XBT4",'binhtrung (2016)'!$A$3,"MA_HT","RSX","MA_QH","DTL")</f>
        <v>0</v>
      </c>
      <c r="AD13" s="22">
        <f ca="1">+GETPIVOTDATA("XBT4",'binhtrung (2016)'!$A$3,"MA_HT","RSX","MA_QH","DNL")</f>
        <v>0</v>
      </c>
      <c r="AE13" s="22">
        <f ca="1">+GETPIVOTDATA("XBT4",'binhtrung (2016)'!$A$3,"MA_HT","RSX","MA_QH","DBV")</f>
        <v>0</v>
      </c>
      <c r="AF13" s="22">
        <f ca="1">+GETPIVOTDATA("XBT4",'binhtrung (2016)'!$A$3,"MA_HT","RSX","MA_QH","DVH")</f>
        <v>0</v>
      </c>
      <c r="AG13" s="22">
        <f ca="1">+GETPIVOTDATA("XBT4",'binhtrung (2016)'!$A$3,"MA_HT","RSX","MA_QH","DYT")</f>
        <v>0</v>
      </c>
      <c r="AH13" s="22">
        <f ca="1">+GETPIVOTDATA("XBT4",'binhtrung (2016)'!$A$3,"MA_HT","RSX","MA_QH","DGD")</f>
        <v>0</v>
      </c>
      <c r="AI13" s="22">
        <f ca="1">+GETPIVOTDATA("XBT4",'binhtrung (2016)'!$A$3,"MA_HT","RSX","MA_QH","DTT")</f>
        <v>0</v>
      </c>
      <c r="AJ13" s="22">
        <f ca="1">+GETPIVOTDATA("XBT4",'binhtrung (2016)'!$A$3,"MA_HT","RSX","MA_QH","NCK")</f>
        <v>0</v>
      </c>
      <c r="AK13" s="22">
        <f ca="1">+GETPIVOTDATA("XBT4",'binhtrung (2016)'!$A$3,"MA_HT","RSX","MA_QH","DXH")</f>
        <v>0</v>
      </c>
      <c r="AL13" s="22">
        <f ca="1">+GETPIVOTDATA("XBT4",'binhtrung (2016)'!$A$3,"MA_HT","RSX","MA_QH","DCH")</f>
        <v>0</v>
      </c>
      <c r="AM13" s="22">
        <f ca="1">+GETPIVOTDATA("XBT4",'binhtrung (2016)'!$A$3,"MA_HT","RSX","MA_QH","DKG")</f>
        <v>0</v>
      </c>
      <c r="AN13" s="22">
        <f ca="1">+GETPIVOTDATA("XBT4",'binhtrung (2016)'!$A$3,"MA_HT","RSX","MA_QH","DDT")</f>
        <v>0</v>
      </c>
      <c r="AO13" s="22">
        <f ca="1">+GETPIVOTDATA("XBT4",'binhtrung (2016)'!$A$3,"MA_HT","RSX","MA_QH","DDL")</f>
        <v>0</v>
      </c>
      <c r="AP13" s="22">
        <f ca="1">+GETPIVOTDATA("XBT4",'binhtrung (2016)'!$A$3,"MA_HT","RSX","MA_QH","DRA")</f>
        <v>0</v>
      </c>
      <c r="AQ13" s="22">
        <f ca="1">+GETPIVOTDATA("XBT4",'binhtrung (2016)'!$A$3,"MA_HT","RSX","MA_QH","ONT")</f>
        <v>0</v>
      </c>
      <c r="AR13" s="22">
        <f ca="1">+GETPIVOTDATA("XBT4",'binhtrung (2016)'!$A$3,"MA_HT","RSX","MA_QH","ODT")</f>
        <v>0</v>
      </c>
      <c r="AS13" s="22">
        <f ca="1">+GETPIVOTDATA("XBT4",'binhtrung (2016)'!$A$3,"MA_HT","RSX","MA_QH","TSC")</f>
        <v>0</v>
      </c>
      <c r="AT13" s="22">
        <f ca="1">+GETPIVOTDATA("XBT4",'binhtrung (2016)'!$A$3,"MA_HT","RSX","MA_QH","DTS")</f>
        <v>0</v>
      </c>
      <c r="AU13" s="22">
        <f ca="1">+GETPIVOTDATA("XBT4",'binhtrung (2016)'!$A$3,"MA_HT","RSX","MA_QH","DNG")</f>
        <v>0</v>
      </c>
      <c r="AV13" s="22">
        <f ca="1">+GETPIVOTDATA("XBT4",'binhtrung (2016)'!$A$3,"MA_HT","RSX","MA_QH","TON")</f>
        <v>0</v>
      </c>
      <c r="AW13" s="22">
        <f ca="1">+GETPIVOTDATA("XBT4",'binhtrung (2016)'!$A$3,"MA_HT","RSX","MA_QH","NTD")</f>
        <v>0</v>
      </c>
      <c r="AX13" s="22">
        <f ca="1">+GETPIVOTDATA("XBT4",'binhtrung (2016)'!$A$3,"MA_HT","RSX","MA_QH","SKX")</f>
        <v>0</v>
      </c>
      <c r="AY13" s="22">
        <f ca="1">+GETPIVOTDATA("XBT4",'binhtrung (2016)'!$A$3,"MA_HT","RSX","MA_QH","DSH")</f>
        <v>0</v>
      </c>
      <c r="AZ13" s="22">
        <f ca="1">+GETPIVOTDATA("XBT4",'binhtrung (2016)'!$A$3,"MA_HT","RSX","MA_QH","DKV")</f>
        <v>0</v>
      </c>
      <c r="BA13" s="89">
        <f ca="1">+GETPIVOTDATA("XBT4",'binhtrung (2016)'!$A$3,"MA_HT","RSX","MA_QH","TIN")</f>
        <v>0</v>
      </c>
      <c r="BB13" s="50">
        <f ca="1">+GETPIVOTDATA("XBT4",'binhtrung (2016)'!$A$3,"MA_HT","RSX","MA_QH","SON")</f>
        <v>0</v>
      </c>
      <c r="BC13" s="50">
        <f ca="1">+GETPIVOTDATA("XBT4",'binhtrung (2016)'!$A$3,"MA_HT","RSX","MA_QH","MNC")</f>
        <v>0</v>
      </c>
      <c r="BD13" s="22">
        <f ca="1">+GETPIVOTDATA("XBT4",'binhtrung (2016)'!$A$3,"MA_HT","RSX","MA_QH","PNK")</f>
        <v>0</v>
      </c>
      <c r="BE13" s="71">
        <f ca="1">+GETPIVOTDATA("XBT4",'binhtrung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+GETPIVOTDATA("XBT4",'binhtrung (2016)'!$A$3,"MA_HT","RPH","MA_QH","LUC")</f>
        <v>0</v>
      </c>
      <c r="H14" s="22">
        <f ca="1">+GETPIVOTDATA("XBT4",'binhtrung (2016)'!$A$3,"MA_HT","RPH","MA_QH","LUK")</f>
        <v>0</v>
      </c>
      <c r="I14" s="22">
        <f ca="1">+GETPIVOTDATA("XBT4",'binhtrung (2016)'!$A$3,"MA_HT","RPH","MA_QH","LUN")</f>
        <v>0</v>
      </c>
      <c r="J14" s="22">
        <f ca="1">+GETPIVOTDATA("XBT4",'binhtrung (2016)'!$A$3,"MA_HT","RPH","MA_QH","HNK")</f>
        <v>0</v>
      </c>
      <c r="K14" s="22">
        <f ca="1">+GETPIVOTDATA("XBT4",'binhtrung (2016)'!$A$3,"MA_HT","RPH","MA_QH","CLN")</f>
        <v>0</v>
      </c>
      <c r="L14" s="22">
        <f ca="1">+GETPIVOTDATA("XBT4",'binhtrung (2016)'!$A$3,"MA_HT","RPH","MA_QH","RSX")</f>
        <v>0</v>
      </c>
      <c r="M14" s="43" t="e">
        <f ca="1">$D14-$BF14</f>
        <v>#REF!</v>
      </c>
      <c r="N14" s="22">
        <f ca="1">+GETPIVOTDATA("XBT4",'binhtrung (2016)'!$A$3,"MA_HT","RPH","MA_QH","RDD")</f>
        <v>0</v>
      </c>
      <c r="O14" s="22">
        <f ca="1">+GETPIVOTDATA("XBT4",'binhtrung (2016)'!$A$3,"MA_HT","RPH","MA_QH","NTS")</f>
        <v>0</v>
      </c>
      <c r="P14" s="22">
        <f ca="1">+GETPIVOTDATA("XBT4",'binhtrung (2016)'!$A$3,"MA_HT","RPH","MA_QH","LMU")</f>
        <v>0</v>
      </c>
      <c r="Q14" s="22">
        <f ca="1">+GETPIVOTDATA("XBT4",'binhtrung (2016)'!$A$3,"MA_HT","RPH","MA_QH","NKH")</f>
        <v>0</v>
      </c>
      <c r="R14" s="42">
        <f ca="1" t="shared" si="2"/>
        <v>0</v>
      </c>
      <c r="S14" s="22">
        <f ca="1">+GETPIVOTDATA("XBT4",'binhtrung (2016)'!$A$3,"MA_HT","RPH","MA_QH","CQP")</f>
        <v>0</v>
      </c>
      <c r="T14" s="22">
        <f ca="1">+GETPIVOTDATA("XBT4",'binhtrung (2016)'!$A$3,"MA_HT","RPH","MA_QH","CAN")</f>
        <v>0</v>
      </c>
      <c r="U14" s="22">
        <f ca="1">+GETPIVOTDATA("XBT4",'binhtrung (2016)'!$A$3,"MA_HT","RPH","MA_QH","SKK")</f>
        <v>0</v>
      </c>
      <c r="V14" s="22">
        <f ca="1">+GETPIVOTDATA("XBT4",'binhtrung (2016)'!$A$3,"MA_HT","RPH","MA_QH","SKT")</f>
        <v>0</v>
      </c>
      <c r="W14" s="22">
        <f ca="1">+GETPIVOTDATA("XBT4",'binhtrung (2016)'!$A$3,"MA_HT","RPH","MA_QH","SKN")</f>
        <v>0</v>
      </c>
      <c r="X14" s="22">
        <f ca="1">+GETPIVOTDATA("XBT4",'binhtrung (2016)'!$A$3,"MA_HT","RPH","MA_QH","TMD")</f>
        <v>0</v>
      </c>
      <c r="Y14" s="22">
        <f ca="1">+GETPIVOTDATA("XBT4",'binhtrung (2016)'!$A$3,"MA_HT","RPH","MA_QH","SKC")</f>
        <v>0</v>
      </c>
      <c r="Z14" s="22">
        <f ca="1">+GETPIVOTDATA("XBT4",'binhtrung (2016)'!$A$3,"MA_HT","RPH","MA_QH","SKS")</f>
        <v>0</v>
      </c>
      <c r="AA14" s="52">
        <f ca="1" t="shared" si="4"/>
        <v>0</v>
      </c>
      <c r="AB14" s="22">
        <f ca="1">+GETPIVOTDATA("XBT4",'binhtrung (2016)'!$A$3,"MA_HT","RPH","MA_QH","DGT")</f>
        <v>0</v>
      </c>
      <c r="AC14" s="22">
        <f ca="1">+GETPIVOTDATA("XBT4",'binhtrung (2016)'!$A$3,"MA_HT","RPH","MA_QH","DTL")</f>
        <v>0</v>
      </c>
      <c r="AD14" s="22">
        <f ca="1">+GETPIVOTDATA("XBT4",'binhtrung (2016)'!$A$3,"MA_HT","RPH","MA_QH","DNL")</f>
        <v>0</v>
      </c>
      <c r="AE14" s="22">
        <f ca="1">+GETPIVOTDATA("XBT4",'binhtrung (2016)'!$A$3,"MA_HT","RPH","MA_QH","DBV")</f>
        <v>0</v>
      </c>
      <c r="AF14" s="22">
        <f ca="1">+GETPIVOTDATA("XBT4",'binhtrung (2016)'!$A$3,"MA_HT","RPH","MA_QH","DVH")</f>
        <v>0</v>
      </c>
      <c r="AG14" s="22">
        <f ca="1">+GETPIVOTDATA("XBT4",'binhtrung (2016)'!$A$3,"MA_HT","RPH","MA_QH","DYT")</f>
        <v>0</v>
      </c>
      <c r="AH14" s="22">
        <f ca="1">+GETPIVOTDATA("XBT4",'binhtrung (2016)'!$A$3,"MA_HT","RPH","MA_QH","DGD")</f>
        <v>0</v>
      </c>
      <c r="AI14" s="22">
        <f ca="1">+GETPIVOTDATA("XBT4",'binhtrung (2016)'!$A$3,"MA_HT","RPH","MA_QH","DTT")</f>
        <v>0</v>
      </c>
      <c r="AJ14" s="22">
        <f ca="1">+GETPIVOTDATA("XBT4",'binhtrung (2016)'!$A$3,"MA_HT","RPH","MA_QH","NCK")</f>
        <v>0</v>
      </c>
      <c r="AK14" s="22">
        <f ca="1">+GETPIVOTDATA("XBT4",'binhtrung (2016)'!$A$3,"MA_HT","RPH","MA_QH","DXH")</f>
        <v>0</v>
      </c>
      <c r="AL14" s="22">
        <f ca="1">+GETPIVOTDATA("XBT4",'binhtrung (2016)'!$A$3,"MA_HT","RPH","MA_QH","DCH")</f>
        <v>0</v>
      </c>
      <c r="AM14" s="22">
        <f ca="1">+GETPIVOTDATA("XBT4",'binhtrung (2016)'!$A$3,"MA_HT","RPH","MA_QH","DKG")</f>
        <v>0</v>
      </c>
      <c r="AN14" s="22">
        <f ca="1">+GETPIVOTDATA("XBT4",'binhtrung (2016)'!$A$3,"MA_HT","RPH","MA_QH","DDT")</f>
        <v>0</v>
      </c>
      <c r="AO14" s="22">
        <f ca="1">+GETPIVOTDATA("XBT4",'binhtrung (2016)'!$A$3,"MA_HT","RPH","MA_QH","DDL")</f>
        <v>0</v>
      </c>
      <c r="AP14" s="22">
        <f ca="1">+GETPIVOTDATA("XBT4",'binhtrung (2016)'!$A$3,"MA_HT","RPH","MA_QH","DRA")</f>
        <v>0</v>
      </c>
      <c r="AQ14" s="22">
        <f ca="1">+GETPIVOTDATA("XBT4",'binhtrung (2016)'!$A$3,"MA_HT","RPH","MA_QH","ONT")</f>
        <v>0</v>
      </c>
      <c r="AR14" s="22">
        <f ca="1">+GETPIVOTDATA("XBT4",'binhtrung (2016)'!$A$3,"MA_HT","RPH","MA_QH","ODT")</f>
        <v>0</v>
      </c>
      <c r="AS14" s="22">
        <f ca="1">+GETPIVOTDATA("XBT4",'binhtrung (2016)'!$A$3,"MA_HT","RPH","MA_QH","TSC")</f>
        <v>0</v>
      </c>
      <c r="AT14" s="22">
        <f ca="1">+GETPIVOTDATA("XBT4",'binhtrung (2016)'!$A$3,"MA_HT","RPH","MA_QH","DTS")</f>
        <v>0</v>
      </c>
      <c r="AU14" s="22">
        <f ca="1">+GETPIVOTDATA("XBT4",'binhtrung (2016)'!$A$3,"MA_HT","RPH","MA_QH","DNG")</f>
        <v>0</v>
      </c>
      <c r="AV14" s="22">
        <f ca="1">+GETPIVOTDATA("XBT4",'binhtrung (2016)'!$A$3,"MA_HT","RPH","MA_QH","TON")</f>
        <v>0</v>
      </c>
      <c r="AW14" s="22">
        <f ca="1">+GETPIVOTDATA("XBT4",'binhtrung (2016)'!$A$3,"MA_HT","RPH","MA_QH","NTD")</f>
        <v>0</v>
      </c>
      <c r="AX14" s="22">
        <f ca="1">+GETPIVOTDATA("XBT4",'binhtrung (2016)'!$A$3,"MA_HT","RPH","MA_QH","SKX")</f>
        <v>0</v>
      </c>
      <c r="AY14" s="22">
        <f ca="1">+GETPIVOTDATA("XBT4",'binhtrung (2016)'!$A$3,"MA_HT","RPH","MA_QH","DSH")</f>
        <v>0</v>
      </c>
      <c r="AZ14" s="22">
        <f ca="1">+GETPIVOTDATA("XBT4",'binhtrung (2016)'!$A$3,"MA_HT","RPH","MA_QH","DKV")</f>
        <v>0</v>
      </c>
      <c r="BA14" s="89">
        <f ca="1">+GETPIVOTDATA("XBT4",'binhtrung (2016)'!$A$3,"MA_HT","RPH","MA_QH","TIN")</f>
        <v>0</v>
      </c>
      <c r="BB14" s="50">
        <f ca="1">+GETPIVOTDATA("XBT4",'binhtrung (2016)'!$A$3,"MA_HT","RPH","MA_QH","SON")</f>
        <v>0</v>
      </c>
      <c r="BC14" s="50">
        <f ca="1">+GETPIVOTDATA("XBT4",'binhtrung (2016)'!$A$3,"MA_HT","RPH","MA_QH","MNC")</f>
        <v>0</v>
      </c>
      <c r="BD14" s="22">
        <f ca="1">+GETPIVOTDATA("XBT4",'binhtrung (2016)'!$A$3,"MA_HT","RPH","MA_QH","PNK")</f>
        <v>0</v>
      </c>
      <c r="BE14" s="71">
        <f ca="1">+GETPIVOTDATA("XBT4",'binhtrung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+GETPIVOTDATA("XBT4",'binhtrung (2016)'!$A$3,"MA_HT","RDD","MA_QH","LUC")</f>
        <v>0</v>
      </c>
      <c r="H15" s="22">
        <f ca="1">+GETPIVOTDATA("XBT4",'binhtrung (2016)'!$A$3,"MA_HT","RDD","MA_QH","LUK")</f>
        <v>0</v>
      </c>
      <c r="I15" s="22">
        <f ca="1">+GETPIVOTDATA("XBT4",'binhtrung (2016)'!$A$3,"MA_HT","RDD","MA_QH","LUN")</f>
        <v>0</v>
      </c>
      <c r="J15" s="22">
        <f ca="1">+GETPIVOTDATA("XBT4",'binhtrung (2016)'!$A$3,"MA_HT","RDD","MA_QH","HNK")</f>
        <v>0</v>
      </c>
      <c r="K15" s="22">
        <f ca="1">+GETPIVOTDATA("XBT4",'binhtrung (2016)'!$A$3,"MA_HT","RDD","MA_QH","CLN")</f>
        <v>0</v>
      </c>
      <c r="L15" s="22">
        <f ca="1">+GETPIVOTDATA("XBT4",'binhtrung (2016)'!$A$3,"MA_HT","RDD","MA_QH","RSX")</f>
        <v>0</v>
      </c>
      <c r="M15" s="22">
        <f ca="1">+GETPIVOTDATA("XBT4",'binhtrung (2016)'!$A$3,"MA_HT","RDD","MA_QH","RPH")</f>
        <v>0</v>
      </c>
      <c r="N15" s="43" t="e">
        <f ca="1">$D15-$BF15</f>
        <v>#REF!</v>
      </c>
      <c r="O15" s="22">
        <f ca="1">+GETPIVOTDATA("XBT4",'binhtrung (2016)'!$A$3,"MA_HT","RDD","MA_QH","NTS")</f>
        <v>0</v>
      </c>
      <c r="P15" s="22">
        <f ca="1">+GETPIVOTDATA("XBT4",'binhtrung (2016)'!$A$3,"MA_HT","RDD","MA_QH","LMU")</f>
        <v>0</v>
      </c>
      <c r="Q15" s="22">
        <f ca="1">+GETPIVOTDATA("XBT4",'binhtrung (2016)'!$A$3,"MA_HT","RDD","MA_QH","NKH")</f>
        <v>0</v>
      </c>
      <c r="R15" s="42">
        <f ca="1" t="shared" si="2"/>
        <v>0</v>
      </c>
      <c r="S15" s="22">
        <f ca="1">+GETPIVOTDATA("XBT4",'binhtrung (2016)'!$A$3,"MA_HT","RDD","MA_QH","CQP")</f>
        <v>0</v>
      </c>
      <c r="T15" s="22">
        <f ca="1">+GETPIVOTDATA("XBT4",'binhtrung (2016)'!$A$3,"MA_HT","RDD","MA_QH","CAN")</f>
        <v>0</v>
      </c>
      <c r="U15" s="22">
        <f ca="1">+GETPIVOTDATA("XBT4",'binhtrung (2016)'!$A$3,"MA_HT","RDD","MA_QH","SKK")</f>
        <v>0</v>
      </c>
      <c r="V15" s="22">
        <f ca="1">+GETPIVOTDATA("XBT4",'binhtrung (2016)'!$A$3,"MA_HT","RDD","MA_QH","SKT")</f>
        <v>0</v>
      </c>
      <c r="W15" s="22">
        <f ca="1">+GETPIVOTDATA("XBT4",'binhtrung (2016)'!$A$3,"MA_HT","RDD","MA_QH","SKN")</f>
        <v>0</v>
      </c>
      <c r="X15" s="22">
        <f ca="1">+GETPIVOTDATA("XBT4",'binhtrung (2016)'!$A$3,"MA_HT","RDD","MA_QH","TMD")</f>
        <v>0</v>
      </c>
      <c r="Y15" s="22">
        <f ca="1">+GETPIVOTDATA("XBT4",'binhtrung (2016)'!$A$3,"MA_HT","RDD","MA_QH","SKC")</f>
        <v>0</v>
      </c>
      <c r="Z15" s="22">
        <f ca="1">+GETPIVOTDATA("XBT4",'binhtrung (2016)'!$A$3,"MA_HT","RDD","MA_QH","SKS")</f>
        <v>0</v>
      </c>
      <c r="AA15" s="52">
        <f ca="1" t="shared" si="4"/>
        <v>0</v>
      </c>
      <c r="AB15" s="22">
        <f ca="1">+GETPIVOTDATA("XBT4",'binhtrung (2016)'!$A$3,"MA_HT","RDD","MA_QH","DGT")</f>
        <v>0</v>
      </c>
      <c r="AC15" s="22">
        <f ca="1">+GETPIVOTDATA("XBT4",'binhtrung (2016)'!$A$3,"MA_HT","RDD","MA_QH","DTL")</f>
        <v>0</v>
      </c>
      <c r="AD15" s="22">
        <f ca="1">+GETPIVOTDATA("XBT4",'binhtrung (2016)'!$A$3,"MA_HT","RDD","MA_QH","DNL")</f>
        <v>0</v>
      </c>
      <c r="AE15" s="22">
        <f ca="1">+GETPIVOTDATA("XBT4",'binhtrung (2016)'!$A$3,"MA_HT","RDD","MA_QH","DBV")</f>
        <v>0</v>
      </c>
      <c r="AF15" s="22">
        <f ca="1">+GETPIVOTDATA("XBT4",'binhtrung (2016)'!$A$3,"MA_HT","RDD","MA_QH","DVH")</f>
        <v>0</v>
      </c>
      <c r="AG15" s="22">
        <f ca="1">+GETPIVOTDATA("XBT4",'binhtrung (2016)'!$A$3,"MA_HT","RDD","MA_QH","DYT")</f>
        <v>0</v>
      </c>
      <c r="AH15" s="22">
        <f ca="1">+GETPIVOTDATA("XBT4",'binhtrung (2016)'!$A$3,"MA_HT","RDD","MA_QH","DGD")</f>
        <v>0</v>
      </c>
      <c r="AI15" s="22">
        <f ca="1">+GETPIVOTDATA("XBT4",'binhtrung (2016)'!$A$3,"MA_HT","RDD","MA_QH","DTT")</f>
        <v>0</v>
      </c>
      <c r="AJ15" s="22">
        <f ca="1">+GETPIVOTDATA("XBT4",'binhtrung (2016)'!$A$3,"MA_HT","RDD","MA_QH","NCK")</f>
        <v>0</v>
      </c>
      <c r="AK15" s="22">
        <f ca="1">+GETPIVOTDATA("XBT4",'binhtrung (2016)'!$A$3,"MA_HT","RDD","MA_QH","DXH")</f>
        <v>0</v>
      </c>
      <c r="AL15" s="22">
        <f ca="1">+GETPIVOTDATA("XBT4",'binhtrung (2016)'!$A$3,"MA_HT","RDD","MA_QH","DCH")</f>
        <v>0</v>
      </c>
      <c r="AM15" s="22">
        <f ca="1">+GETPIVOTDATA("XBT4",'binhtrung (2016)'!$A$3,"MA_HT","RDD","MA_QH","DKG")</f>
        <v>0</v>
      </c>
      <c r="AN15" s="22">
        <f ca="1">+GETPIVOTDATA("XBT4",'binhtrung (2016)'!$A$3,"MA_HT","RDD","MA_QH","DDT")</f>
        <v>0</v>
      </c>
      <c r="AO15" s="22">
        <f ca="1">+GETPIVOTDATA("XBT4",'binhtrung (2016)'!$A$3,"MA_HT","RDD","MA_QH","DDL")</f>
        <v>0</v>
      </c>
      <c r="AP15" s="22">
        <f ca="1">+GETPIVOTDATA("XBT4",'binhtrung (2016)'!$A$3,"MA_HT","RDD","MA_QH","DRA")</f>
        <v>0</v>
      </c>
      <c r="AQ15" s="22">
        <f ca="1">+GETPIVOTDATA("XBT4",'binhtrung (2016)'!$A$3,"MA_HT","RDD","MA_QH","ONT")</f>
        <v>0</v>
      </c>
      <c r="AR15" s="22">
        <f ca="1">+GETPIVOTDATA("XBT4",'binhtrung (2016)'!$A$3,"MA_HT","RDD","MA_QH","ODT")</f>
        <v>0</v>
      </c>
      <c r="AS15" s="22">
        <f ca="1">+GETPIVOTDATA("XBT4",'binhtrung (2016)'!$A$3,"MA_HT","RDD","MA_QH","TSC")</f>
        <v>0</v>
      </c>
      <c r="AT15" s="22">
        <f ca="1">+GETPIVOTDATA("XBT4",'binhtrung (2016)'!$A$3,"MA_HT","RDD","MA_QH","DTS")</f>
        <v>0</v>
      </c>
      <c r="AU15" s="22">
        <f ca="1">+GETPIVOTDATA("XBT4",'binhtrung (2016)'!$A$3,"MA_HT","RDD","MA_QH","DNG")</f>
        <v>0</v>
      </c>
      <c r="AV15" s="22">
        <f ca="1">+GETPIVOTDATA("XBT4",'binhtrung (2016)'!$A$3,"MA_HT","RDD","MA_QH","TON")</f>
        <v>0</v>
      </c>
      <c r="AW15" s="22">
        <f ca="1">+GETPIVOTDATA("XBT4",'binhtrung (2016)'!$A$3,"MA_HT","RDD","MA_QH","NTD")</f>
        <v>0</v>
      </c>
      <c r="AX15" s="22">
        <f ca="1">+GETPIVOTDATA("XBT4",'binhtrung (2016)'!$A$3,"MA_HT","RDD","MA_QH","SKX")</f>
        <v>0</v>
      </c>
      <c r="AY15" s="22">
        <f ca="1">+GETPIVOTDATA("XBT4",'binhtrung (2016)'!$A$3,"MA_HT","RDD","MA_QH","DSH")</f>
        <v>0</v>
      </c>
      <c r="AZ15" s="22">
        <f ca="1">+GETPIVOTDATA("XBT4",'binhtrung (2016)'!$A$3,"MA_HT","RDD","MA_QH","DKV")</f>
        <v>0</v>
      </c>
      <c r="BA15" s="89">
        <f ca="1">+GETPIVOTDATA("XBT4",'binhtrung (2016)'!$A$3,"MA_HT","RDD","MA_QH","TIN")</f>
        <v>0</v>
      </c>
      <c r="BB15" s="50">
        <f ca="1">+GETPIVOTDATA("XBT4",'binhtrung (2016)'!$A$3,"MA_HT","RDD","MA_QH","SON")</f>
        <v>0</v>
      </c>
      <c r="BC15" s="50">
        <f ca="1">+GETPIVOTDATA("XBT4",'binhtrung (2016)'!$A$3,"MA_HT","RDD","MA_QH","MNC")</f>
        <v>0</v>
      </c>
      <c r="BD15" s="22">
        <f ca="1">+GETPIVOTDATA("XBT4",'binhtrung (2016)'!$A$3,"MA_HT","RDD","MA_QH","PNK")</f>
        <v>0</v>
      </c>
      <c r="BE15" s="71">
        <f ca="1">+GETPIVOTDATA("XBT4",'binhtrung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+GETPIVOTDATA("XBT4",'binhtrung (2016)'!$A$3,"MA_HT","NTS","MA_QH","LUC")</f>
        <v>0</v>
      </c>
      <c r="H16" s="22">
        <f ca="1">+GETPIVOTDATA("XBT4",'binhtrung (2016)'!$A$3,"MA_HT","NTS","MA_QH","LUK")</f>
        <v>0</v>
      </c>
      <c r="I16" s="22">
        <f ca="1">+GETPIVOTDATA("XBT4",'binhtrung (2016)'!$A$3,"MA_HT","NTS","MA_QH","LUN")</f>
        <v>0</v>
      </c>
      <c r="J16" s="22">
        <f ca="1">+GETPIVOTDATA("XBT4",'binhtrung (2016)'!$A$3,"MA_HT","NTS","MA_QH","HNK")</f>
        <v>0</v>
      </c>
      <c r="K16" s="22">
        <f ca="1">+GETPIVOTDATA("XBT4",'binhtrung (2016)'!$A$3,"MA_HT","NTS","MA_QH","CLN")</f>
        <v>0</v>
      </c>
      <c r="L16" s="22">
        <f ca="1">+GETPIVOTDATA("XBT4",'binhtrung (2016)'!$A$3,"MA_HT","NTS","MA_QH","RSX")</f>
        <v>0</v>
      </c>
      <c r="M16" s="22">
        <f ca="1">+GETPIVOTDATA("XBT4",'binhtrung (2016)'!$A$3,"MA_HT","NTS","MA_QH","RPH")</f>
        <v>0</v>
      </c>
      <c r="N16" s="22">
        <f ca="1">+GETPIVOTDATA("XBT4",'binhtrung (2016)'!$A$3,"MA_HT","NTS","MA_QH","RDD")</f>
        <v>0</v>
      </c>
      <c r="O16" s="43" t="e">
        <f ca="1">$D16-$BF16</f>
        <v>#REF!</v>
      </c>
      <c r="P16" s="22">
        <f ca="1">+GETPIVOTDATA("XBT4",'binhtrung (2016)'!$A$3,"MA_HT","NTS","MA_QH","LMU")</f>
        <v>0</v>
      </c>
      <c r="Q16" s="22">
        <f ca="1">+GETPIVOTDATA("XBT4",'binhtrung (2016)'!$A$3,"MA_HT","NTS","MA_QH","NKH")</f>
        <v>0</v>
      </c>
      <c r="R16" s="42">
        <f ca="1" t="shared" si="2"/>
        <v>0</v>
      </c>
      <c r="S16" s="22">
        <f ca="1">+GETPIVOTDATA("XBT4",'binhtrung (2016)'!$A$3,"MA_HT","NTS","MA_QH","CQP")</f>
        <v>0</v>
      </c>
      <c r="T16" s="22">
        <f ca="1">+GETPIVOTDATA("XBT4",'binhtrung (2016)'!$A$3,"MA_HT","NTS","MA_QH","CAN")</f>
        <v>0</v>
      </c>
      <c r="U16" s="22">
        <f ca="1">+GETPIVOTDATA("XBT4",'binhtrung (2016)'!$A$3,"MA_HT","NTS","MA_QH","SKK")</f>
        <v>0</v>
      </c>
      <c r="V16" s="22">
        <f ca="1">+GETPIVOTDATA("XBT4",'binhtrung (2016)'!$A$3,"MA_HT","NTS","MA_QH","SKT")</f>
        <v>0</v>
      </c>
      <c r="W16" s="22">
        <f ca="1">+GETPIVOTDATA("XBT4",'binhtrung (2016)'!$A$3,"MA_HT","NTS","MA_QH","SKN")</f>
        <v>0</v>
      </c>
      <c r="X16" s="22">
        <f ca="1">+GETPIVOTDATA("XBT4",'binhtrung (2016)'!$A$3,"MA_HT","NTS","MA_QH","TMD")</f>
        <v>0</v>
      </c>
      <c r="Y16" s="22">
        <f ca="1">+GETPIVOTDATA("XBT4",'binhtrung (2016)'!$A$3,"MA_HT","NTS","MA_QH","SKC")</f>
        <v>0</v>
      </c>
      <c r="Z16" s="22">
        <f ca="1">+GETPIVOTDATA("XBT4",'binhtrung (2016)'!$A$3,"MA_HT","NTS","MA_QH","SKS")</f>
        <v>0</v>
      </c>
      <c r="AA16" s="52">
        <f ca="1" t="shared" si="4"/>
        <v>0</v>
      </c>
      <c r="AB16" s="22">
        <f ca="1">+GETPIVOTDATA("XBT4",'binhtrung (2016)'!$A$3,"MA_HT","NTS","MA_QH","DGT")</f>
        <v>0</v>
      </c>
      <c r="AC16" s="22">
        <f ca="1">+GETPIVOTDATA("XBT4",'binhtrung (2016)'!$A$3,"MA_HT","NTS","MA_QH","DTL")</f>
        <v>0</v>
      </c>
      <c r="AD16" s="22">
        <f ca="1">+GETPIVOTDATA("XBT4",'binhtrung (2016)'!$A$3,"MA_HT","NTS","MA_QH","DNL")</f>
        <v>0</v>
      </c>
      <c r="AE16" s="22">
        <f ca="1">+GETPIVOTDATA("XBT4",'binhtrung (2016)'!$A$3,"MA_HT","NTS","MA_QH","DBV")</f>
        <v>0</v>
      </c>
      <c r="AF16" s="22">
        <f ca="1">+GETPIVOTDATA("XBT4",'binhtrung (2016)'!$A$3,"MA_HT","NTS","MA_QH","DVH")</f>
        <v>0</v>
      </c>
      <c r="AG16" s="22">
        <f ca="1">+GETPIVOTDATA("XBT4",'binhtrung (2016)'!$A$3,"MA_HT","NTS","MA_QH","DYT")</f>
        <v>0</v>
      </c>
      <c r="AH16" s="22">
        <f ca="1">+GETPIVOTDATA("XBT4",'binhtrung (2016)'!$A$3,"MA_HT","NTS","MA_QH","DGD")</f>
        <v>0</v>
      </c>
      <c r="AI16" s="22">
        <f ca="1">+GETPIVOTDATA("XBT4",'binhtrung (2016)'!$A$3,"MA_HT","NTS","MA_QH","DTT")</f>
        <v>0</v>
      </c>
      <c r="AJ16" s="22">
        <f ca="1">+GETPIVOTDATA("XBT4",'binhtrung (2016)'!$A$3,"MA_HT","NTS","MA_QH","NCK")</f>
        <v>0</v>
      </c>
      <c r="AK16" s="22">
        <f ca="1">+GETPIVOTDATA("XBT4",'binhtrung (2016)'!$A$3,"MA_HT","NTS","MA_QH","DXH")</f>
        <v>0</v>
      </c>
      <c r="AL16" s="22">
        <f ca="1">+GETPIVOTDATA("XBT4",'binhtrung (2016)'!$A$3,"MA_HT","NTS","MA_QH","DCH")</f>
        <v>0</v>
      </c>
      <c r="AM16" s="22">
        <f ca="1">+GETPIVOTDATA("XBT4",'binhtrung (2016)'!$A$3,"MA_HT","NTS","MA_QH","DKG")</f>
        <v>0</v>
      </c>
      <c r="AN16" s="22">
        <f ca="1">+GETPIVOTDATA("XBT4",'binhtrung (2016)'!$A$3,"MA_HT","NTS","MA_QH","DDT")</f>
        <v>0</v>
      </c>
      <c r="AO16" s="22">
        <f ca="1">+GETPIVOTDATA("XBT4",'binhtrung (2016)'!$A$3,"MA_HT","NTS","MA_QH","DDL")</f>
        <v>0</v>
      </c>
      <c r="AP16" s="22">
        <f ca="1">+GETPIVOTDATA("XBT4",'binhtrung (2016)'!$A$3,"MA_HT","NTS","MA_QH","DRA")</f>
        <v>0</v>
      </c>
      <c r="AQ16" s="22">
        <f ca="1">+GETPIVOTDATA("XBT4",'binhtrung (2016)'!$A$3,"MA_HT","NTS","MA_QH","ONT")</f>
        <v>0</v>
      </c>
      <c r="AR16" s="22">
        <f ca="1">+GETPIVOTDATA("XBT4",'binhtrung (2016)'!$A$3,"MA_HT","NTS","MA_QH","ODT")</f>
        <v>0</v>
      </c>
      <c r="AS16" s="22">
        <f ca="1">+GETPIVOTDATA("XBT4",'binhtrung (2016)'!$A$3,"MA_HT","NTS","MA_QH","TSC")</f>
        <v>0</v>
      </c>
      <c r="AT16" s="22">
        <f ca="1">+GETPIVOTDATA("XBT4",'binhtrung (2016)'!$A$3,"MA_HT","NTS","MA_QH","DTS")</f>
        <v>0</v>
      </c>
      <c r="AU16" s="22">
        <f ca="1">+GETPIVOTDATA("XBT4",'binhtrung (2016)'!$A$3,"MA_HT","NTS","MA_QH","DNG")</f>
        <v>0</v>
      </c>
      <c r="AV16" s="22">
        <f ca="1">+GETPIVOTDATA("XBT4",'binhtrung (2016)'!$A$3,"MA_HT","NTS","MA_QH","TON")</f>
        <v>0</v>
      </c>
      <c r="AW16" s="22">
        <f ca="1">+GETPIVOTDATA("XBT4",'binhtrung (2016)'!$A$3,"MA_HT","NTS","MA_QH","NTD")</f>
        <v>0</v>
      </c>
      <c r="AX16" s="22">
        <f ca="1">+GETPIVOTDATA("XBT4",'binhtrung (2016)'!$A$3,"MA_HT","NTS","MA_QH","SKX")</f>
        <v>0</v>
      </c>
      <c r="AY16" s="22">
        <f ca="1">+GETPIVOTDATA("XBT4",'binhtrung (2016)'!$A$3,"MA_HT","NTS","MA_QH","DSH")</f>
        <v>0</v>
      </c>
      <c r="AZ16" s="22">
        <f ca="1">+GETPIVOTDATA("XBT4",'binhtrung (2016)'!$A$3,"MA_HT","NTS","MA_QH","DKV")</f>
        <v>0</v>
      </c>
      <c r="BA16" s="89">
        <f ca="1">+GETPIVOTDATA("XBT4",'binhtrung (2016)'!$A$3,"MA_HT","NTS","MA_QH","TIN")</f>
        <v>0</v>
      </c>
      <c r="BB16" s="50">
        <f ca="1">+GETPIVOTDATA("XBT4",'binhtrung (2016)'!$A$3,"MA_HT","NTS","MA_QH","SON")</f>
        <v>0</v>
      </c>
      <c r="BC16" s="50">
        <f ca="1">+GETPIVOTDATA("XBT4",'binhtrung (2016)'!$A$3,"MA_HT","NTS","MA_QH","MNC")</f>
        <v>0</v>
      </c>
      <c r="BD16" s="22">
        <f ca="1">+GETPIVOTDATA("XBT4",'binhtrung (2016)'!$A$3,"MA_HT","NTS","MA_QH","PNK")</f>
        <v>0</v>
      </c>
      <c r="BE16" s="71">
        <f ca="1">+GETPIVOTDATA("XBT4",'binhtrung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+GETPIVOTDATA("XBT4",'binhtrung (2016)'!$A$3,"MA_HT","LMU","MA_QH","LUC")</f>
        <v>0</v>
      </c>
      <c r="H17" s="22">
        <f ca="1">+GETPIVOTDATA("XBT4",'binhtrung (2016)'!$A$3,"MA_HT","LMU","MA_QH","LUK")</f>
        <v>0</v>
      </c>
      <c r="I17" s="22">
        <f ca="1">+GETPIVOTDATA("XBT4",'binhtrung (2016)'!$A$3,"MA_HT","LMU","MA_QH","LUN")</f>
        <v>0</v>
      </c>
      <c r="J17" s="22">
        <f ca="1">+GETPIVOTDATA("XBT4",'binhtrung (2016)'!$A$3,"MA_HT","LMU","MA_QH","HNK")</f>
        <v>0</v>
      </c>
      <c r="K17" s="22">
        <f ca="1">+GETPIVOTDATA("XBT4",'binhtrung (2016)'!$A$3,"MA_HT","LMU","MA_QH","CLN")</f>
        <v>0</v>
      </c>
      <c r="L17" s="22">
        <f ca="1">+GETPIVOTDATA("XBT4",'binhtrung (2016)'!$A$3,"MA_HT","LMU","MA_QH","RSX")</f>
        <v>0</v>
      </c>
      <c r="M17" s="22">
        <f ca="1">+GETPIVOTDATA("XBT4",'binhtrung (2016)'!$A$3,"MA_HT","LMU","MA_QH","RPH")</f>
        <v>0</v>
      </c>
      <c r="N17" s="22">
        <f ca="1">+GETPIVOTDATA("XBT4",'binhtrung (2016)'!$A$3,"MA_HT","LMU","MA_QH","RDD")</f>
        <v>0</v>
      </c>
      <c r="O17" s="22">
        <f ca="1">+GETPIVOTDATA("XBT4",'binhtrung (2016)'!$A$3,"MA_HT","LMU","MA_QH","NTS")</f>
        <v>0</v>
      </c>
      <c r="P17" s="43" t="e">
        <f ca="1">$D17-$BF17</f>
        <v>#REF!</v>
      </c>
      <c r="Q17" s="22">
        <f ca="1">+GETPIVOTDATA("XBT4",'binhtrung (2016)'!$A$3,"MA_HT","LMU","MA_QH","NKH")</f>
        <v>0</v>
      </c>
      <c r="R17" s="42">
        <f ca="1" t="shared" si="2"/>
        <v>0</v>
      </c>
      <c r="S17" s="22">
        <f ca="1">+GETPIVOTDATA("XBT4",'binhtrung (2016)'!$A$3,"MA_HT","LMU","MA_QH","CQP")</f>
        <v>0</v>
      </c>
      <c r="T17" s="22">
        <f ca="1">+GETPIVOTDATA("XBT4",'binhtrung (2016)'!$A$3,"MA_HT","LMU","MA_QH","CAN")</f>
        <v>0</v>
      </c>
      <c r="U17" s="22">
        <f ca="1">+GETPIVOTDATA("XBT4",'binhtrung (2016)'!$A$3,"MA_HT","LMU","MA_QH","SKK")</f>
        <v>0</v>
      </c>
      <c r="V17" s="22">
        <f ca="1">+GETPIVOTDATA("XBT4",'binhtrung (2016)'!$A$3,"MA_HT","LMU","MA_QH","SKT")</f>
        <v>0</v>
      </c>
      <c r="W17" s="22">
        <f ca="1">+GETPIVOTDATA("XBT4",'binhtrung (2016)'!$A$3,"MA_HT","LMU","MA_QH","SKN")</f>
        <v>0</v>
      </c>
      <c r="X17" s="22">
        <f ca="1">+GETPIVOTDATA("XBT4",'binhtrung (2016)'!$A$3,"MA_HT","LMU","MA_QH","TMD")</f>
        <v>0</v>
      </c>
      <c r="Y17" s="22">
        <f ca="1">+GETPIVOTDATA("XBT4",'binhtrung (2016)'!$A$3,"MA_HT","LMU","MA_QH","SKC")</f>
        <v>0</v>
      </c>
      <c r="Z17" s="22">
        <f ca="1">+GETPIVOTDATA("XBT4",'binhtrung (2016)'!$A$3,"MA_HT","LMU","MA_QH","SKS")</f>
        <v>0</v>
      </c>
      <c r="AA17" s="52">
        <f ca="1" t="shared" si="4"/>
        <v>0</v>
      </c>
      <c r="AB17" s="22">
        <f ca="1">+GETPIVOTDATA("XBT4",'binhtrung (2016)'!$A$3,"MA_HT","LMU","MA_QH","DGT")</f>
        <v>0</v>
      </c>
      <c r="AC17" s="22">
        <f ca="1">+GETPIVOTDATA("XBT4",'binhtrung (2016)'!$A$3,"MA_HT","LMU","MA_QH","DTL")</f>
        <v>0</v>
      </c>
      <c r="AD17" s="22">
        <f ca="1">+GETPIVOTDATA("XBT4",'binhtrung (2016)'!$A$3,"MA_HT","LMU","MA_QH","DNL")</f>
        <v>0</v>
      </c>
      <c r="AE17" s="22">
        <f ca="1">+GETPIVOTDATA("XBT4",'binhtrung (2016)'!$A$3,"MA_HT","LMU","MA_QH","DBV")</f>
        <v>0</v>
      </c>
      <c r="AF17" s="22">
        <f ca="1">+GETPIVOTDATA("XBT4",'binhtrung (2016)'!$A$3,"MA_HT","LMU","MA_QH","DVH")</f>
        <v>0</v>
      </c>
      <c r="AG17" s="22">
        <f ca="1">+GETPIVOTDATA("XBT4",'binhtrung (2016)'!$A$3,"MA_HT","LMU","MA_QH","DYT")</f>
        <v>0</v>
      </c>
      <c r="AH17" s="22">
        <f ca="1">+GETPIVOTDATA("XBT4",'binhtrung (2016)'!$A$3,"MA_HT","LMU","MA_QH","DGD")</f>
        <v>0</v>
      </c>
      <c r="AI17" s="22">
        <f ca="1">+GETPIVOTDATA("XBT4",'binhtrung (2016)'!$A$3,"MA_HT","LMU","MA_QH","DTT")</f>
        <v>0</v>
      </c>
      <c r="AJ17" s="22">
        <f ca="1">+GETPIVOTDATA("XBT4",'binhtrung (2016)'!$A$3,"MA_HT","LMU","MA_QH","NCK")</f>
        <v>0</v>
      </c>
      <c r="AK17" s="22">
        <f ca="1">+GETPIVOTDATA("XBT4",'binhtrung (2016)'!$A$3,"MA_HT","LMU","MA_QH","DXH")</f>
        <v>0</v>
      </c>
      <c r="AL17" s="22">
        <f ca="1">+GETPIVOTDATA("XBT4",'binhtrung (2016)'!$A$3,"MA_HT","LMU","MA_QH","DCH")</f>
        <v>0</v>
      </c>
      <c r="AM17" s="22">
        <f ca="1">+GETPIVOTDATA("XBT4",'binhtrung (2016)'!$A$3,"MA_HT","LMU","MA_QH","DKG")</f>
        <v>0</v>
      </c>
      <c r="AN17" s="22">
        <f ca="1">+GETPIVOTDATA("XBT4",'binhtrung (2016)'!$A$3,"MA_HT","LMU","MA_QH","DDT")</f>
        <v>0</v>
      </c>
      <c r="AO17" s="22">
        <f ca="1">+GETPIVOTDATA("XBT4",'binhtrung (2016)'!$A$3,"MA_HT","LMU","MA_QH","DDL")</f>
        <v>0</v>
      </c>
      <c r="AP17" s="22">
        <f ca="1">+GETPIVOTDATA("XBT4",'binhtrung (2016)'!$A$3,"MA_HT","LMU","MA_QH","DRA")</f>
        <v>0</v>
      </c>
      <c r="AQ17" s="22">
        <f ca="1">+GETPIVOTDATA("XBT4",'binhtrung (2016)'!$A$3,"MA_HT","LMU","MA_QH","ONT")</f>
        <v>0</v>
      </c>
      <c r="AR17" s="22">
        <f ca="1">+GETPIVOTDATA("XBT4",'binhtrung (2016)'!$A$3,"MA_HT","LMU","MA_QH","ODT")</f>
        <v>0</v>
      </c>
      <c r="AS17" s="22">
        <f ca="1">+GETPIVOTDATA("XBT4",'binhtrung (2016)'!$A$3,"MA_HT","LMU","MA_QH","TSC")</f>
        <v>0</v>
      </c>
      <c r="AT17" s="22">
        <f ca="1">+GETPIVOTDATA("XBT4",'binhtrung (2016)'!$A$3,"MA_HT","LMU","MA_QH","DTS")</f>
        <v>0</v>
      </c>
      <c r="AU17" s="22">
        <f ca="1">+GETPIVOTDATA("XBT4",'binhtrung (2016)'!$A$3,"MA_HT","LMU","MA_QH","DNG")</f>
        <v>0</v>
      </c>
      <c r="AV17" s="22">
        <f ca="1">+GETPIVOTDATA("XBT4",'binhtrung (2016)'!$A$3,"MA_HT","LMU","MA_QH","TON")</f>
        <v>0</v>
      </c>
      <c r="AW17" s="22">
        <f ca="1">+GETPIVOTDATA("XBT4",'binhtrung (2016)'!$A$3,"MA_HT","LMU","MA_QH","NTD")</f>
        <v>0</v>
      </c>
      <c r="AX17" s="22">
        <f ca="1">+GETPIVOTDATA("XBT4",'binhtrung (2016)'!$A$3,"MA_HT","LMU","MA_QH","SKX")</f>
        <v>0</v>
      </c>
      <c r="AY17" s="22">
        <f ca="1">+GETPIVOTDATA("XBT4",'binhtrung (2016)'!$A$3,"MA_HT","LMU","MA_QH","DSH")</f>
        <v>0</v>
      </c>
      <c r="AZ17" s="22">
        <f ca="1">+GETPIVOTDATA("XBT4",'binhtrung (2016)'!$A$3,"MA_HT","LMU","MA_QH","DKV")</f>
        <v>0</v>
      </c>
      <c r="BA17" s="89">
        <f ca="1">+GETPIVOTDATA("XBT4",'binhtrung (2016)'!$A$3,"MA_HT","LMU","MA_QH","TIN")</f>
        <v>0</v>
      </c>
      <c r="BB17" s="50">
        <f ca="1">+GETPIVOTDATA("XBT4",'binhtrung (2016)'!$A$3,"MA_HT","LMU","MA_QH","SON")</f>
        <v>0</v>
      </c>
      <c r="BC17" s="50">
        <f ca="1">+GETPIVOTDATA("XBT4",'binhtrung (2016)'!$A$3,"MA_HT","LMU","MA_QH","MNC")</f>
        <v>0</v>
      </c>
      <c r="BD17" s="22">
        <f ca="1">+GETPIVOTDATA("XBT4",'binhtrung (2016)'!$A$3,"MA_HT","LMU","MA_QH","PNK")</f>
        <v>0</v>
      </c>
      <c r="BE17" s="71">
        <f ca="1">+GETPIVOTDATA("XBT4",'binhtrung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+GETPIVOTDATA("XBT4",'binhtrung (2016)'!$A$3,"MA_HT","NKH","MA_QH","LUC")</f>
        <v>0</v>
      </c>
      <c r="H18" s="22">
        <f ca="1">+GETPIVOTDATA("XBT4",'binhtrung (2016)'!$A$3,"MA_HT","NKH","MA_QH","LUK")</f>
        <v>0</v>
      </c>
      <c r="I18" s="22">
        <f ca="1">+GETPIVOTDATA("XBT4",'binhtrung (2016)'!$A$3,"MA_HT","NKH","MA_QH","LUN")</f>
        <v>0</v>
      </c>
      <c r="J18" s="22">
        <f ca="1">+GETPIVOTDATA("XBT4",'binhtrung (2016)'!$A$3,"MA_HT","NKH","MA_QH","HNK")</f>
        <v>0</v>
      </c>
      <c r="K18" s="22">
        <f ca="1">+GETPIVOTDATA("XBT4",'binhtrung (2016)'!$A$3,"MA_HT","NKH","MA_QH","CLN")</f>
        <v>0</v>
      </c>
      <c r="L18" s="22">
        <f ca="1">+GETPIVOTDATA("XBT4",'binhtrung (2016)'!$A$3,"MA_HT","NKH","MA_QH","RSX")</f>
        <v>0</v>
      </c>
      <c r="M18" s="22">
        <f ca="1">+GETPIVOTDATA("XBT4",'binhtrung (2016)'!$A$3,"MA_HT","NKH","MA_QH","RPH")</f>
        <v>0</v>
      </c>
      <c r="N18" s="22">
        <f ca="1">+GETPIVOTDATA("XBT4",'binhtrung (2016)'!$A$3,"MA_HT","NKH","MA_QH","RDD")</f>
        <v>0</v>
      </c>
      <c r="O18" s="22">
        <f ca="1">+GETPIVOTDATA("XBT4",'binhtrung (2016)'!$A$3,"MA_HT","NKH","MA_QH","NTS")</f>
        <v>0</v>
      </c>
      <c r="P18" s="22">
        <f ca="1">+GETPIVOTDATA("XBT4",'binhtrung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+GETPIVOTDATA("XBT4",'binhtrung (2016)'!$A$3,"MA_HT","NKH","MA_QH","CQP")</f>
        <v>0</v>
      </c>
      <c r="T18" s="22">
        <f ca="1">+GETPIVOTDATA("XBT4",'binhtrung (2016)'!$A$3,"MA_HT","NKH","MA_QH","CAN")</f>
        <v>0</v>
      </c>
      <c r="U18" s="22">
        <f ca="1">+GETPIVOTDATA("XBT4",'binhtrung (2016)'!$A$3,"MA_HT","NKH","MA_QH","SKK")</f>
        <v>0</v>
      </c>
      <c r="V18" s="22">
        <f ca="1">+GETPIVOTDATA("XBT4",'binhtrung (2016)'!$A$3,"MA_HT","NKH","MA_QH","SKT")</f>
        <v>0</v>
      </c>
      <c r="W18" s="22">
        <f ca="1">+GETPIVOTDATA("XBT4",'binhtrung (2016)'!$A$3,"MA_HT","NKH","MA_QH","SKN")</f>
        <v>0</v>
      </c>
      <c r="X18" s="22">
        <f ca="1">+GETPIVOTDATA("XBT4",'binhtrung (2016)'!$A$3,"MA_HT","NKH","MA_QH","TMD")</f>
        <v>0</v>
      </c>
      <c r="Y18" s="22">
        <f ca="1">+GETPIVOTDATA("XBT4",'binhtrung (2016)'!$A$3,"MA_HT","NKH","MA_QH","SKC")</f>
        <v>0</v>
      </c>
      <c r="Z18" s="22">
        <f ca="1">+GETPIVOTDATA("XBT4",'binhtrung (2016)'!$A$3,"MA_HT","NKH","MA_QH","SKS")</f>
        <v>0</v>
      </c>
      <c r="AA18" s="52">
        <f ca="1" t="shared" si="4"/>
        <v>0</v>
      </c>
      <c r="AB18" s="22">
        <f ca="1">+GETPIVOTDATA("XBT4",'binhtrung (2016)'!$A$3,"MA_HT","NKH","MA_QH","DGT")</f>
        <v>0</v>
      </c>
      <c r="AC18" s="22">
        <f ca="1">+GETPIVOTDATA("XBT4",'binhtrung (2016)'!$A$3,"MA_HT","NKH","MA_QH","DTL")</f>
        <v>0</v>
      </c>
      <c r="AD18" s="22">
        <f ca="1">+GETPIVOTDATA("XBT4",'binhtrung (2016)'!$A$3,"MA_HT","NKH","MA_QH","DNL")</f>
        <v>0</v>
      </c>
      <c r="AE18" s="22">
        <f ca="1">+GETPIVOTDATA("XBT4",'binhtrung (2016)'!$A$3,"MA_HT","NKH","MA_QH","DBV")</f>
        <v>0</v>
      </c>
      <c r="AF18" s="22">
        <f ca="1">+GETPIVOTDATA("XBT4",'binhtrung (2016)'!$A$3,"MA_HT","NKH","MA_QH","DVH")</f>
        <v>0</v>
      </c>
      <c r="AG18" s="22">
        <f ca="1">+GETPIVOTDATA("XBT4",'binhtrung (2016)'!$A$3,"MA_HT","NKH","MA_QH","DYT")</f>
        <v>0</v>
      </c>
      <c r="AH18" s="22">
        <f ca="1">+GETPIVOTDATA("XBT4",'binhtrung (2016)'!$A$3,"MA_HT","NKH","MA_QH","DGD")</f>
        <v>0</v>
      </c>
      <c r="AI18" s="22">
        <f ca="1">+GETPIVOTDATA("XBT4",'binhtrung (2016)'!$A$3,"MA_HT","NKH","MA_QH","DTT")</f>
        <v>0</v>
      </c>
      <c r="AJ18" s="22">
        <f ca="1">+GETPIVOTDATA("XBT4",'binhtrung (2016)'!$A$3,"MA_HT","NKH","MA_QH","NCK")</f>
        <v>0</v>
      </c>
      <c r="AK18" s="22">
        <f ca="1">+GETPIVOTDATA("XBT4",'binhtrung (2016)'!$A$3,"MA_HT","NKH","MA_QH","DXH")</f>
        <v>0</v>
      </c>
      <c r="AL18" s="22">
        <f ca="1">+GETPIVOTDATA("XBT4",'binhtrung (2016)'!$A$3,"MA_HT","NKH","MA_QH","DCH")</f>
        <v>0</v>
      </c>
      <c r="AM18" s="22">
        <f ca="1">+GETPIVOTDATA("XBT4",'binhtrung (2016)'!$A$3,"MA_HT","NKH","MA_QH","DKG")</f>
        <v>0</v>
      </c>
      <c r="AN18" s="22">
        <f ca="1">+GETPIVOTDATA("XBT4",'binhtrung (2016)'!$A$3,"MA_HT","NKH","MA_QH","DDT")</f>
        <v>0</v>
      </c>
      <c r="AO18" s="22">
        <f ca="1">+GETPIVOTDATA("XBT4",'binhtrung (2016)'!$A$3,"MA_HT","NKH","MA_QH","DDL")</f>
        <v>0</v>
      </c>
      <c r="AP18" s="22">
        <f ca="1">+GETPIVOTDATA("XBT4",'binhtrung (2016)'!$A$3,"MA_HT","NKH","MA_QH","DRA")</f>
        <v>0</v>
      </c>
      <c r="AQ18" s="22">
        <f ca="1">+GETPIVOTDATA("XBT4",'binhtrung (2016)'!$A$3,"MA_HT","NKH","MA_QH","ONT")</f>
        <v>0</v>
      </c>
      <c r="AR18" s="22">
        <f ca="1">+GETPIVOTDATA("XBT4",'binhtrung (2016)'!$A$3,"MA_HT","NKH","MA_QH","ODT")</f>
        <v>0</v>
      </c>
      <c r="AS18" s="22">
        <f ca="1">+GETPIVOTDATA("XBT4",'binhtrung (2016)'!$A$3,"MA_HT","NKH","MA_QH","TSC")</f>
        <v>0</v>
      </c>
      <c r="AT18" s="22">
        <f ca="1">+GETPIVOTDATA("XBT4",'binhtrung (2016)'!$A$3,"MA_HT","NKH","MA_QH","DTS")</f>
        <v>0</v>
      </c>
      <c r="AU18" s="22">
        <f ca="1">+GETPIVOTDATA("XBT4",'binhtrung (2016)'!$A$3,"MA_HT","NKH","MA_QH","DNG")</f>
        <v>0</v>
      </c>
      <c r="AV18" s="22">
        <f ca="1">+GETPIVOTDATA("XBT4",'binhtrung (2016)'!$A$3,"MA_HT","NKH","MA_QH","TON")</f>
        <v>0</v>
      </c>
      <c r="AW18" s="22">
        <f ca="1">+GETPIVOTDATA("XBT4",'binhtrung (2016)'!$A$3,"MA_HT","NKH","MA_QH","NTD")</f>
        <v>0</v>
      </c>
      <c r="AX18" s="22">
        <f ca="1">+GETPIVOTDATA("XBT4",'binhtrung (2016)'!$A$3,"MA_HT","NKH","MA_QH","SKX")</f>
        <v>0</v>
      </c>
      <c r="AY18" s="22">
        <f ca="1">+GETPIVOTDATA("XBT4",'binhtrung (2016)'!$A$3,"MA_HT","NKH","MA_QH","DSH")</f>
        <v>0</v>
      </c>
      <c r="AZ18" s="22">
        <f ca="1">+GETPIVOTDATA("XBT4",'binhtrung (2016)'!$A$3,"MA_HT","NKH","MA_QH","DKV")</f>
        <v>0</v>
      </c>
      <c r="BA18" s="89">
        <f ca="1">+GETPIVOTDATA("XBT4",'binhtrung (2016)'!$A$3,"MA_HT","NKH","MA_QH","TIN")</f>
        <v>0</v>
      </c>
      <c r="BB18" s="50">
        <f ca="1">+GETPIVOTDATA("XBT4",'binhtrung (2016)'!$A$3,"MA_HT","NKH","MA_QH","SON")</f>
        <v>0</v>
      </c>
      <c r="BC18" s="50">
        <f ca="1">+GETPIVOTDATA("XBT4",'binhtrung (2016)'!$A$3,"MA_HT","NKH","MA_QH","MNC")</f>
        <v>0</v>
      </c>
      <c r="BD18" s="22">
        <f ca="1">+GETPIVOTDATA("XBT4",'binhtrung (2016)'!$A$3,"MA_HT","NKH","MA_QH","PNK")</f>
        <v>0</v>
      </c>
      <c r="BE18" s="71">
        <f ca="1">+GETPIVOTDATA("XBT4",'binhtrung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+GETPIVOTDATA("XBT4",'binhtrung (2016)'!$A$3,"MA_HT","CQP","MA_QH","LUC")</f>
        <v>0</v>
      </c>
      <c r="H20" s="22">
        <f ca="1">+GETPIVOTDATA("XBT4",'binhtrung (2016)'!$A$3,"MA_HT","CQP","MA_QH","LUK")</f>
        <v>0</v>
      </c>
      <c r="I20" s="22">
        <f ca="1">+GETPIVOTDATA("XBT4",'binhtrung (2016)'!$A$3,"MA_HT","CQP","MA_QH","LUN")</f>
        <v>0</v>
      </c>
      <c r="J20" s="22">
        <f ca="1">+GETPIVOTDATA("XBT4",'binhtrung (2016)'!$A$3,"MA_HT","CQP","MA_QH","HNK")</f>
        <v>0</v>
      </c>
      <c r="K20" s="22">
        <f ca="1">+GETPIVOTDATA("XBT4",'binhtrung (2016)'!$A$3,"MA_HT","CQP","MA_QH","CLN")</f>
        <v>0</v>
      </c>
      <c r="L20" s="22">
        <f ca="1">+GETPIVOTDATA("XBT4",'binhtrung (2016)'!$A$3,"MA_HT","CQP","MA_QH","RSX")</f>
        <v>0</v>
      </c>
      <c r="M20" s="22">
        <f ca="1">+GETPIVOTDATA("XBT4",'binhtrung (2016)'!$A$3,"MA_HT","CQP","MA_QH","RPH")</f>
        <v>0</v>
      </c>
      <c r="N20" s="22">
        <f ca="1">+GETPIVOTDATA("XBT4",'binhtrung (2016)'!$A$3,"MA_HT","CQP","MA_QH","RDD")</f>
        <v>0</v>
      </c>
      <c r="O20" s="22">
        <f ca="1">+GETPIVOTDATA("XBT4",'binhtrung (2016)'!$A$3,"MA_HT","CQP","MA_QH","NTS")</f>
        <v>0</v>
      </c>
      <c r="P20" s="22">
        <f ca="1">+GETPIVOTDATA("XBT4",'binhtrung (2016)'!$A$3,"MA_HT","CQP","MA_QH","LMU")</f>
        <v>0</v>
      </c>
      <c r="Q20" s="22">
        <f ca="1">+GETPIVOTDATA("XBT4",'binhtrung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+GETPIVOTDATA("XBT4",'binhtrung (2016)'!$A$3,"MA_HT","CQP","MA_QH","CAN")</f>
        <v>0</v>
      </c>
      <c r="U20" s="22">
        <f ca="1">+GETPIVOTDATA("XBT4",'binhtrung (2016)'!$A$3,"MA_HT","CQP","MA_QH","SKK")</f>
        <v>0</v>
      </c>
      <c r="V20" s="22">
        <f ca="1">+GETPIVOTDATA("XBT4",'binhtrung (2016)'!$A$3,"MA_HT","CQP","MA_QH","SKT")</f>
        <v>0</v>
      </c>
      <c r="W20" s="22">
        <f ca="1">+GETPIVOTDATA("XBT4",'binhtrung (2016)'!$A$3,"MA_HT","CQP","MA_QH","SKN")</f>
        <v>0</v>
      </c>
      <c r="X20" s="22">
        <f ca="1">+GETPIVOTDATA("XBT4",'binhtrung (2016)'!$A$3,"MA_HT","CQP","MA_QH","TMD")</f>
        <v>0</v>
      </c>
      <c r="Y20" s="22">
        <f ca="1">+GETPIVOTDATA("XBT4",'binhtrung (2016)'!$A$3,"MA_HT","CQP","MA_QH","SKC")</f>
        <v>0</v>
      </c>
      <c r="Z20" s="22">
        <f ca="1">+GETPIVOTDATA("XBT4",'binhtrung (2016)'!$A$3,"MA_HT","CQP","MA_QH","SKS")</f>
        <v>0</v>
      </c>
      <c r="AA20" s="52">
        <f ca="1" t="shared" ref="AA20:AA27" si="12">+SUM(AB20:AM20)</f>
        <v>0</v>
      </c>
      <c r="AB20" s="22">
        <f ca="1">+GETPIVOTDATA("XBT4",'binhtrung (2016)'!$A$3,"MA_HT","CQP","MA_QH","DGT")</f>
        <v>0</v>
      </c>
      <c r="AC20" s="22">
        <f ca="1">+GETPIVOTDATA("XBT4",'binhtrung (2016)'!$A$3,"MA_HT","CQP","MA_QH","DTL")</f>
        <v>0</v>
      </c>
      <c r="AD20" s="22">
        <f ca="1">+GETPIVOTDATA("XBT4",'binhtrung (2016)'!$A$3,"MA_HT","CQP","MA_QH","DNL")</f>
        <v>0</v>
      </c>
      <c r="AE20" s="22">
        <f ca="1">+GETPIVOTDATA("XBT4",'binhtrung (2016)'!$A$3,"MA_HT","CQP","MA_QH","DBV")</f>
        <v>0</v>
      </c>
      <c r="AF20" s="22">
        <f ca="1">+GETPIVOTDATA("XBT4",'binhtrung (2016)'!$A$3,"MA_HT","CQP","MA_QH","DVH")</f>
        <v>0</v>
      </c>
      <c r="AG20" s="22">
        <f ca="1">+GETPIVOTDATA("XBT4",'binhtrung (2016)'!$A$3,"MA_HT","CQP","MA_QH","DYT")</f>
        <v>0</v>
      </c>
      <c r="AH20" s="22">
        <f ca="1">+GETPIVOTDATA("XBT4",'binhtrung (2016)'!$A$3,"MA_HT","CQP","MA_QH","DGD")</f>
        <v>0</v>
      </c>
      <c r="AI20" s="22">
        <f ca="1">+GETPIVOTDATA("XBT4",'binhtrung (2016)'!$A$3,"MA_HT","CQP","MA_QH","DTT")</f>
        <v>0</v>
      </c>
      <c r="AJ20" s="22">
        <f ca="1">+GETPIVOTDATA("XBT4",'binhtrung (2016)'!$A$3,"MA_HT","CQP","MA_QH","NCK")</f>
        <v>0</v>
      </c>
      <c r="AK20" s="22">
        <f ca="1">+GETPIVOTDATA("XBT4",'binhtrung (2016)'!$A$3,"MA_HT","CQP","MA_QH","DXH")</f>
        <v>0</v>
      </c>
      <c r="AL20" s="22">
        <f ca="1">+GETPIVOTDATA("XBT4",'binhtrung (2016)'!$A$3,"MA_HT","CQP","MA_QH","DCH")</f>
        <v>0</v>
      </c>
      <c r="AM20" s="22">
        <f ca="1">+GETPIVOTDATA("XBT4",'binhtrung (2016)'!$A$3,"MA_HT","CQP","MA_QH","DKG")</f>
        <v>0</v>
      </c>
      <c r="AN20" s="22">
        <f ca="1">+GETPIVOTDATA("XBT4",'binhtrung (2016)'!$A$3,"MA_HT","CQP","MA_QH","DDT")</f>
        <v>0</v>
      </c>
      <c r="AO20" s="22">
        <f ca="1">+GETPIVOTDATA("XBT4",'binhtrung (2016)'!$A$3,"MA_HT","CQP","MA_QH","DDL")</f>
        <v>0</v>
      </c>
      <c r="AP20" s="22">
        <f ca="1">+GETPIVOTDATA("XBT4",'binhtrung (2016)'!$A$3,"MA_HT","CQP","MA_QH","DRA")</f>
        <v>0</v>
      </c>
      <c r="AQ20" s="22">
        <f ca="1">+GETPIVOTDATA("XBT4",'binhtrung (2016)'!$A$3,"MA_HT","CQP","MA_QH","ONT")</f>
        <v>0</v>
      </c>
      <c r="AR20" s="22">
        <f ca="1">+GETPIVOTDATA("XBT4",'binhtrung (2016)'!$A$3,"MA_HT","CQP","MA_QH","ODT")</f>
        <v>0</v>
      </c>
      <c r="AS20" s="22">
        <f ca="1">+GETPIVOTDATA("XBT4",'binhtrung (2016)'!$A$3,"MA_HT","CQP","MA_QH","TSC")</f>
        <v>0</v>
      </c>
      <c r="AT20" s="22">
        <f ca="1">+GETPIVOTDATA("XBT4",'binhtrung (2016)'!$A$3,"MA_HT","CQP","MA_QH","DTS")</f>
        <v>0</v>
      </c>
      <c r="AU20" s="22">
        <f ca="1">+GETPIVOTDATA("XBT4",'binhtrung (2016)'!$A$3,"MA_HT","CQP","MA_QH","DNG")</f>
        <v>0</v>
      </c>
      <c r="AV20" s="22">
        <f ca="1">+GETPIVOTDATA("XBT4",'binhtrung (2016)'!$A$3,"MA_HT","CQP","MA_QH","TON")</f>
        <v>0</v>
      </c>
      <c r="AW20" s="22">
        <f ca="1">+GETPIVOTDATA("XBT4",'binhtrung (2016)'!$A$3,"MA_HT","CQP","MA_QH","NTD")</f>
        <v>0</v>
      </c>
      <c r="AX20" s="22">
        <f ca="1">+GETPIVOTDATA("XBT4",'binhtrung (2016)'!$A$3,"MA_HT","CQP","MA_QH","SKX")</f>
        <v>0</v>
      </c>
      <c r="AY20" s="22">
        <f ca="1">+GETPIVOTDATA("XBT4",'binhtrung (2016)'!$A$3,"MA_HT","CQP","MA_QH","DSH")</f>
        <v>0</v>
      </c>
      <c r="AZ20" s="22">
        <f ca="1">+GETPIVOTDATA("XBT4",'binhtrung (2016)'!$A$3,"MA_HT","CQP","MA_QH","DKV")</f>
        <v>0</v>
      </c>
      <c r="BA20" s="89">
        <f ca="1">+GETPIVOTDATA("XBT4",'binhtrung (2016)'!$A$3,"MA_HT","CQP","MA_QH","TIN")</f>
        <v>0</v>
      </c>
      <c r="BB20" s="50">
        <f ca="1">+GETPIVOTDATA("XBT4",'binhtrung (2016)'!$A$3,"MA_HT","CQP","MA_QH","SON")</f>
        <v>0</v>
      </c>
      <c r="BC20" s="50">
        <f ca="1">+GETPIVOTDATA("XBT4",'binhtrung (2016)'!$A$3,"MA_HT","CQP","MA_QH","MNC")</f>
        <v>0</v>
      </c>
      <c r="BD20" s="22">
        <f ca="1">+GETPIVOTDATA("XBT4",'binhtrung (2016)'!$A$3,"MA_HT","CQP","MA_QH","PNK")</f>
        <v>0</v>
      </c>
      <c r="BE20" s="71">
        <f ca="1">+GETPIVOTDATA("XBT4",'binhtrung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+GETPIVOTDATA("XBT4",'binhtrung (2016)'!$A$3,"MA_HT","CAN","MA_QH","LUC")</f>
        <v>0</v>
      </c>
      <c r="H21" s="22">
        <f ca="1">+GETPIVOTDATA("XBT4",'binhtrung (2016)'!$A$3,"MA_HT","CAN","MA_QH","LUK")</f>
        <v>0</v>
      </c>
      <c r="I21" s="22">
        <f ca="1">+GETPIVOTDATA("XBT4",'binhtrung (2016)'!$A$3,"MA_HT","CAN","MA_QH","LUN")</f>
        <v>0</v>
      </c>
      <c r="J21" s="22">
        <f ca="1">+GETPIVOTDATA("XBT4",'binhtrung (2016)'!$A$3,"MA_HT","CAN","MA_QH","HNK")</f>
        <v>0</v>
      </c>
      <c r="K21" s="22">
        <f ca="1">+GETPIVOTDATA("XBT4",'binhtrung (2016)'!$A$3,"MA_HT","CAN","MA_QH","CLN")</f>
        <v>0</v>
      </c>
      <c r="L21" s="22">
        <f ca="1">+GETPIVOTDATA("XBT4",'binhtrung (2016)'!$A$3,"MA_HT","CAN","MA_QH","RSX")</f>
        <v>0</v>
      </c>
      <c r="M21" s="22">
        <f ca="1">+GETPIVOTDATA("XBT4",'binhtrung (2016)'!$A$3,"MA_HT","CAN","MA_QH","RPH")</f>
        <v>0</v>
      </c>
      <c r="N21" s="22">
        <f ca="1">+GETPIVOTDATA("XBT4",'binhtrung (2016)'!$A$3,"MA_HT","CAN","MA_QH","RDD")</f>
        <v>0</v>
      </c>
      <c r="O21" s="22">
        <f ca="1">+GETPIVOTDATA("XBT4",'binhtrung (2016)'!$A$3,"MA_HT","CAN","MA_QH","NTS")</f>
        <v>0</v>
      </c>
      <c r="P21" s="22">
        <f ca="1">+GETPIVOTDATA("XBT4",'binhtrung (2016)'!$A$3,"MA_HT","CAN","MA_QH","LMU")</f>
        <v>0</v>
      </c>
      <c r="Q21" s="22">
        <f ca="1">+GETPIVOTDATA("XBT4",'binhtrung (2016)'!$A$3,"MA_HT","CAN","MA_QH","NKH")</f>
        <v>0</v>
      </c>
      <c r="R21" s="42">
        <f ca="1">SUM(S21,U21:AA21,AN21:BD21)</f>
        <v>0</v>
      </c>
      <c r="S21" s="22">
        <f ca="1">+GETPIVOTDATA("XBT4",'binhtrung (2016)'!$A$3,"MA_HT","CAN","MA_QH","CQP")</f>
        <v>0</v>
      </c>
      <c r="T21" s="43" t="e">
        <f ca="1">$D21-$BF21</f>
        <v>#REF!</v>
      </c>
      <c r="U21" s="22">
        <f ca="1">+GETPIVOTDATA("XBT4",'binhtrung (2016)'!$A$3,"MA_HT","CAN","MA_QH","SKK")</f>
        <v>0</v>
      </c>
      <c r="V21" s="22">
        <f ca="1">+GETPIVOTDATA("XBT4",'binhtrung (2016)'!$A$3,"MA_HT","CAN","MA_QH","SKT")</f>
        <v>0</v>
      </c>
      <c r="W21" s="22">
        <f ca="1">+GETPIVOTDATA("XBT4",'binhtrung (2016)'!$A$3,"MA_HT","CAN","MA_QH","SKN")</f>
        <v>0</v>
      </c>
      <c r="X21" s="22">
        <f ca="1">+GETPIVOTDATA("XBT4",'binhtrung (2016)'!$A$3,"MA_HT","CAN","MA_QH","TMD")</f>
        <v>0</v>
      </c>
      <c r="Y21" s="22">
        <f ca="1">+GETPIVOTDATA("XBT4",'binhtrung (2016)'!$A$3,"MA_HT","CAN","MA_QH","SKC")</f>
        <v>0</v>
      </c>
      <c r="Z21" s="22">
        <f ca="1">+GETPIVOTDATA("XBT4",'binhtrung (2016)'!$A$3,"MA_HT","CAN","MA_QH","SKS")</f>
        <v>0</v>
      </c>
      <c r="AA21" s="52">
        <f ca="1" t="shared" si="12"/>
        <v>0</v>
      </c>
      <c r="AB21" s="22">
        <f ca="1">+GETPIVOTDATA("XBT4",'binhtrung (2016)'!$A$3,"MA_HT","CAN","MA_QH","DGT")</f>
        <v>0</v>
      </c>
      <c r="AC21" s="22">
        <f ca="1">+GETPIVOTDATA("XBT4",'binhtrung (2016)'!$A$3,"MA_HT","CAN","MA_QH","DTL")</f>
        <v>0</v>
      </c>
      <c r="AD21" s="22">
        <f ca="1">+GETPIVOTDATA("XBT4",'binhtrung (2016)'!$A$3,"MA_HT","CAN","MA_QH","DNL")</f>
        <v>0</v>
      </c>
      <c r="AE21" s="22">
        <f ca="1">+GETPIVOTDATA("XBT4",'binhtrung (2016)'!$A$3,"MA_HT","CAN","MA_QH","DBV")</f>
        <v>0</v>
      </c>
      <c r="AF21" s="22">
        <f ca="1">+GETPIVOTDATA("XBT4",'binhtrung (2016)'!$A$3,"MA_HT","CAN","MA_QH","DVH")</f>
        <v>0</v>
      </c>
      <c r="AG21" s="22">
        <f ca="1">+GETPIVOTDATA("XBT4",'binhtrung (2016)'!$A$3,"MA_HT","CAN","MA_QH","DYT")</f>
        <v>0</v>
      </c>
      <c r="AH21" s="22">
        <f ca="1">+GETPIVOTDATA("XBT4",'binhtrung (2016)'!$A$3,"MA_HT","CAN","MA_QH","DGD")</f>
        <v>0</v>
      </c>
      <c r="AI21" s="22">
        <f ca="1">+GETPIVOTDATA("XBT4",'binhtrung (2016)'!$A$3,"MA_HT","CAN","MA_QH","DTT")</f>
        <v>0</v>
      </c>
      <c r="AJ21" s="22">
        <f ca="1">+GETPIVOTDATA("XBT4",'binhtrung (2016)'!$A$3,"MA_HT","CAN","MA_QH","NCK")</f>
        <v>0</v>
      </c>
      <c r="AK21" s="22">
        <f ca="1">+GETPIVOTDATA("XBT4",'binhtrung (2016)'!$A$3,"MA_HT","CAN","MA_QH","DXH")</f>
        <v>0</v>
      </c>
      <c r="AL21" s="22">
        <f ca="1">+GETPIVOTDATA("XBT4",'binhtrung (2016)'!$A$3,"MA_HT","CAN","MA_QH","DCH")</f>
        <v>0</v>
      </c>
      <c r="AM21" s="22">
        <f ca="1">+GETPIVOTDATA("XBT4",'binhtrung (2016)'!$A$3,"MA_HT","CAN","MA_QH","DKG")</f>
        <v>0</v>
      </c>
      <c r="AN21" s="22">
        <f ca="1">+GETPIVOTDATA("XBT4",'binhtrung (2016)'!$A$3,"MA_HT","CAN","MA_QH","DDT")</f>
        <v>0</v>
      </c>
      <c r="AO21" s="22">
        <f ca="1">+GETPIVOTDATA("XBT4",'binhtrung (2016)'!$A$3,"MA_HT","CAN","MA_QH","DDL")</f>
        <v>0</v>
      </c>
      <c r="AP21" s="22">
        <f ca="1">+GETPIVOTDATA("XBT4",'binhtrung (2016)'!$A$3,"MA_HT","CAN","MA_QH","DRA")</f>
        <v>0</v>
      </c>
      <c r="AQ21" s="22">
        <f ca="1">+GETPIVOTDATA("XBT4",'binhtrung (2016)'!$A$3,"MA_HT","CAN","MA_QH","ONT")</f>
        <v>0</v>
      </c>
      <c r="AR21" s="22">
        <f ca="1">+GETPIVOTDATA("XBT4",'binhtrung (2016)'!$A$3,"MA_HT","CAN","MA_QH","ODT")</f>
        <v>0</v>
      </c>
      <c r="AS21" s="22">
        <f ca="1">+GETPIVOTDATA("XBT4",'binhtrung (2016)'!$A$3,"MA_HT","CAN","MA_QH","TSC")</f>
        <v>0</v>
      </c>
      <c r="AT21" s="22">
        <f ca="1">+GETPIVOTDATA("XBT4",'binhtrung (2016)'!$A$3,"MA_HT","CAN","MA_QH","DTS")</f>
        <v>0</v>
      </c>
      <c r="AU21" s="22">
        <f ca="1">+GETPIVOTDATA("XBT4",'binhtrung (2016)'!$A$3,"MA_HT","CAN","MA_QH","DNG")</f>
        <v>0</v>
      </c>
      <c r="AV21" s="22">
        <f ca="1">+GETPIVOTDATA("XBT4",'binhtrung (2016)'!$A$3,"MA_HT","CAN","MA_QH","TON")</f>
        <v>0</v>
      </c>
      <c r="AW21" s="22">
        <f ca="1">+GETPIVOTDATA("XBT4",'binhtrung (2016)'!$A$3,"MA_HT","CAN","MA_QH","NTD")</f>
        <v>0</v>
      </c>
      <c r="AX21" s="22">
        <f ca="1">+GETPIVOTDATA("XBT4",'binhtrung (2016)'!$A$3,"MA_HT","CAN","MA_QH","SKX")</f>
        <v>0</v>
      </c>
      <c r="AY21" s="22">
        <f ca="1">+GETPIVOTDATA("XBT4",'binhtrung (2016)'!$A$3,"MA_HT","CAN","MA_QH","DSH")</f>
        <v>0</v>
      </c>
      <c r="AZ21" s="22">
        <f ca="1">+GETPIVOTDATA("XBT4",'binhtrung (2016)'!$A$3,"MA_HT","CAN","MA_QH","DKV")</f>
        <v>0</v>
      </c>
      <c r="BA21" s="89">
        <f ca="1">+GETPIVOTDATA("XBT4",'binhtrung (2016)'!$A$3,"MA_HT","CAN","MA_QH","TIN")</f>
        <v>0</v>
      </c>
      <c r="BB21" s="50">
        <f ca="1">+GETPIVOTDATA("XBT4",'binhtrung (2016)'!$A$3,"MA_HT","CAN","MA_QH","SON")</f>
        <v>0</v>
      </c>
      <c r="BC21" s="50">
        <f ca="1">+GETPIVOTDATA("XBT4",'binhtrung (2016)'!$A$3,"MA_HT","CAN","MA_QH","MNC")</f>
        <v>0</v>
      </c>
      <c r="BD21" s="22">
        <f ca="1">+GETPIVOTDATA("XBT4",'binhtrung (2016)'!$A$3,"MA_HT","CAN","MA_QH","PNK")</f>
        <v>0</v>
      </c>
      <c r="BE21" s="71">
        <f ca="1">+GETPIVOTDATA("XBT4",'binhtrung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+GETPIVOTDATA("XBT4",'binhtrung (2016)'!$A$3,"MA_HT","SKK","MA_QH","LUC")</f>
        <v>0</v>
      </c>
      <c r="H22" s="22">
        <f ca="1">+GETPIVOTDATA("XBT4",'binhtrung (2016)'!$A$3,"MA_HT","SKK","MA_QH","LUK")</f>
        <v>0</v>
      </c>
      <c r="I22" s="22">
        <f ca="1">+GETPIVOTDATA("XBT4",'binhtrung (2016)'!$A$3,"MA_HT","SKK","MA_QH","LUN")</f>
        <v>0</v>
      </c>
      <c r="J22" s="22">
        <f ca="1">+GETPIVOTDATA("XBT4",'binhtrung (2016)'!$A$3,"MA_HT","SKK","MA_QH","HNK")</f>
        <v>0</v>
      </c>
      <c r="K22" s="22">
        <f ca="1">+GETPIVOTDATA("XBT4",'binhtrung (2016)'!$A$3,"MA_HT","SKK","MA_QH","CLN")</f>
        <v>0</v>
      </c>
      <c r="L22" s="22">
        <f ca="1">+GETPIVOTDATA("XBT4",'binhtrung (2016)'!$A$3,"MA_HT","SKK","MA_QH","RSX")</f>
        <v>0</v>
      </c>
      <c r="M22" s="22">
        <f ca="1">+GETPIVOTDATA("XBT4",'binhtrung (2016)'!$A$3,"MA_HT","SKK","MA_QH","RPH")</f>
        <v>0</v>
      </c>
      <c r="N22" s="22">
        <f ca="1">+GETPIVOTDATA("XBT4",'binhtrung (2016)'!$A$3,"MA_HT","SKK","MA_QH","RDD")</f>
        <v>0</v>
      </c>
      <c r="O22" s="22">
        <f ca="1">+GETPIVOTDATA("XBT4",'binhtrung (2016)'!$A$3,"MA_HT","SKK","MA_QH","NTS")</f>
        <v>0</v>
      </c>
      <c r="P22" s="22">
        <f ca="1">+GETPIVOTDATA("XBT4",'binhtrung (2016)'!$A$3,"MA_HT","SKK","MA_QH","LMU")</f>
        <v>0</v>
      </c>
      <c r="Q22" s="22">
        <f ca="1">+GETPIVOTDATA("XBT4",'binhtrung (2016)'!$A$3,"MA_HT","SKK","MA_QH","NKH")</f>
        <v>0</v>
      </c>
      <c r="R22" s="42">
        <f ca="1">SUM(S22:T22,V22:AA22,AN22:BD22)</f>
        <v>0</v>
      </c>
      <c r="S22" s="22">
        <f ca="1">+GETPIVOTDATA("XBT4",'binhtrung (2016)'!$A$3,"MA_HT","SKK","MA_QH","CQP")</f>
        <v>0</v>
      </c>
      <c r="T22" s="22">
        <f ca="1">+GETPIVOTDATA("XBT4",'binhtrung (2016)'!$A$3,"MA_HT","SKK","MA_QH","CAN")</f>
        <v>0</v>
      </c>
      <c r="U22" s="43" t="e">
        <f ca="1">$D22-$BF22</f>
        <v>#REF!</v>
      </c>
      <c r="V22" s="22">
        <f ca="1">+GETPIVOTDATA("XBT4",'binhtrung (2016)'!$A$3,"MA_HT","SKK","MA_QH","SKT")</f>
        <v>0</v>
      </c>
      <c r="W22" s="22">
        <f ca="1">+GETPIVOTDATA("XBT4",'binhtrung (2016)'!$A$3,"MA_HT","SKK","MA_QH","SKN")</f>
        <v>0</v>
      </c>
      <c r="X22" s="22">
        <f ca="1">+GETPIVOTDATA("XBT4",'binhtrung (2016)'!$A$3,"MA_HT","SKK","MA_QH","TMD")</f>
        <v>0</v>
      </c>
      <c r="Y22" s="22">
        <f ca="1">+GETPIVOTDATA("XBT4",'binhtrung (2016)'!$A$3,"MA_HT","SKK","MA_QH","SKC")</f>
        <v>0</v>
      </c>
      <c r="Z22" s="22">
        <f ca="1">+GETPIVOTDATA("XBT4",'binhtrung (2016)'!$A$3,"MA_HT","SKK","MA_QH","SKS")</f>
        <v>0</v>
      </c>
      <c r="AA22" s="52">
        <f ca="1" t="shared" si="12"/>
        <v>0</v>
      </c>
      <c r="AB22" s="22">
        <f ca="1">+GETPIVOTDATA("XBT4",'binhtrung (2016)'!$A$3,"MA_HT","SKK","MA_QH","DGT")</f>
        <v>0</v>
      </c>
      <c r="AC22" s="22">
        <f ca="1">+GETPIVOTDATA("XBT4",'binhtrung (2016)'!$A$3,"MA_HT","SKK","MA_QH","DTL")</f>
        <v>0</v>
      </c>
      <c r="AD22" s="22">
        <f ca="1">+GETPIVOTDATA("XBT4",'binhtrung (2016)'!$A$3,"MA_HT","SKK","MA_QH","DNL")</f>
        <v>0</v>
      </c>
      <c r="AE22" s="22">
        <f ca="1">+GETPIVOTDATA("XBT4",'binhtrung (2016)'!$A$3,"MA_HT","SKK","MA_QH","DBV")</f>
        <v>0</v>
      </c>
      <c r="AF22" s="22">
        <f ca="1">+GETPIVOTDATA("XBT4",'binhtrung (2016)'!$A$3,"MA_HT","SKK","MA_QH","DVH")</f>
        <v>0</v>
      </c>
      <c r="AG22" s="22">
        <f ca="1">+GETPIVOTDATA("XBT4",'binhtrung (2016)'!$A$3,"MA_HT","SKK","MA_QH","DYT")</f>
        <v>0</v>
      </c>
      <c r="AH22" s="22">
        <f ca="1">+GETPIVOTDATA("XBT4",'binhtrung (2016)'!$A$3,"MA_HT","SKK","MA_QH","DGD")</f>
        <v>0</v>
      </c>
      <c r="AI22" s="22">
        <f ca="1">+GETPIVOTDATA("XBT4",'binhtrung (2016)'!$A$3,"MA_HT","SKK","MA_QH","DTT")</f>
        <v>0</v>
      </c>
      <c r="AJ22" s="22">
        <f ca="1">+GETPIVOTDATA("XBT4",'binhtrung (2016)'!$A$3,"MA_HT","SKK","MA_QH","NCK")</f>
        <v>0</v>
      </c>
      <c r="AK22" s="22">
        <f ca="1">+GETPIVOTDATA("XBT4",'binhtrung (2016)'!$A$3,"MA_HT","SKK","MA_QH","DXH")</f>
        <v>0</v>
      </c>
      <c r="AL22" s="22">
        <f ca="1">+GETPIVOTDATA("XBT4",'binhtrung (2016)'!$A$3,"MA_HT","SKK","MA_QH","DCH")</f>
        <v>0</v>
      </c>
      <c r="AM22" s="22">
        <f ca="1">+GETPIVOTDATA("XBT4",'binhtrung (2016)'!$A$3,"MA_HT","SKK","MA_QH","DKG")</f>
        <v>0</v>
      </c>
      <c r="AN22" s="22">
        <f ca="1">+GETPIVOTDATA("XBT4",'binhtrung (2016)'!$A$3,"MA_HT","SKK","MA_QH","DDT")</f>
        <v>0</v>
      </c>
      <c r="AO22" s="22">
        <f ca="1">+GETPIVOTDATA("XBT4",'binhtrung (2016)'!$A$3,"MA_HT","SKK","MA_QH","DDL")</f>
        <v>0</v>
      </c>
      <c r="AP22" s="22">
        <f ca="1">+GETPIVOTDATA("XBT4",'binhtrung (2016)'!$A$3,"MA_HT","SKK","MA_QH","DRA")</f>
        <v>0</v>
      </c>
      <c r="AQ22" s="22">
        <f ca="1">+GETPIVOTDATA("XBT4",'binhtrung (2016)'!$A$3,"MA_HT","SKK","MA_QH","ONT")</f>
        <v>0</v>
      </c>
      <c r="AR22" s="22">
        <f ca="1">+GETPIVOTDATA("XBT4",'binhtrung (2016)'!$A$3,"MA_HT","SKK","MA_QH","ODT")</f>
        <v>0</v>
      </c>
      <c r="AS22" s="22">
        <f ca="1">+GETPIVOTDATA("XBT4",'binhtrung (2016)'!$A$3,"MA_HT","SKK","MA_QH","TSC")</f>
        <v>0</v>
      </c>
      <c r="AT22" s="22">
        <f ca="1">+GETPIVOTDATA("XBT4",'binhtrung (2016)'!$A$3,"MA_HT","SKK","MA_QH","DTS")</f>
        <v>0</v>
      </c>
      <c r="AU22" s="22">
        <f ca="1">+GETPIVOTDATA("XBT4",'binhtrung (2016)'!$A$3,"MA_HT","SKK","MA_QH","DNG")</f>
        <v>0</v>
      </c>
      <c r="AV22" s="22">
        <f ca="1">+GETPIVOTDATA("XBT4",'binhtrung (2016)'!$A$3,"MA_HT","SKK","MA_QH","TON")</f>
        <v>0</v>
      </c>
      <c r="AW22" s="22">
        <f ca="1">+GETPIVOTDATA("XBT4",'binhtrung (2016)'!$A$3,"MA_HT","SKK","MA_QH","NTD")</f>
        <v>0</v>
      </c>
      <c r="AX22" s="22">
        <f ca="1">+GETPIVOTDATA("XBT4",'binhtrung (2016)'!$A$3,"MA_HT","SKK","MA_QH","SKX")</f>
        <v>0</v>
      </c>
      <c r="AY22" s="22">
        <f ca="1">+GETPIVOTDATA("XBT4",'binhtrung (2016)'!$A$3,"MA_HT","SKK","MA_QH","DSH")</f>
        <v>0</v>
      </c>
      <c r="AZ22" s="22">
        <f ca="1">+GETPIVOTDATA("XBT4",'binhtrung (2016)'!$A$3,"MA_HT","SKK","MA_QH","DKV")</f>
        <v>0</v>
      </c>
      <c r="BA22" s="89">
        <f ca="1">+GETPIVOTDATA("XBT4",'binhtrung (2016)'!$A$3,"MA_HT","SKK","MA_QH","TIN")</f>
        <v>0</v>
      </c>
      <c r="BB22" s="50">
        <f ca="1">+GETPIVOTDATA("XBT4",'binhtrung (2016)'!$A$3,"MA_HT","SKK","MA_QH","SON")</f>
        <v>0</v>
      </c>
      <c r="BC22" s="50">
        <f ca="1">+GETPIVOTDATA("XBT4",'binhtrung (2016)'!$A$3,"MA_HT","SKK","MA_QH","MNC")</f>
        <v>0</v>
      </c>
      <c r="BD22" s="22">
        <f ca="1">+GETPIVOTDATA("XBT4",'binhtrung (2016)'!$A$3,"MA_HT","SKK","MA_QH","PNK")</f>
        <v>0</v>
      </c>
      <c r="BE22" s="71">
        <f ca="1">+GETPIVOTDATA("XBT4",'binhtrung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+GETPIVOTDATA("XBT4",'binhtrung (2016)'!$A$3,"MA_HT","SKT","MA_QH","LUC")</f>
        <v>0</v>
      </c>
      <c r="H23" s="22">
        <f ca="1">+GETPIVOTDATA("XBT4",'binhtrung (2016)'!$A$3,"MA_HT","SKT","MA_QH","LUK")</f>
        <v>0</v>
      </c>
      <c r="I23" s="22">
        <f ca="1">+GETPIVOTDATA("XBT4",'binhtrung (2016)'!$A$3,"MA_HT","SKT","MA_QH","LUN")</f>
        <v>0</v>
      </c>
      <c r="J23" s="22">
        <f ca="1">+GETPIVOTDATA("XBT4",'binhtrung (2016)'!$A$3,"MA_HT","SKT","MA_QH","HNK")</f>
        <v>0</v>
      </c>
      <c r="K23" s="22">
        <f ca="1">+GETPIVOTDATA("XBT4",'binhtrung (2016)'!$A$3,"MA_HT","SKT","MA_QH","CLN")</f>
        <v>0</v>
      </c>
      <c r="L23" s="22">
        <f ca="1">+GETPIVOTDATA("XBT4",'binhtrung (2016)'!$A$3,"MA_HT","SKT","MA_QH","RSX")</f>
        <v>0</v>
      </c>
      <c r="M23" s="22">
        <f ca="1">+GETPIVOTDATA("XBT4",'binhtrung (2016)'!$A$3,"MA_HT","SKT","MA_QH","RPH")</f>
        <v>0</v>
      </c>
      <c r="N23" s="22">
        <f ca="1">+GETPIVOTDATA("XBT4",'binhtrung (2016)'!$A$3,"MA_HT","SKT","MA_QH","RDD")</f>
        <v>0</v>
      </c>
      <c r="O23" s="22">
        <f ca="1">+GETPIVOTDATA("XBT4",'binhtrung (2016)'!$A$3,"MA_HT","SKT","MA_QH","NTS")</f>
        <v>0</v>
      </c>
      <c r="P23" s="22">
        <f ca="1">+GETPIVOTDATA("XBT4",'binhtrung (2016)'!$A$3,"MA_HT","SKT","MA_QH","LMU")</f>
        <v>0</v>
      </c>
      <c r="Q23" s="22">
        <f ca="1">+GETPIVOTDATA("XBT4",'binhtrung (2016)'!$A$3,"MA_HT","SKT","MA_QH","NKH")</f>
        <v>0</v>
      </c>
      <c r="R23" s="42">
        <f ca="1">SUM(S23:U23,W23:AA23,AN23:BD23)</f>
        <v>0</v>
      </c>
      <c r="S23" s="22">
        <f ca="1">+GETPIVOTDATA("XBT4",'binhtrung (2016)'!$A$3,"MA_HT","SKT","MA_QH","CQP")</f>
        <v>0</v>
      </c>
      <c r="T23" s="22">
        <f ca="1">+GETPIVOTDATA("XBT4",'binhtrung (2016)'!$A$3,"MA_HT","SKT","MA_QH","CAN")</f>
        <v>0</v>
      </c>
      <c r="U23" s="22">
        <f ca="1">+GETPIVOTDATA("XBT4",'binhtrung (2016)'!$A$3,"MA_HT","SKT","MA_QH","SKK")</f>
        <v>0</v>
      </c>
      <c r="V23" s="43" t="e">
        <f ca="1">$D23-$BF23</f>
        <v>#REF!</v>
      </c>
      <c r="W23" s="22">
        <f ca="1">+GETPIVOTDATA("XBT4",'binhtrung (2016)'!$A$3,"MA_HT","SKT","MA_QH","SKN")</f>
        <v>0</v>
      </c>
      <c r="X23" s="22">
        <f ca="1">+GETPIVOTDATA("XBT4",'binhtrung (2016)'!$A$3,"MA_HT","SKT","MA_QH","TMD")</f>
        <v>0</v>
      </c>
      <c r="Y23" s="22">
        <f ca="1">+GETPIVOTDATA("XBT4",'binhtrung (2016)'!$A$3,"MA_HT","SKT","MA_QH","SKC")</f>
        <v>0</v>
      </c>
      <c r="Z23" s="22">
        <f ca="1">+GETPIVOTDATA("XBT4",'binhtrung (2016)'!$A$3,"MA_HT","SKT","MA_QH","SKS")</f>
        <v>0</v>
      </c>
      <c r="AA23" s="52">
        <f ca="1" t="shared" si="12"/>
        <v>0</v>
      </c>
      <c r="AB23" s="22">
        <f ca="1">+GETPIVOTDATA("XBT4",'binhtrung (2016)'!$A$3,"MA_HT","SKT","MA_QH","DGT")</f>
        <v>0</v>
      </c>
      <c r="AC23" s="22">
        <f ca="1">+GETPIVOTDATA("XBT4",'binhtrung (2016)'!$A$3,"MA_HT","SKT","MA_QH","DTL")</f>
        <v>0</v>
      </c>
      <c r="AD23" s="22">
        <f ca="1">+GETPIVOTDATA("XBT4",'binhtrung (2016)'!$A$3,"MA_HT","SKT","MA_QH","DNL")</f>
        <v>0</v>
      </c>
      <c r="AE23" s="22">
        <f ca="1">+GETPIVOTDATA("XBT4",'binhtrung (2016)'!$A$3,"MA_HT","SKT","MA_QH","DBV")</f>
        <v>0</v>
      </c>
      <c r="AF23" s="22">
        <f ca="1">+GETPIVOTDATA("XBT4",'binhtrung (2016)'!$A$3,"MA_HT","SKT","MA_QH","DVH")</f>
        <v>0</v>
      </c>
      <c r="AG23" s="22">
        <f ca="1">+GETPIVOTDATA("XBT4",'binhtrung (2016)'!$A$3,"MA_HT","SKT","MA_QH","DYT")</f>
        <v>0</v>
      </c>
      <c r="AH23" s="22">
        <f ca="1">+GETPIVOTDATA("XBT4",'binhtrung (2016)'!$A$3,"MA_HT","SKT","MA_QH","DGD")</f>
        <v>0</v>
      </c>
      <c r="AI23" s="22">
        <f ca="1">+GETPIVOTDATA("XBT4",'binhtrung (2016)'!$A$3,"MA_HT","SKT","MA_QH","DTT")</f>
        <v>0</v>
      </c>
      <c r="AJ23" s="22">
        <f ca="1">+GETPIVOTDATA("XBT4",'binhtrung (2016)'!$A$3,"MA_HT","SKT","MA_QH","NCK")</f>
        <v>0</v>
      </c>
      <c r="AK23" s="22">
        <f ca="1">+GETPIVOTDATA("XBT4",'binhtrung (2016)'!$A$3,"MA_HT","SKT","MA_QH","DXH")</f>
        <v>0</v>
      </c>
      <c r="AL23" s="22">
        <f ca="1">+GETPIVOTDATA("XBT4",'binhtrung (2016)'!$A$3,"MA_HT","SKT","MA_QH","DCH")</f>
        <v>0</v>
      </c>
      <c r="AM23" s="22">
        <f ca="1">+GETPIVOTDATA("XBT4",'binhtrung (2016)'!$A$3,"MA_HT","SKT","MA_QH","DKG")</f>
        <v>0</v>
      </c>
      <c r="AN23" s="22">
        <f ca="1">+GETPIVOTDATA("XBT4",'binhtrung (2016)'!$A$3,"MA_HT","SKT","MA_QH","DDT")</f>
        <v>0</v>
      </c>
      <c r="AO23" s="22">
        <f ca="1">+GETPIVOTDATA("XBT4",'binhtrung (2016)'!$A$3,"MA_HT","SKT","MA_QH","DDL")</f>
        <v>0</v>
      </c>
      <c r="AP23" s="22">
        <f ca="1">+GETPIVOTDATA("XBT4",'binhtrung (2016)'!$A$3,"MA_HT","SKT","MA_QH","DRA")</f>
        <v>0</v>
      </c>
      <c r="AQ23" s="22">
        <f ca="1">+GETPIVOTDATA("XBT4",'binhtrung (2016)'!$A$3,"MA_HT","SKT","MA_QH","ONT")</f>
        <v>0</v>
      </c>
      <c r="AR23" s="22">
        <f ca="1">+GETPIVOTDATA("XBT4",'binhtrung (2016)'!$A$3,"MA_HT","SKT","MA_QH","ODT")</f>
        <v>0</v>
      </c>
      <c r="AS23" s="22">
        <f ca="1">+GETPIVOTDATA("XBT4",'binhtrung (2016)'!$A$3,"MA_HT","SKT","MA_QH","TSC")</f>
        <v>0</v>
      </c>
      <c r="AT23" s="22">
        <f ca="1">+GETPIVOTDATA("XBT4",'binhtrung (2016)'!$A$3,"MA_HT","SKT","MA_QH","DTS")</f>
        <v>0</v>
      </c>
      <c r="AU23" s="22">
        <f ca="1">+GETPIVOTDATA("XBT4",'binhtrung (2016)'!$A$3,"MA_HT","SKT","MA_QH","DNG")</f>
        <v>0</v>
      </c>
      <c r="AV23" s="22">
        <f ca="1">+GETPIVOTDATA("XBT4",'binhtrung (2016)'!$A$3,"MA_HT","SKT","MA_QH","TON")</f>
        <v>0</v>
      </c>
      <c r="AW23" s="22">
        <f ca="1">+GETPIVOTDATA("XBT4",'binhtrung (2016)'!$A$3,"MA_HT","SKT","MA_QH","NTD")</f>
        <v>0</v>
      </c>
      <c r="AX23" s="22">
        <f ca="1">+GETPIVOTDATA("XBT4",'binhtrung (2016)'!$A$3,"MA_HT","SKT","MA_QH","SKX")</f>
        <v>0</v>
      </c>
      <c r="AY23" s="22">
        <f ca="1">+GETPIVOTDATA("XBT4",'binhtrung (2016)'!$A$3,"MA_HT","SKT","MA_QH","DSH")</f>
        <v>0</v>
      </c>
      <c r="AZ23" s="22">
        <f ca="1">+GETPIVOTDATA("XBT4",'binhtrung (2016)'!$A$3,"MA_HT","SKT","MA_QH","DKV")</f>
        <v>0</v>
      </c>
      <c r="BA23" s="89">
        <f ca="1">+GETPIVOTDATA("XBT4",'binhtrung (2016)'!$A$3,"MA_HT","SKT","MA_QH","TIN")</f>
        <v>0</v>
      </c>
      <c r="BB23" s="50">
        <f ca="1">+GETPIVOTDATA("XBT4",'binhtrung (2016)'!$A$3,"MA_HT","SKT","MA_QH","SON")</f>
        <v>0</v>
      </c>
      <c r="BC23" s="50">
        <f ca="1">+GETPIVOTDATA("XBT4",'binhtrung (2016)'!$A$3,"MA_HT","SKT","MA_QH","MNC")</f>
        <v>0</v>
      </c>
      <c r="BD23" s="22">
        <f ca="1">+GETPIVOTDATA("XBT4",'binhtrung (2016)'!$A$3,"MA_HT","SKT","MA_QH","PNK")</f>
        <v>0</v>
      </c>
      <c r="BE23" s="71">
        <f ca="1">+GETPIVOTDATA("XBT4",'binhtrung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+GETPIVOTDATA("XBT4",'binhtrung (2016)'!$A$3,"MA_HT","SKN","MA_QH","LUC")</f>
        <v>0</v>
      </c>
      <c r="H24" s="22">
        <f ca="1">+GETPIVOTDATA("XBT4",'binhtrung (2016)'!$A$3,"MA_HT","SKN","MA_QH","LUK")</f>
        <v>0</v>
      </c>
      <c r="I24" s="22">
        <f ca="1">+GETPIVOTDATA("XBT4",'binhtrung (2016)'!$A$3,"MA_HT","SKN","MA_QH","LUN")</f>
        <v>0</v>
      </c>
      <c r="J24" s="22">
        <f ca="1">+GETPIVOTDATA("XBT4",'binhtrung (2016)'!$A$3,"MA_HT","SKN","MA_QH","HNK")</f>
        <v>0</v>
      </c>
      <c r="K24" s="22">
        <f ca="1">+GETPIVOTDATA("XBT4",'binhtrung (2016)'!$A$3,"MA_HT","SKN","MA_QH","CLN")</f>
        <v>0</v>
      </c>
      <c r="L24" s="22">
        <f ca="1">+GETPIVOTDATA("XBT4",'binhtrung (2016)'!$A$3,"MA_HT","SKN","MA_QH","RSX")</f>
        <v>0</v>
      </c>
      <c r="M24" s="22">
        <f ca="1">+GETPIVOTDATA("XBT4",'binhtrung (2016)'!$A$3,"MA_HT","SKN","MA_QH","RPH")</f>
        <v>0</v>
      </c>
      <c r="N24" s="22">
        <f ca="1">+GETPIVOTDATA("XBT4",'binhtrung (2016)'!$A$3,"MA_HT","SKN","MA_QH","RDD")</f>
        <v>0</v>
      </c>
      <c r="O24" s="22">
        <f ca="1">+GETPIVOTDATA("XBT4",'binhtrung (2016)'!$A$3,"MA_HT","SKN","MA_QH","NTS")</f>
        <v>0</v>
      </c>
      <c r="P24" s="22">
        <f ca="1">+GETPIVOTDATA("XBT4",'binhtrung (2016)'!$A$3,"MA_HT","SKN","MA_QH","LMU")</f>
        <v>0</v>
      </c>
      <c r="Q24" s="22">
        <f ca="1">+GETPIVOTDATA("XBT4",'binhtrung (2016)'!$A$3,"MA_HT","SKN","MA_QH","NKH")</f>
        <v>0</v>
      </c>
      <c r="R24" s="42">
        <f ca="1">SUM(S24:V24,X24:AA24,AN24:BD24)</f>
        <v>0</v>
      </c>
      <c r="S24" s="22">
        <f ca="1">+GETPIVOTDATA("XBT4",'binhtrung (2016)'!$A$3,"MA_HT","SKN","MA_QH","CQP")</f>
        <v>0</v>
      </c>
      <c r="T24" s="22">
        <f ca="1">+GETPIVOTDATA("XBT4",'binhtrung (2016)'!$A$3,"MA_HT","SKN","MA_QH","CAN")</f>
        <v>0</v>
      </c>
      <c r="U24" s="22">
        <f ca="1">+GETPIVOTDATA("XBT4",'binhtrung (2016)'!$A$3,"MA_HT","SKN","MA_QH","SKK")</f>
        <v>0</v>
      </c>
      <c r="V24" s="22">
        <f ca="1">+GETPIVOTDATA("XBT4",'binhtrung (2016)'!$A$3,"MA_HT","SKN","MA_QH","SKT")</f>
        <v>0</v>
      </c>
      <c r="W24" s="43" t="e">
        <f ca="1">$D24-$BF24</f>
        <v>#REF!</v>
      </c>
      <c r="X24" s="22">
        <f ca="1">+GETPIVOTDATA("XBT4",'binhtrung (2016)'!$A$3,"MA_HT","SKN","MA_QH","TMD")</f>
        <v>0</v>
      </c>
      <c r="Y24" s="22">
        <f ca="1">+GETPIVOTDATA("XBT4",'binhtrung (2016)'!$A$3,"MA_HT","SKN","MA_QH","SKC")</f>
        <v>0</v>
      </c>
      <c r="Z24" s="22">
        <f ca="1">+GETPIVOTDATA("XBT4",'binhtrung (2016)'!$A$3,"MA_HT","SKN","MA_QH","SKS")</f>
        <v>0</v>
      </c>
      <c r="AA24" s="52">
        <f ca="1" t="shared" si="12"/>
        <v>0</v>
      </c>
      <c r="AB24" s="22">
        <f ca="1">+GETPIVOTDATA("XBT4",'binhtrung (2016)'!$A$3,"MA_HT","SKN","MA_QH","DGT")</f>
        <v>0</v>
      </c>
      <c r="AC24" s="22">
        <f ca="1">+GETPIVOTDATA("XBT4",'binhtrung (2016)'!$A$3,"MA_HT","SKN","MA_QH","DTL")</f>
        <v>0</v>
      </c>
      <c r="AD24" s="22">
        <f ca="1">+GETPIVOTDATA("XBT4",'binhtrung (2016)'!$A$3,"MA_HT","SKN","MA_QH","DNL")</f>
        <v>0</v>
      </c>
      <c r="AE24" s="22">
        <f ca="1">+GETPIVOTDATA("XBT4",'binhtrung (2016)'!$A$3,"MA_HT","SKN","MA_QH","DBV")</f>
        <v>0</v>
      </c>
      <c r="AF24" s="22">
        <f ca="1">+GETPIVOTDATA("XBT4",'binhtrung (2016)'!$A$3,"MA_HT","SKN","MA_QH","DVH")</f>
        <v>0</v>
      </c>
      <c r="AG24" s="22">
        <f ca="1">+GETPIVOTDATA("XBT4",'binhtrung (2016)'!$A$3,"MA_HT","SKN","MA_QH","DYT")</f>
        <v>0</v>
      </c>
      <c r="AH24" s="22">
        <f ca="1">+GETPIVOTDATA("XBT4",'binhtrung (2016)'!$A$3,"MA_HT","SKN","MA_QH","DGD")</f>
        <v>0</v>
      </c>
      <c r="AI24" s="22">
        <f ca="1">+GETPIVOTDATA("XBT4",'binhtrung (2016)'!$A$3,"MA_HT","SKN","MA_QH","DTT")</f>
        <v>0</v>
      </c>
      <c r="AJ24" s="22">
        <f ca="1">+GETPIVOTDATA("XBT4",'binhtrung (2016)'!$A$3,"MA_HT","SKN","MA_QH","NCK")</f>
        <v>0</v>
      </c>
      <c r="AK24" s="22">
        <f ca="1">+GETPIVOTDATA("XBT4",'binhtrung (2016)'!$A$3,"MA_HT","SKN","MA_QH","DXH")</f>
        <v>0</v>
      </c>
      <c r="AL24" s="22">
        <f ca="1">+GETPIVOTDATA("XBT4",'binhtrung (2016)'!$A$3,"MA_HT","SKN","MA_QH","DCH")</f>
        <v>0</v>
      </c>
      <c r="AM24" s="22">
        <f ca="1">+GETPIVOTDATA("XBT4",'binhtrung (2016)'!$A$3,"MA_HT","SKN","MA_QH","DKG")</f>
        <v>0</v>
      </c>
      <c r="AN24" s="22">
        <f ca="1">+GETPIVOTDATA("XBT4",'binhtrung (2016)'!$A$3,"MA_HT","SKN","MA_QH","DDT")</f>
        <v>0</v>
      </c>
      <c r="AO24" s="22">
        <f ca="1">+GETPIVOTDATA("XBT4",'binhtrung (2016)'!$A$3,"MA_HT","SKN","MA_QH","DDL")</f>
        <v>0</v>
      </c>
      <c r="AP24" s="22">
        <f ca="1">+GETPIVOTDATA("XBT4",'binhtrung (2016)'!$A$3,"MA_HT","SKN","MA_QH","DRA")</f>
        <v>0</v>
      </c>
      <c r="AQ24" s="22">
        <f ca="1">+GETPIVOTDATA("XBT4",'binhtrung (2016)'!$A$3,"MA_HT","SKN","MA_QH","ONT")</f>
        <v>0</v>
      </c>
      <c r="AR24" s="22">
        <f ca="1">+GETPIVOTDATA("XBT4",'binhtrung (2016)'!$A$3,"MA_HT","SKN","MA_QH","ODT")</f>
        <v>0</v>
      </c>
      <c r="AS24" s="22">
        <f ca="1">+GETPIVOTDATA("XBT4",'binhtrung (2016)'!$A$3,"MA_HT","SKN","MA_QH","TSC")</f>
        <v>0</v>
      </c>
      <c r="AT24" s="22">
        <f ca="1">+GETPIVOTDATA("XBT4",'binhtrung (2016)'!$A$3,"MA_HT","SKN","MA_QH","DTS")</f>
        <v>0</v>
      </c>
      <c r="AU24" s="22">
        <f ca="1">+GETPIVOTDATA("XBT4",'binhtrung (2016)'!$A$3,"MA_HT","SKN","MA_QH","DNG")</f>
        <v>0</v>
      </c>
      <c r="AV24" s="22">
        <f ca="1">+GETPIVOTDATA("XBT4",'binhtrung (2016)'!$A$3,"MA_HT","SKN","MA_QH","TON")</f>
        <v>0</v>
      </c>
      <c r="AW24" s="22">
        <f ca="1">+GETPIVOTDATA("XBT4",'binhtrung (2016)'!$A$3,"MA_HT","SKN","MA_QH","NTD")</f>
        <v>0</v>
      </c>
      <c r="AX24" s="22">
        <f ca="1">+GETPIVOTDATA("XBT4",'binhtrung (2016)'!$A$3,"MA_HT","SKN","MA_QH","SKX")</f>
        <v>0</v>
      </c>
      <c r="AY24" s="22">
        <f ca="1">+GETPIVOTDATA("XBT4",'binhtrung (2016)'!$A$3,"MA_HT","SKN","MA_QH","DSH")</f>
        <v>0</v>
      </c>
      <c r="AZ24" s="22">
        <f ca="1">+GETPIVOTDATA("XBT4",'binhtrung (2016)'!$A$3,"MA_HT","SKN","MA_QH","DKV")</f>
        <v>0</v>
      </c>
      <c r="BA24" s="89">
        <f ca="1">+GETPIVOTDATA("XBT4",'binhtrung (2016)'!$A$3,"MA_HT","SKN","MA_QH","TIN")</f>
        <v>0</v>
      </c>
      <c r="BB24" s="50">
        <f ca="1">+GETPIVOTDATA("XBT4",'binhtrung (2016)'!$A$3,"MA_HT","SKN","MA_QH","SON")</f>
        <v>0</v>
      </c>
      <c r="BC24" s="50">
        <f ca="1">+GETPIVOTDATA("XBT4",'binhtrung (2016)'!$A$3,"MA_HT","SKN","MA_QH","MNC")</f>
        <v>0</v>
      </c>
      <c r="BD24" s="22">
        <f ca="1">+GETPIVOTDATA("XBT4",'binhtrung (2016)'!$A$3,"MA_HT","SKN","MA_QH","PNK")</f>
        <v>0</v>
      </c>
      <c r="BE24" s="71">
        <f ca="1">+GETPIVOTDATA("XBT4",'binhtrung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+GETPIVOTDATA("XBT4",'binhtrung (2016)'!$A$3,"MA_HT","TMD","MA_QH","LUC")</f>
        <v>0</v>
      </c>
      <c r="H25" s="22">
        <f ca="1">+GETPIVOTDATA("XBT4",'binhtrung (2016)'!$A$3,"MA_HT","TMD","MA_QH","LUK")</f>
        <v>0</v>
      </c>
      <c r="I25" s="22">
        <f ca="1">+GETPIVOTDATA("XBT4",'binhtrung (2016)'!$A$3,"MA_HT","TMD","MA_QH","LUN")</f>
        <v>0</v>
      </c>
      <c r="J25" s="22">
        <f ca="1">+GETPIVOTDATA("XBT4",'binhtrung (2016)'!$A$3,"MA_HT","TMD","MA_QH","HNK")</f>
        <v>0</v>
      </c>
      <c r="K25" s="22">
        <f ca="1">+GETPIVOTDATA("XBT4",'binhtrung (2016)'!$A$3,"MA_HT","TMD","MA_QH","CLN")</f>
        <v>0</v>
      </c>
      <c r="L25" s="22">
        <f ca="1">+GETPIVOTDATA("XBT4",'binhtrung (2016)'!$A$3,"MA_HT","TMD","MA_QH","RSX")</f>
        <v>0</v>
      </c>
      <c r="M25" s="22">
        <f ca="1">+GETPIVOTDATA("XBT4",'binhtrung (2016)'!$A$3,"MA_HT","TMD","MA_QH","RPH")</f>
        <v>0</v>
      </c>
      <c r="N25" s="22">
        <f ca="1">+GETPIVOTDATA("XBT4",'binhtrung (2016)'!$A$3,"MA_HT","TMD","MA_QH","RDD")</f>
        <v>0</v>
      </c>
      <c r="O25" s="22">
        <f ca="1">+GETPIVOTDATA("XBT4",'binhtrung (2016)'!$A$3,"MA_HT","TMD","MA_QH","NTS")</f>
        <v>0</v>
      </c>
      <c r="P25" s="22">
        <f ca="1">+GETPIVOTDATA("XBT4",'binhtrung (2016)'!$A$3,"MA_HT","TMD","MA_QH","LMU")</f>
        <v>0</v>
      </c>
      <c r="Q25" s="22">
        <f ca="1">+GETPIVOTDATA("XBT4",'binhtrung (2016)'!$A$3,"MA_HT","TMD","MA_QH","NKH")</f>
        <v>0</v>
      </c>
      <c r="R25" s="42">
        <f ca="1">SUM(S25:W25,Y25:AA25,AN25:BD25)</f>
        <v>0</v>
      </c>
      <c r="S25" s="22">
        <f ca="1">+GETPIVOTDATA("XBT4",'binhtrung (2016)'!$A$3,"MA_HT","TMD","MA_QH","CQP")</f>
        <v>0</v>
      </c>
      <c r="T25" s="22">
        <f ca="1">+GETPIVOTDATA("XBT4",'binhtrung (2016)'!$A$3,"MA_HT","TMD","MA_QH","CAN")</f>
        <v>0</v>
      </c>
      <c r="U25" s="22">
        <f ca="1">+GETPIVOTDATA("XBT4",'binhtrung (2016)'!$A$3,"MA_HT","TMD","MA_QH","SKK")</f>
        <v>0</v>
      </c>
      <c r="V25" s="22">
        <f ca="1">+GETPIVOTDATA("XBT4",'binhtrung (2016)'!$A$3,"MA_HT","TMD","MA_QH","SKT")</f>
        <v>0</v>
      </c>
      <c r="W25" s="22">
        <f ca="1">+GETPIVOTDATA("XBT4",'binhtrung (2016)'!$A$3,"MA_HT","TMD","MA_QH","SKN")</f>
        <v>0</v>
      </c>
      <c r="X25" s="43" t="e">
        <f ca="1">$D25-$BF25</f>
        <v>#REF!</v>
      </c>
      <c r="Y25" s="22">
        <f ca="1">+GETPIVOTDATA("XBT4",'binhtrung (2016)'!$A$3,"MA_HT","TMD","MA_QH","SKC")</f>
        <v>0</v>
      </c>
      <c r="Z25" s="22">
        <f ca="1">+GETPIVOTDATA("XBT4",'binhtrung (2016)'!$A$3,"MA_HT","TMD","MA_QH","SKS")</f>
        <v>0</v>
      </c>
      <c r="AA25" s="52">
        <f ca="1" t="shared" si="12"/>
        <v>0</v>
      </c>
      <c r="AB25" s="22">
        <f ca="1">+GETPIVOTDATA("XBT4",'binhtrung (2016)'!$A$3,"MA_HT","TMD","MA_QH","DGT")</f>
        <v>0</v>
      </c>
      <c r="AC25" s="22">
        <f ca="1">+GETPIVOTDATA("XBT4",'binhtrung (2016)'!$A$3,"MA_HT","TMD","MA_QH","DTL")</f>
        <v>0</v>
      </c>
      <c r="AD25" s="22">
        <f ca="1">+GETPIVOTDATA("XBT4",'binhtrung (2016)'!$A$3,"MA_HT","TMD","MA_QH","DNL")</f>
        <v>0</v>
      </c>
      <c r="AE25" s="22">
        <f ca="1">+GETPIVOTDATA("XBT4",'binhtrung (2016)'!$A$3,"MA_HT","TMD","MA_QH","DBV")</f>
        <v>0</v>
      </c>
      <c r="AF25" s="22">
        <f ca="1">+GETPIVOTDATA("XBT4",'binhtrung (2016)'!$A$3,"MA_HT","TMD","MA_QH","DVH")</f>
        <v>0</v>
      </c>
      <c r="AG25" s="22">
        <f ca="1">+GETPIVOTDATA("XBT4",'binhtrung (2016)'!$A$3,"MA_HT","TMD","MA_QH","DYT")</f>
        <v>0</v>
      </c>
      <c r="AH25" s="22">
        <f ca="1">+GETPIVOTDATA("XBT4",'binhtrung (2016)'!$A$3,"MA_HT","TMD","MA_QH","DGD")</f>
        <v>0</v>
      </c>
      <c r="AI25" s="22">
        <f ca="1">+GETPIVOTDATA("XBT4",'binhtrung (2016)'!$A$3,"MA_HT","TMD","MA_QH","DTT")</f>
        <v>0</v>
      </c>
      <c r="AJ25" s="22">
        <f ca="1">+GETPIVOTDATA("XBT4",'binhtrung (2016)'!$A$3,"MA_HT","TMD","MA_QH","NCK")</f>
        <v>0</v>
      </c>
      <c r="AK25" s="22">
        <f ca="1">+GETPIVOTDATA("XBT4",'binhtrung (2016)'!$A$3,"MA_HT","TMD","MA_QH","DXH")</f>
        <v>0</v>
      </c>
      <c r="AL25" s="22">
        <f ca="1">+GETPIVOTDATA("XBT4",'binhtrung (2016)'!$A$3,"MA_HT","TMD","MA_QH","DCH")</f>
        <v>0</v>
      </c>
      <c r="AM25" s="22">
        <f ca="1">+GETPIVOTDATA("XBT4",'binhtrung (2016)'!$A$3,"MA_HT","TMD","MA_QH","DKG")</f>
        <v>0</v>
      </c>
      <c r="AN25" s="22">
        <f ca="1">+GETPIVOTDATA("XBT4",'binhtrung (2016)'!$A$3,"MA_HT","TMD","MA_QH","DDT")</f>
        <v>0</v>
      </c>
      <c r="AO25" s="22">
        <f ca="1">+GETPIVOTDATA("XBT4",'binhtrung (2016)'!$A$3,"MA_HT","TMD","MA_QH","DDL")</f>
        <v>0</v>
      </c>
      <c r="AP25" s="22">
        <f ca="1">+GETPIVOTDATA("XBT4",'binhtrung (2016)'!$A$3,"MA_HT","TMD","MA_QH","DRA")</f>
        <v>0</v>
      </c>
      <c r="AQ25" s="22">
        <f ca="1">+GETPIVOTDATA("XBT4",'binhtrung (2016)'!$A$3,"MA_HT","TMD","MA_QH","ONT")</f>
        <v>0</v>
      </c>
      <c r="AR25" s="22">
        <f ca="1">+GETPIVOTDATA("XBT4",'binhtrung (2016)'!$A$3,"MA_HT","TMD","MA_QH","ODT")</f>
        <v>0</v>
      </c>
      <c r="AS25" s="22">
        <f ca="1">+GETPIVOTDATA("XBT4",'binhtrung (2016)'!$A$3,"MA_HT","TMD","MA_QH","TSC")</f>
        <v>0</v>
      </c>
      <c r="AT25" s="22">
        <f ca="1">+GETPIVOTDATA("XBT4",'binhtrung (2016)'!$A$3,"MA_HT","TMD","MA_QH","DTS")</f>
        <v>0</v>
      </c>
      <c r="AU25" s="22">
        <f ca="1">+GETPIVOTDATA("XBT4",'binhtrung (2016)'!$A$3,"MA_HT","TMD","MA_QH","DNG")</f>
        <v>0</v>
      </c>
      <c r="AV25" s="22">
        <f ca="1">+GETPIVOTDATA("XBT4",'binhtrung (2016)'!$A$3,"MA_HT","TMD","MA_QH","TON")</f>
        <v>0</v>
      </c>
      <c r="AW25" s="22">
        <f ca="1">+GETPIVOTDATA("XBT4",'binhtrung (2016)'!$A$3,"MA_HT","TMD","MA_QH","NTD")</f>
        <v>0</v>
      </c>
      <c r="AX25" s="22">
        <f ca="1">+GETPIVOTDATA("XBT4",'binhtrung (2016)'!$A$3,"MA_HT","TMD","MA_QH","SKX")</f>
        <v>0</v>
      </c>
      <c r="AY25" s="22">
        <f ca="1">+GETPIVOTDATA("XBT4",'binhtrung (2016)'!$A$3,"MA_HT","TMD","MA_QH","DSH")</f>
        <v>0</v>
      </c>
      <c r="AZ25" s="22">
        <f ca="1">+GETPIVOTDATA("XBT4",'binhtrung (2016)'!$A$3,"MA_HT","TMD","MA_QH","DKV")</f>
        <v>0</v>
      </c>
      <c r="BA25" s="89">
        <f ca="1">+GETPIVOTDATA("XBT4",'binhtrung (2016)'!$A$3,"MA_HT","TMD","MA_QH","TIN")</f>
        <v>0</v>
      </c>
      <c r="BB25" s="50">
        <f ca="1">+GETPIVOTDATA("XBT4",'binhtrung (2016)'!$A$3,"MA_HT","TMD","MA_QH","SON")</f>
        <v>0</v>
      </c>
      <c r="BC25" s="50">
        <f ca="1">+GETPIVOTDATA("XBT4",'binhtrung (2016)'!$A$3,"MA_HT","TMD","MA_QH","MNC")</f>
        <v>0</v>
      </c>
      <c r="BD25" s="22">
        <f ca="1">+GETPIVOTDATA("XBT4",'binhtrung (2016)'!$A$3,"MA_HT","TMD","MA_QH","PNK")</f>
        <v>0</v>
      </c>
      <c r="BE25" s="71">
        <f ca="1">+GETPIVOTDATA("XBT4",'binhtrung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+GETPIVOTDATA("XBT4",'binhtrung (2016)'!$A$3,"MA_HT","SKC","MA_QH","LUC")</f>
        <v>0</v>
      </c>
      <c r="H26" s="22">
        <f ca="1">+GETPIVOTDATA("XBT4",'binhtrung (2016)'!$A$3,"MA_HT","SKC","MA_QH","LUK")</f>
        <v>0</v>
      </c>
      <c r="I26" s="22">
        <f ca="1">+GETPIVOTDATA("XBT4",'binhtrung (2016)'!$A$3,"MA_HT","SKC","MA_QH","LUN")</f>
        <v>0</v>
      </c>
      <c r="J26" s="22">
        <f ca="1">+GETPIVOTDATA("XBT4",'binhtrung (2016)'!$A$3,"MA_HT","SKC","MA_QH","HNK")</f>
        <v>0</v>
      </c>
      <c r="K26" s="22">
        <f ca="1">+GETPIVOTDATA("XBT4",'binhtrung (2016)'!$A$3,"MA_HT","SKC","MA_QH","CLN")</f>
        <v>0</v>
      </c>
      <c r="L26" s="22">
        <f ca="1">+GETPIVOTDATA("XBT4",'binhtrung (2016)'!$A$3,"MA_HT","SKC","MA_QH","RSX")</f>
        <v>0</v>
      </c>
      <c r="M26" s="22">
        <f ca="1">+GETPIVOTDATA("XBT4",'binhtrung (2016)'!$A$3,"MA_HT","SKC","MA_QH","RPH")</f>
        <v>0</v>
      </c>
      <c r="N26" s="22">
        <f ca="1">+GETPIVOTDATA("XBT4",'binhtrung (2016)'!$A$3,"MA_HT","SKC","MA_QH","RDD")</f>
        <v>0</v>
      </c>
      <c r="O26" s="22">
        <f ca="1">+GETPIVOTDATA("XBT4",'binhtrung (2016)'!$A$3,"MA_HT","SKC","MA_QH","NTS")</f>
        <v>0</v>
      </c>
      <c r="P26" s="22">
        <f ca="1">+GETPIVOTDATA("XBT4",'binhtrung (2016)'!$A$3,"MA_HT","SKC","MA_QH","LMU")</f>
        <v>0</v>
      </c>
      <c r="Q26" s="22">
        <f ca="1">+GETPIVOTDATA("XBT4",'binhtrung (2016)'!$A$3,"MA_HT","SKC","MA_QH","NKH")</f>
        <v>0</v>
      </c>
      <c r="R26" s="42">
        <f ca="1">SUM(S26:X26,Z26,AN26:BD26)</f>
        <v>0</v>
      </c>
      <c r="S26" s="22">
        <f ca="1">+GETPIVOTDATA("XBT4",'binhtrung (2016)'!$A$3,"MA_HT","SKC","MA_QH","CQP")</f>
        <v>0</v>
      </c>
      <c r="T26" s="22">
        <f ca="1">+GETPIVOTDATA("XBT4",'binhtrung (2016)'!$A$3,"MA_HT","SKC","MA_QH","CAN")</f>
        <v>0</v>
      </c>
      <c r="U26" s="22">
        <f ca="1">+GETPIVOTDATA("XBT4",'binhtrung (2016)'!$A$3,"MA_HT","SKC","MA_QH","SKK")</f>
        <v>0</v>
      </c>
      <c r="V26" s="22">
        <f ca="1">+GETPIVOTDATA("XBT4",'binhtrung (2016)'!$A$3,"MA_HT","SKC","MA_QH","SKT")</f>
        <v>0</v>
      </c>
      <c r="W26" s="22">
        <f ca="1">+GETPIVOTDATA("XBT4",'binhtrung (2016)'!$A$3,"MA_HT","SKC","MA_QH","SKN")</f>
        <v>0</v>
      </c>
      <c r="X26" s="22">
        <f ca="1">+GETPIVOTDATA("XBT4",'binhtrung (2016)'!$A$3,"MA_HT","SKC","MA_QH","TMD")</f>
        <v>0</v>
      </c>
      <c r="Y26" s="43" t="e">
        <f ca="1">$D26-$BF26</f>
        <v>#REF!</v>
      </c>
      <c r="Z26" s="22">
        <f ca="1">+GETPIVOTDATA("XBT4",'binhtrung (2016)'!$A$3,"MA_HT","SKC","MA_QH","SKS")</f>
        <v>0</v>
      </c>
      <c r="AA26" s="52">
        <f ca="1" t="shared" si="12"/>
        <v>0</v>
      </c>
      <c r="AB26" s="22">
        <f ca="1">+GETPIVOTDATA("XBT4",'binhtrung (2016)'!$A$3,"MA_HT","SKC","MA_QH","DGT")</f>
        <v>0</v>
      </c>
      <c r="AC26" s="22">
        <f ca="1">+GETPIVOTDATA("XBT4",'binhtrung (2016)'!$A$3,"MA_HT","SKC","MA_QH","DTL")</f>
        <v>0</v>
      </c>
      <c r="AD26" s="22">
        <f ca="1">+GETPIVOTDATA("XBT4",'binhtrung (2016)'!$A$3,"MA_HT","SKC","MA_QH","DNL")</f>
        <v>0</v>
      </c>
      <c r="AE26" s="22">
        <f ca="1">+GETPIVOTDATA("XBT4",'binhtrung (2016)'!$A$3,"MA_HT","SKC","MA_QH","DBV")</f>
        <v>0</v>
      </c>
      <c r="AF26" s="22">
        <f ca="1">+GETPIVOTDATA("XBT4",'binhtrung (2016)'!$A$3,"MA_HT","SKC","MA_QH","DVH")</f>
        <v>0</v>
      </c>
      <c r="AG26" s="22">
        <f ca="1">+GETPIVOTDATA("XBT4",'binhtrung (2016)'!$A$3,"MA_HT","SKC","MA_QH","DYT")</f>
        <v>0</v>
      </c>
      <c r="AH26" s="22">
        <f ca="1">+GETPIVOTDATA("XBT4",'binhtrung (2016)'!$A$3,"MA_HT","SKC","MA_QH","DGD")</f>
        <v>0</v>
      </c>
      <c r="AI26" s="22">
        <f ca="1">+GETPIVOTDATA("XBT4",'binhtrung (2016)'!$A$3,"MA_HT","SKC","MA_QH","DTT")</f>
        <v>0</v>
      </c>
      <c r="AJ26" s="22">
        <f ca="1">+GETPIVOTDATA("XBT4",'binhtrung (2016)'!$A$3,"MA_HT","SKC","MA_QH","NCK")</f>
        <v>0</v>
      </c>
      <c r="AK26" s="22">
        <f ca="1">+GETPIVOTDATA("XBT4",'binhtrung (2016)'!$A$3,"MA_HT","SKC","MA_QH","DXH")</f>
        <v>0</v>
      </c>
      <c r="AL26" s="22">
        <f ca="1">+GETPIVOTDATA("XBT4",'binhtrung (2016)'!$A$3,"MA_HT","SKC","MA_QH","DCH")</f>
        <v>0</v>
      </c>
      <c r="AM26" s="22">
        <f ca="1">+GETPIVOTDATA("XBT4",'binhtrung (2016)'!$A$3,"MA_HT","SKC","MA_QH","DKG")</f>
        <v>0</v>
      </c>
      <c r="AN26" s="22">
        <f ca="1">+GETPIVOTDATA("XBT4",'binhtrung (2016)'!$A$3,"MA_HT","SKC","MA_QH","DDT")</f>
        <v>0</v>
      </c>
      <c r="AO26" s="22">
        <f ca="1">+GETPIVOTDATA("XBT4",'binhtrung (2016)'!$A$3,"MA_HT","SKC","MA_QH","DDL")</f>
        <v>0</v>
      </c>
      <c r="AP26" s="22">
        <f ca="1">+GETPIVOTDATA("XBT4",'binhtrung (2016)'!$A$3,"MA_HT","SKC","MA_QH","DRA")</f>
        <v>0</v>
      </c>
      <c r="AQ26" s="22">
        <f ca="1">+GETPIVOTDATA("XBT4",'binhtrung (2016)'!$A$3,"MA_HT","SKC","MA_QH","ONT")</f>
        <v>0</v>
      </c>
      <c r="AR26" s="22">
        <f ca="1">+GETPIVOTDATA("XBT4",'binhtrung (2016)'!$A$3,"MA_HT","SKC","MA_QH","ODT")</f>
        <v>0</v>
      </c>
      <c r="AS26" s="22">
        <f ca="1">+GETPIVOTDATA("XBT4",'binhtrung (2016)'!$A$3,"MA_HT","SKC","MA_QH","TSC")</f>
        <v>0</v>
      </c>
      <c r="AT26" s="22">
        <f ca="1">+GETPIVOTDATA("XBT4",'binhtrung (2016)'!$A$3,"MA_HT","SKC","MA_QH","DTS")</f>
        <v>0</v>
      </c>
      <c r="AU26" s="22">
        <f ca="1">+GETPIVOTDATA("XBT4",'binhtrung (2016)'!$A$3,"MA_HT","SKC","MA_QH","DNG")</f>
        <v>0</v>
      </c>
      <c r="AV26" s="22">
        <f ca="1">+GETPIVOTDATA("XBT4",'binhtrung (2016)'!$A$3,"MA_HT","SKC","MA_QH","TON")</f>
        <v>0</v>
      </c>
      <c r="AW26" s="22">
        <f ca="1">+GETPIVOTDATA("XBT4",'binhtrung (2016)'!$A$3,"MA_HT","SKC","MA_QH","NTD")</f>
        <v>0</v>
      </c>
      <c r="AX26" s="22">
        <f ca="1">+GETPIVOTDATA("XBT4",'binhtrung (2016)'!$A$3,"MA_HT","SKC","MA_QH","SKX")</f>
        <v>0</v>
      </c>
      <c r="AY26" s="22">
        <f ca="1">+GETPIVOTDATA("XBT4",'binhtrung (2016)'!$A$3,"MA_HT","SKC","MA_QH","DSH")</f>
        <v>0</v>
      </c>
      <c r="AZ26" s="22">
        <f ca="1">+GETPIVOTDATA("XBT4",'binhtrung (2016)'!$A$3,"MA_HT","SKC","MA_QH","DKV")</f>
        <v>0</v>
      </c>
      <c r="BA26" s="89">
        <f ca="1">+GETPIVOTDATA("XBT4",'binhtrung (2016)'!$A$3,"MA_HT","SKC","MA_QH","TIN")</f>
        <v>0</v>
      </c>
      <c r="BB26" s="50">
        <f ca="1">+GETPIVOTDATA("XBT4",'binhtrung (2016)'!$A$3,"MA_HT","SKC","MA_QH","SON")</f>
        <v>0</v>
      </c>
      <c r="BC26" s="50">
        <f ca="1">+GETPIVOTDATA("XBT4",'binhtrung (2016)'!$A$3,"MA_HT","SKC","MA_QH","MNC")</f>
        <v>0</v>
      </c>
      <c r="BD26" s="22">
        <f ca="1">+GETPIVOTDATA("XBT4",'binhtrung (2016)'!$A$3,"MA_HT","SKC","MA_QH","PNK")</f>
        <v>0</v>
      </c>
      <c r="BE26" s="71">
        <f ca="1">+GETPIVOTDATA("XBT4",'binhtrung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+GETPIVOTDATA("XBT4",'binhtrung (2016)'!$A$3,"MA_HT","SKS","MA_QH","LUC")</f>
        <v>0</v>
      </c>
      <c r="H27" s="22">
        <f ca="1">+GETPIVOTDATA("XBT4",'binhtrung (2016)'!$A$3,"MA_HT","SKS","MA_QH","LUK")</f>
        <v>0</v>
      </c>
      <c r="I27" s="22">
        <f ca="1">+GETPIVOTDATA("XBT4",'binhtrung (2016)'!$A$3,"MA_HT","SKS","MA_QH","LUN")</f>
        <v>0</v>
      </c>
      <c r="J27" s="22">
        <f ca="1">+GETPIVOTDATA("XBT4",'binhtrung (2016)'!$A$3,"MA_HT","SKS","MA_QH","HNK")</f>
        <v>0</v>
      </c>
      <c r="K27" s="22">
        <f ca="1">+GETPIVOTDATA("XBT4",'binhtrung (2016)'!$A$3,"MA_HT","SKS","MA_QH","CLN")</f>
        <v>0</v>
      </c>
      <c r="L27" s="22">
        <f ca="1">+GETPIVOTDATA("XBT4",'binhtrung (2016)'!$A$3,"MA_HT","SKS","MA_QH","RSX")</f>
        <v>0</v>
      </c>
      <c r="M27" s="22">
        <f ca="1">+GETPIVOTDATA("XBT4",'binhtrung (2016)'!$A$3,"MA_HT","SKS","MA_QH","RPH")</f>
        <v>0</v>
      </c>
      <c r="N27" s="22">
        <f ca="1">+GETPIVOTDATA("XBT4",'binhtrung (2016)'!$A$3,"MA_HT","SKS","MA_QH","RDD")</f>
        <v>0</v>
      </c>
      <c r="O27" s="22">
        <f ca="1">+GETPIVOTDATA("XBT4",'binhtrung (2016)'!$A$3,"MA_HT","SKS","MA_QH","NTS")</f>
        <v>0</v>
      </c>
      <c r="P27" s="22">
        <f ca="1">+GETPIVOTDATA("XBT4",'binhtrung (2016)'!$A$3,"MA_HT","SKS","MA_QH","LMU")</f>
        <v>0</v>
      </c>
      <c r="Q27" s="22">
        <f ca="1">+GETPIVOTDATA("XBT4",'binhtrung (2016)'!$A$3,"MA_HT","SKS","MA_QH","NKH")</f>
        <v>0</v>
      </c>
      <c r="R27" s="42">
        <f ca="1">SUM(S27:Y27,AA27,AN27:BD27)</f>
        <v>0</v>
      </c>
      <c r="S27" s="22">
        <f ca="1">+GETPIVOTDATA("XBT4",'binhtrung (2016)'!$A$3,"MA_HT","SKS","MA_QH","CQP")</f>
        <v>0</v>
      </c>
      <c r="T27" s="22">
        <f ca="1">+GETPIVOTDATA("XBT4",'binhtrung (2016)'!$A$3,"MA_HT","SKS","MA_QH","CAN")</f>
        <v>0</v>
      </c>
      <c r="U27" s="22">
        <f ca="1">+GETPIVOTDATA("XBT4",'binhtrung (2016)'!$A$3,"MA_HT","SKS","MA_QH","SKK")</f>
        <v>0</v>
      </c>
      <c r="V27" s="22">
        <f ca="1">+GETPIVOTDATA("XBT4",'binhtrung (2016)'!$A$3,"MA_HT","SKS","MA_QH","SKT")</f>
        <v>0</v>
      </c>
      <c r="W27" s="22">
        <f ca="1">+GETPIVOTDATA("XBT4",'binhtrung (2016)'!$A$3,"MA_HT","SKS","MA_QH","SKN")</f>
        <v>0</v>
      </c>
      <c r="X27" s="22">
        <f ca="1">+GETPIVOTDATA("XBT4",'binhtrung (2016)'!$A$3,"MA_HT","SKS","MA_QH","TMD")</f>
        <v>0</v>
      </c>
      <c r="Y27" s="22">
        <f ca="1">+GETPIVOTDATA("XBT4",'binhtrung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+GETPIVOTDATA("XBT4",'binhtrung (2016)'!$A$3,"MA_HT","SKS","MA_QH","DGT")</f>
        <v>0</v>
      </c>
      <c r="AC27" s="22">
        <f ca="1">+GETPIVOTDATA("XBT4",'binhtrung (2016)'!$A$3,"MA_HT","SKS","MA_QH","DTL")</f>
        <v>0</v>
      </c>
      <c r="AD27" s="22">
        <f ca="1">+GETPIVOTDATA("XBT4",'binhtrung (2016)'!$A$3,"MA_HT","SKS","MA_QH","DNL")</f>
        <v>0</v>
      </c>
      <c r="AE27" s="22">
        <f ca="1">+GETPIVOTDATA("XBT4",'binhtrung (2016)'!$A$3,"MA_HT","SKS","MA_QH","DBV")</f>
        <v>0</v>
      </c>
      <c r="AF27" s="22">
        <f ca="1">+GETPIVOTDATA("XBT4",'binhtrung (2016)'!$A$3,"MA_HT","SKS","MA_QH","DVH")</f>
        <v>0</v>
      </c>
      <c r="AG27" s="22">
        <f ca="1">+GETPIVOTDATA("XBT4",'binhtrung (2016)'!$A$3,"MA_HT","SKS","MA_QH","DYT")</f>
        <v>0</v>
      </c>
      <c r="AH27" s="22">
        <f ca="1">+GETPIVOTDATA("XBT4",'binhtrung (2016)'!$A$3,"MA_HT","SKS","MA_QH","DGD")</f>
        <v>0</v>
      </c>
      <c r="AI27" s="22">
        <f ca="1">+GETPIVOTDATA("XBT4",'binhtrung (2016)'!$A$3,"MA_HT","SKS","MA_QH","DTT")</f>
        <v>0</v>
      </c>
      <c r="AJ27" s="22">
        <f ca="1">+GETPIVOTDATA("XBT4",'binhtrung (2016)'!$A$3,"MA_HT","SKS","MA_QH","NCK")</f>
        <v>0</v>
      </c>
      <c r="AK27" s="22">
        <f ca="1">+GETPIVOTDATA("XBT4",'binhtrung (2016)'!$A$3,"MA_HT","SKS","MA_QH","DXH")</f>
        <v>0</v>
      </c>
      <c r="AL27" s="22">
        <f ca="1">+GETPIVOTDATA("XBT4",'binhtrung (2016)'!$A$3,"MA_HT","SKS","MA_QH","DCH")</f>
        <v>0</v>
      </c>
      <c r="AM27" s="22">
        <f ca="1">+GETPIVOTDATA("XBT4",'binhtrung (2016)'!$A$3,"MA_HT","SKS","MA_QH","DKG")</f>
        <v>0</v>
      </c>
      <c r="AN27" s="22">
        <f ca="1">+GETPIVOTDATA("XBT4",'binhtrung (2016)'!$A$3,"MA_HT","SKS","MA_QH","DDT")</f>
        <v>0</v>
      </c>
      <c r="AO27" s="22">
        <f ca="1">+GETPIVOTDATA("XBT4",'binhtrung (2016)'!$A$3,"MA_HT","SKS","MA_QH","DDL")</f>
        <v>0</v>
      </c>
      <c r="AP27" s="22">
        <f ca="1">+GETPIVOTDATA("XBT4",'binhtrung (2016)'!$A$3,"MA_HT","SKS","MA_QH","DRA")</f>
        <v>0</v>
      </c>
      <c r="AQ27" s="22">
        <f ca="1">+GETPIVOTDATA("XBT4",'binhtrung (2016)'!$A$3,"MA_HT","SKS","MA_QH","ONT")</f>
        <v>0</v>
      </c>
      <c r="AR27" s="22">
        <f ca="1">+GETPIVOTDATA("XBT4",'binhtrung (2016)'!$A$3,"MA_HT","SKS","MA_QH","ODT")</f>
        <v>0</v>
      </c>
      <c r="AS27" s="22">
        <f ca="1">+GETPIVOTDATA("XBT4",'binhtrung (2016)'!$A$3,"MA_HT","SKS","MA_QH","TSC")</f>
        <v>0</v>
      </c>
      <c r="AT27" s="22">
        <f ca="1">+GETPIVOTDATA("XBT4",'binhtrung (2016)'!$A$3,"MA_HT","SKS","MA_QH","DTS")</f>
        <v>0</v>
      </c>
      <c r="AU27" s="22">
        <f ca="1">+GETPIVOTDATA("XBT4",'binhtrung (2016)'!$A$3,"MA_HT","SKS","MA_QH","DNG")</f>
        <v>0</v>
      </c>
      <c r="AV27" s="22">
        <f ca="1">+GETPIVOTDATA("XBT4",'binhtrung (2016)'!$A$3,"MA_HT","SKS","MA_QH","TON")</f>
        <v>0</v>
      </c>
      <c r="AW27" s="22">
        <f ca="1">+GETPIVOTDATA("XBT4",'binhtrung (2016)'!$A$3,"MA_HT","SKS","MA_QH","NTD")</f>
        <v>0</v>
      </c>
      <c r="AX27" s="22">
        <f ca="1">+GETPIVOTDATA("XBT4",'binhtrung (2016)'!$A$3,"MA_HT","SKS","MA_QH","SKX")</f>
        <v>0</v>
      </c>
      <c r="AY27" s="22">
        <f ca="1">+GETPIVOTDATA("XBT4",'binhtrung (2016)'!$A$3,"MA_HT","SKS","MA_QH","DSH")</f>
        <v>0</v>
      </c>
      <c r="AZ27" s="22">
        <f ca="1">+GETPIVOTDATA("XBT4",'binhtrung (2016)'!$A$3,"MA_HT","SKS","MA_QH","DKV")</f>
        <v>0</v>
      </c>
      <c r="BA27" s="89">
        <f ca="1">+GETPIVOTDATA("XBT4",'binhtrung (2016)'!$A$3,"MA_HT","SKS","MA_QH","TIN")</f>
        <v>0</v>
      </c>
      <c r="BB27" s="50">
        <f ca="1">+GETPIVOTDATA("XBT4",'binhtrung (2016)'!$A$3,"MA_HT","SKS","MA_QH","SON")</f>
        <v>0</v>
      </c>
      <c r="BC27" s="50">
        <f ca="1">+GETPIVOTDATA("XBT4",'binhtrung (2016)'!$A$3,"MA_HT","SKS","MA_QH","MNC")</f>
        <v>0</v>
      </c>
      <c r="BD27" s="22">
        <f ca="1">+GETPIVOTDATA("XBT4",'binhtrung (2016)'!$A$3,"MA_HT","SKS","MA_QH","PNK")</f>
        <v>0</v>
      </c>
      <c r="BE27" s="71">
        <f ca="1">+GETPIVOTDATA("XBT4",'binhtrung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+GETPIVOTDATA("XBT4",'binhtrung (2016)'!$A$3,"MA_HT","DGT","MA_QH","LUC")</f>
        <v>0</v>
      </c>
      <c r="H29" s="50">
        <f ca="1">+GETPIVOTDATA("XBT4",'binhtrung (2016)'!$A$3,"MA_HT","DGT","MA_QH","LUK")</f>
        <v>0</v>
      </c>
      <c r="I29" s="50">
        <f ca="1">+GETPIVOTDATA("XBT4",'binhtrung (2016)'!$A$3,"MA_HT","DGT","MA_QH","LUN")</f>
        <v>0</v>
      </c>
      <c r="J29" s="50">
        <f ca="1">+GETPIVOTDATA("XBT4",'binhtrung (2016)'!$A$3,"MA_HT","DGT","MA_QH","HNK")</f>
        <v>0</v>
      </c>
      <c r="K29" s="50">
        <f ca="1">+GETPIVOTDATA("XBT4",'binhtrung (2016)'!$A$3,"MA_HT","DGT","MA_QH","CLN")</f>
        <v>0</v>
      </c>
      <c r="L29" s="50">
        <f ca="1">+GETPIVOTDATA("XBT4",'binhtrung (2016)'!$A$3,"MA_HT","DGT","MA_QH","RSX")</f>
        <v>0</v>
      </c>
      <c r="M29" s="50">
        <f ca="1">+GETPIVOTDATA("XBT4",'binhtrung (2016)'!$A$3,"MA_HT","DGT","MA_QH","RPH")</f>
        <v>0</v>
      </c>
      <c r="N29" s="50">
        <f ca="1">+GETPIVOTDATA("XBT4",'binhtrung (2016)'!$A$3,"MA_HT","DGT","MA_QH","RDD")</f>
        <v>0</v>
      </c>
      <c r="O29" s="50">
        <f ca="1">+GETPIVOTDATA("XBT4",'binhtrung (2016)'!$A$3,"MA_HT","DGT","MA_QH","NTS")</f>
        <v>0</v>
      </c>
      <c r="P29" s="50">
        <f ca="1">+GETPIVOTDATA("XBT4",'binhtrung (2016)'!$A$3,"MA_HT","DGT","MA_QH","LMU")</f>
        <v>0</v>
      </c>
      <c r="Q29" s="50">
        <f ca="1">+GETPIVOTDATA("XBT4",'binhtrung (2016)'!$A$3,"MA_HT","DGT","MA_QH","NKH")</f>
        <v>0</v>
      </c>
      <c r="R29" s="48">
        <f ca="1">SUM(S29:AA29,AN29:BD29)</f>
        <v>0</v>
      </c>
      <c r="S29" s="50">
        <f ca="1">+GETPIVOTDATA("XBT4",'binhtrung (2016)'!$A$3,"MA_HT","DGT","MA_QH","CQP")</f>
        <v>0</v>
      </c>
      <c r="T29" s="50">
        <f ca="1">+GETPIVOTDATA("XBT4",'binhtrung (2016)'!$A$3,"MA_HT","DGT","MA_QH","CAN")</f>
        <v>0</v>
      </c>
      <c r="U29" s="50">
        <f ca="1">+GETPIVOTDATA("XBT4",'binhtrung (2016)'!$A$3,"MA_HT","DGT","MA_QH","SKK")</f>
        <v>0</v>
      </c>
      <c r="V29" s="50">
        <f ca="1">+GETPIVOTDATA("XBT4",'binhtrung (2016)'!$A$3,"MA_HT","DGT","MA_QH","SKT")</f>
        <v>0</v>
      </c>
      <c r="W29" s="50">
        <f ca="1">+GETPIVOTDATA("XBT4",'binhtrung (2016)'!$A$3,"MA_HT","DGT","MA_QH","SKN")</f>
        <v>0</v>
      </c>
      <c r="X29" s="50">
        <f ca="1">+GETPIVOTDATA("XBT4",'binhtrung (2016)'!$A$3,"MA_HT","DGT","MA_QH","TMD")</f>
        <v>0</v>
      </c>
      <c r="Y29" s="50">
        <f ca="1">+GETPIVOTDATA("XBT4",'binhtrung (2016)'!$A$3,"MA_HT","DGT","MA_QH","SKC")</f>
        <v>0</v>
      </c>
      <c r="Z29" s="50">
        <f ca="1">+GETPIVOTDATA("XBT4",'binhtrung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+GETPIVOTDATA("XBT4",'binhtrung (2016)'!$A$3,"MA_HT","DGT","MA_QH","DTL")</f>
        <v>0</v>
      </c>
      <c r="AD29" s="50">
        <f ca="1">+GETPIVOTDATA("XBT4",'binhtrung (2016)'!$A$3,"MA_HT","DGT","MA_QH","DNL")</f>
        <v>0</v>
      </c>
      <c r="AE29" s="50">
        <f ca="1">+GETPIVOTDATA("XBT4",'binhtrung (2016)'!$A$3,"MA_HT","DGT","MA_QH","DBV")</f>
        <v>0</v>
      </c>
      <c r="AF29" s="50">
        <f ca="1">+GETPIVOTDATA("XBT4",'binhtrung (2016)'!$A$3,"MA_HT","DGT","MA_QH","DVH")</f>
        <v>0</v>
      </c>
      <c r="AG29" s="50">
        <f ca="1">+GETPIVOTDATA("XBT4",'binhtrung (2016)'!$A$3,"MA_HT","DGT","MA_QH","DYT")</f>
        <v>0</v>
      </c>
      <c r="AH29" s="50">
        <f ca="1">+GETPIVOTDATA("XBT4",'binhtrung (2016)'!$A$3,"MA_HT","DGT","MA_QH","DGD")</f>
        <v>0</v>
      </c>
      <c r="AI29" s="50">
        <f ca="1">+GETPIVOTDATA("XBT4",'binhtrung (2016)'!$A$3,"MA_HT","DGT","MA_QH","DTT")</f>
        <v>0</v>
      </c>
      <c r="AJ29" s="50">
        <f ca="1">+GETPIVOTDATA("XBT4",'binhtrung (2016)'!$A$3,"MA_HT","DGT","MA_QH","NCK")</f>
        <v>0</v>
      </c>
      <c r="AK29" s="50">
        <f ca="1">+GETPIVOTDATA("XBT4",'binhtrung (2016)'!$A$3,"MA_HT","DGT","MA_QH","DXH")</f>
        <v>0</v>
      </c>
      <c r="AL29" s="50">
        <f ca="1">+GETPIVOTDATA("XBT4",'binhtrung (2016)'!$A$3,"MA_HT","DGT","MA_QH","DCH")</f>
        <v>0</v>
      </c>
      <c r="AM29" s="50">
        <f ca="1">+GETPIVOTDATA("XBT4",'binhtrung (2016)'!$A$3,"MA_HT","DGT","MA_QH","DKG")</f>
        <v>0</v>
      </c>
      <c r="AN29" s="50">
        <f ca="1">+GETPIVOTDATA("XBT4",'binhtrung (2016)'!$A$3,"MA_HT","DGT","MA_QH","DDT")</f>
        <v>0</v>
      </c>
      <c r="AO29" s="50">
        <f ca="1">+GETPIVOTDATA("XBT4",'binhtrung (2016)'!$A$3,"MA_HT","DGT","MA_QH","DDL")</f>
        <v>0</v>
      </c>
      <c r="AP29" s="50">
        <f ca="1">+GETPIVOTDATA("XBT4",'binhtrung (2016)'!$A$3,"MA_HT","DGT","MA_QH","DRA")</f>
        <v>0</v>
      </c>
      <c r="AQ29" s="50">
        <f ca="1">+GETPIVOTDATA("XBT4",'binhtrung (2016)'!$A$3,"MA_HT","DGT","MA_QH","ONT")</f>
        <v>0</v>
      </c>
      <c r="AR29" s="50">
        <f ca="1">+GETPIVOTDATA("XBT4",'binhtrung (2016)'!$A$3,"MA_HT","DGT","MA_QH","ODT")</f>
        <v>0</v>
      </c>
      <c r="AS29" s="50">
        <f ca="1">+GETPIVOTDATA("XBT4",'binhtrung (2016)'!$A$3,"MA_HT","DGT","MA_QH","TSC")</f>
        <v>0</v>
      </c>
      <c r="AT29" s="50">
        <f ca="1">+GETPIVOTDATA("XBT4",'binhtrung (2016)'!$A$3,"MA_HT","DGT","MA_QH","DTS")</f>
        <v>0</v>
      </c>
      <c r="AU29" s="50">
        <f ca="1">+GETPIVOTDATA("XBT4",'binhtrung (2016)'!$A$3,"MA_HT","DGT","MA_QH","DNG")</f>
        <v>0</v>
      </c>
      <c r="AV29" s="50">
        <f ca="1">+GETPIVOTDATA("XBT4",'binhtrung (2016)'!$A$3,"MA_HT","DGT","MA_QH","TON")</f>
        <v>0</v>
      </c>
      <c r="AW29" s="50">
        <f ca="1">+GETPIVOTDATA("XBT4",'binhtrung (2016)'!$A$3,"MA_HT","DGT","MA_QH","NTD")</f>
        <v>0</v>
      </c>
      <c r="AX29" s="50">
        <f ca="1">+GETPIVOTDATA("XBT4",'binhtrung (2016)'!$A$3,"MA_HT","DGT","MA_QH","SKX")</f>
        <v>0</v>
      </c>
      <c r="AY29" s="50">
        <f ca="1">+GETPIVOTDATA("XBT4",'binhtrung (2016)'!$A$3,"MA_HT","DGT","MA_QH","DSH")</f>
        <v>0</v>
      </c>
      <c r="AZ29" s="50">
        <f ca="1">+GETPIVOTDATA("XBT4",'binhtrung (2016)'!$A$3,"MA_HT","DGT","MA_QH","DKV")</f>
        <v>0</v>
      </c>
      <c r="BA29" s="88">
        <f ca="1">+GETPIVOTDATA("XBT4",'binhtrung (2016)'!$A$3,"MA_HT","DGT","MA_QH","TIN")</f>
        <v>0</v>
      </c>
      <c r="BB29" s="50">
        <f ca="1">+GETPIVOTDATA("XBT4",'binhtrung (2016)'!$A$3,"MA_HT","DGT","MA_QH","SON")</f>
        <v>0</v>
      </c>
      <c r="BC29" s="50">
        <f ca="1">+GETPIVOTDATA("XBT4",'binhtrung (2016)'!$A$3,"MA_HT","DGT","MA_QH","MNC")</f>
        <v>0</v>
      </c>
      <c r="BD29" s="50">
        <f ca="1">+GETPIVOTDATA("XBT4",'binhtrung (2016)'!$A$3,"MA_HT","DGT","MA_QH","PNK")</f>
        <v>0</v>
      </c>
      <c r="BE29" s="80">
        <f ca="1">+GETPIVOTDATA("XBT4",'binhtrung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+GETPIVOTDATA("XBT4",'binhtrung (2016)'!$A$3,"MA_HT","DTL","MA_QH","LUC")</f>
        <v>0</v>
      </c>
      <c r="H30" s="50">
        <f ca="1">+GETPIVOTDATA("XBT4",'binhtrung (2016)'!$A$3,"MA_HT","DTL","MA_QH","LUK")</f>
        <v>0</v>
      </c>
      <c r="I30" s="50">
        <f ca="1">+GETPIVOTDATA("XBT4",'binhtrung (2016)'!$A$3,"MA_HT","DTL","MA_QH","LUN")</f>
        <v>0</v>
      </c>
      <c r="J30" s="50">
        <f ca="1">+GETPIVOTDATA("XBT4",'binhtrung (2016)'!$A$3,"MA_HT","DTL","MA_QH","HNK")</f>
        <v>0</v>
      </c>
      <c r="K30" s="50">
        <f ca="1">+GETPIVOTDATA("XBT4",'binhtrung (2016)'!$A$3,"MA_HT","DTL","MA_QH","CLN")</f>
        <v>0</v>
      </c>
      <c r="L30" s="50">
        <f ca="1">+GETPIVOTDATA("XBT4",'binhtrung (2016)'!$A$3,"MA_HT","DTL","MA_QH","RSX")</f>
        <v>0</v>
      </c>
      <c r="M30" s="50">
        <f ca="1">+GETPIVOTDATA("XBT4",'binhtrung (2016)'!$A$3,"MA_HT","DTL","MA_QH","RPH")</f>
        <v>0</v>
      </c>
      <c r="N30" s="50">
        <f ca="1">+GETPIVOTDATA("XBT4",'binhtrung (2016)'!$A$3,"MA_HT","DTL","MA_QH","RDD")</f>
        <v>0</v>
      </c>
      <c r="O30" s="50">
        <f ca="1">+GETPIVOTDATA("XBT4",'binhtrung (2016)'!$A$3,"MA_HT","DTL","MA_QH","NTS")</f>
        <v>0</v>
      </c>
      <c r="P30" s="50">
        <f ca="1">+GETPIVOTDATA("XBT4",'binhtrung (2016)'!$A$3,"MA_HT","DTL","MA_QH","LMU")</f>
        <v>0</v>
      </c>
      <c r="Q30" s="50">
        <f ca="1">+GETPIVOTDATA("XBT4",'binhtrung (2016)'!$A$3,"MA_HT","DTL","MA_QH","NKH")</f>
        <v>0</v>
      </c>
      <c r="R30" s="48">
        <f ca="1" t="shared" ref="R30:R40" si="20">SUM(S30:AA30,AN30:BD30)</f>
        <v>0</v>
      </c>
      <c r="S30" s="50">
        <f ca="1">+GETPIVOTDATA("XBT4",'binhtrung (2016)'!$A$3,"MA_HT","DTL","MA_QH","CQP")</f>
        <v>0</v>
      </c>
      <c r="T30" s="50">
        <f ca="1">+GETPIVOTDATA("XBT4",'binhtrung (2016)'!$A$3,"MA_HT","DTL","MA_QH","CAN")</f>
        <v>0</v>
      </c>
      <c r="U30" s="50">
        <f ca="1">+GETPIVOTDATA("XBT4",'binhtrung (2016)'!$A$3,"MA_HT","DTL","MA_QH","SKK")</f>
        <v>0</v>
      </c>
      <c r="V30" s="50">
        <f ca="1">+GETPIVOTDATA("XBT4",'binhtrung (2016)'!$A$3,"MA_HT","DTL","MA_QH","SKT")</f>
        <v>0</v>
      </c>
      <c r="W30" s="50">
        <f ca="1">+GETPIVOTDATA("XBT4",'binhtrung (2016)'!$A$3,"MA_HT","DTL","MA_QH","SKN")</f>
        <v>0</v>
      </c>
      <c r="X30" s="50">
        <f ca="1">+GETPIVOTDATA("XBT4",'binhtrung (2016)'!$A$3,"MA_HT","DTL","MA_QH","TMD")</f>
        <v>0</v>
      </c>
      <c r="Y30" s="50">
        <f ca="1">+GETPIVOTDATA("XBT4",'binhtrung (2016)'!$A$3,"MA_HT","DTL","MA_QH","SKC")</f>
        <v>0</v>
      </c>
      <c r="Z30" s="50">
        <f ca="1">+GETPIVOTDATA("XBT4",'binhtrung (2016)'!$A$3,"MA_HT","DTL","MA_QH","SKS")</f>
        <v>0</v>
      </c>
      <c r="AA30" s="52">
        <f ca="1">+SUM(AB30,AD30:AM30)</f>
        <v>0</v>
      </c>
      <c r="AB30" s="50">
        <f ca="1">+GETPIVOTDATA("XBT4",'binhtrung (2016)'!$A$3,"MA_HT","DTL","MA_QH","DGT")</f>
        <v>0</v>
      </c>
      <c r="AC30" s="49" t="e">
        <f ca="1">$D30-$BF30</f>
        <v>#REF!</v>
      </c>
      <c r="AD30" s="50">
        <f ca="1">+GETPIVOTDATA("XBT4",'binhtrung (2016)'!$A$3,"MA_HT","DTL","MA_QH","DNL")</f>
        <v>0</v>
      </c>
      <c r="AE30" s="50">
        <f ca="1">+GETPIVOTDATA("XBT4",'binhtrung (2016)'!$A$3,"MA_HT","DTL","MA_QH","DBV")</f>
        <v>0</v>
      </c>
      <c r="AF30" s="50">
        <f ca="1">+GETPIVOTDATA("XBT4",'binhtrung (2016)'!$A$3,"MA_HT","DTL","MA_QH","DVH")</f>
        <v>0</v>
      </c>
      <c r="AG30" s="50">
        <f ca="1">+GETPIVOTDATA("XBT4",'binhtrung (2016)'!$A$3,"MA_HT","DTL","MA_QH","DYT")</f>
        <v>0</v>
      </c>
      <c r="AH30" s="50">
        <f ca="1">+GETPIVOTDATA("XBT4",'binhtrung (2016)'!$A$3,"MA_HT","DTL","MA_QH","DGD")</f>
        <v>0</v>
      </c>
      <c r="AI30" s="50">
        <f ca="1">+GETPIVOTDATA("XBT4",'binhtrung (2016)'!$A$3,"MA_HT","DTL","MA_QH","DTT")</f>
        <v>0</v>
      </c>
      <c r="AJ30" s="50">
        <f ca="1">+GETPIVOTDATA("XBT4",'binhtrung (2016)'!$A$3,"MA_HT","DTL","MA_QH","NCK")</f>
        <v>0</v>
      </c>
      <c r="AK30" s="50">
        <f ca="1">+GETPIVOTDATA("XBT4",'binhtrung (2016)'!$A$3,"MA_HT","DTL","MA_QH","DXH")</f>
        <v>0</v>
      </c>
      <c r="AL30" s="50">
        <f ca="1">+GETPIVOTDATA("XBT4",'binhtrung (2016)'!$A$3,"MA_HT","DTL","MA_QH","DCH")</f>
        <v>0</v>
      </c>
      <c r="AM30" s="50">
        <f ca="1">+GETPIVOTDATA("XBT4",'binhtrung (2016)'!$A$3,"MA_HT","DTL","MA_QH","DKG")</f>
        <v>0</v>
      </c>
      <c r="AN30" s="50">
        <f ca="1">+GETPIVOTDATA("XBT4",'binhtrung (2016)'!$A$3,"MA_HT","DTL","MA_QH","DDT")</f>
        <v>0</v>
      </c>
      <c r="AO30" s="50">
        <f ca="1">+GETPIVOTDATA("XBT4",'binhtrung (2016)'!$A$3,"MA_HT","DTL","MA_QH","DDL")</f>
        <v>0</v>
      </c>
      <c r="AP30" s="50">
        <f ca="1">+GETPIVOTDATA("XBT4",'binhtrung (2016)'!$A$3,"MA_HT","DTL","MA_QH","DRA")</f>
        <v>0</v>
      </c>
      <c r="AQ30" s="50">
        <f ca="1">+GETPIVOTDATA("XBT4",'binhtrung (2016)'!$A$3,"MA_HT","DTL","MA_QH","ONT")</f>
        <v>0</v>
      </c>
      <c r="AR30" s="50">
        <f ca="1">+GETPIVOTDATA("XBT4",'binhtrung (2016)'!$A$3,"MA_HT","DTL","MA_QH","ODT")</f>
        <v>0</v>
      </c>
      <c r="AS30" s="50">
        <f ca="1">+GETPIVOTDATA("XBT4",'binhtrung (2016)'!$A$3,"MA_HT","DTL","MA_QH","TSC")</f>
        <v>0</v>
      </c>
      <c r="AT30" s="50">
        <f ca="1">+GETPIVOTDATA("XBT4",'binhtrung (2016)'!$A$3,"MA_HT","DTL","MA_QH","DTS")</f>
        <v>0</v>
      </c>
      <c r="AU30" s="50">
        <f ca="1">+GETPIVOTDATA("XBT4",'binhtrung (2016)'!$A$3,"MA_HT","DTL","MA_QH","DNG")</f>
        <v>0</v>
      </c>
      <c r="AV30" s="50">
        <f ca="1">+GETPIVOTDATA("XBT4",'binhtrung (2016)'!$A$3,"MA_HT","DTL","MA_QH","TON")</f>
        <v>0</v>
      </c>
      <c r="AW30" s="50">
        <f ca="1">+GETPIVOTDATA("XBT4",'binhtrung (2016)'!$A$3,"MA_HT","DTL","MA_QH","NTD")</f>
        <v>0</v>
      </c>
      <c r="AX30" s="50">
        <f ca="1">+GETPIVOTDATA("XBT4",'binhtrung (2016)'!$A$3,"MA_HT","DTL","MA_QH","SKX")</f>
        <v>0</v>
      </c>
      <c r="AY30" s="50">
        <f ca="1">+GETPIVOTDATA("XBT4",'binhtrung (2016)'!$A$3,"MA_HT","DTL","MA_QH","DSH")</f>
        <v>0</v>
      </c>
      <c r="AZ30" s="50">
        <f ca="1">+GETPIVOTDATA("XBT4",'binhtrung (2016)'!$A$3,"MA_HT","DTL","MA_QH","DKV")</f>
        <v>0</v>
      </c>
      <c r="BA30" s="88">
        <f ca="1">+GETPIVOTDATA("XBT4",'binhtrung (2016)'!$A$3,"MA_HT","DTL","MA_QH","TIN")</f>
        <v>0</v>
      </c>
      <c r="BB30" s="50">
        <f ca="1">+GETPIVOTDATA("XBT4",'binhtrung (2016)'!$A$3,"MA_HT","DTL","MA_QH","SON")</f>
        <v>0</v>
      </c>
      <c r="BC30" s="50">
        <f ca="1">+GETPIVOTDATA("XBT4",'binhtrung (2016)'!$A$3,"MA_HT","DTL","MA_QH","MNC")</f>
        <v>0</v>
      </c>
      <c r="BD30" s="50">
        <f ca="1">+GETPIVOTDATA("XBT4",'binhtrung (2016)'!$A$3,"MA_HT","DTL","MA_QH","PNK")</f>
        <v>0</v>
      </c>
      <c r="BE30" s="80">
        <f ca="1">+GETPIVOTDATA("XBT4",'binhtrung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+GETPIVOTDATA("XBT4",'binhtrung (2016)'!$A$3,"MA_HT","DNL","MA_QH","LUC")</f>
        <v>0</v>
      </c>
      <c r="H31" s="50">
        <f ca="1">+GETPIVOTDATA("XBT4",'binhtrung (2016)'!$A$3,"MA_HT","DNL","MA_QH","LUK")</f>
        <v>0</v>
      </c>
      <c r="I31" s="50">
        <f ca="1">+GETPIVOTDATA("XBT4",'binhtrung (2016)'!$A$3,"MA_HT","DNL","MA_QH","LUN")</f>
        <v>0</v>
      </c>
      <c r="J31" s="50">
        <f ca="1">+GETPIVOTDATA("XBT4",'binhtrung (2016)'!$A$3,"MA_HT","DNL","MA_QH","HNK")</f>
        <v>0</v>
      </c>
      <c r="K31" s="50">
        <f ca="1">+GETPIVOTDATA("XBT4",'binhtrung (2016)'!$A$3,"MA_HT","DNL","MA_QH","CLN")</f>
        <v>0</v>
      </c>
      <c r="L31" s="50">
        <f ca="1">+GETPIVOTDATA("XBT4",'binhtrung (2016)'!$A$3,"MA_HT","DNL","MA_QH","RSX")</f>
        <v>0</v>
      </c>
      <c r="M31" s="50">
        <f ca="1">+GETPIVOTDATA("XBT4",'binhtrung (2016)'!$A$3,"MA_HT","DNL","MA_QH","RPH")</f>
        <v>0</v>
      </c>
      <c r="N31" s="50">
        <f ca="1">+GETPIVOTDATA("XBT4",'binhtrung (2016)'!$A$3,"MA_HT","DNL","MA_QH","RDD")</f>
        <v>0</v>
      </c>
      <c r="O31" s="50">
        <f ca="1">+GETPIVOTDATA("XBT4",'binhtrung (2016)'!$A$3,"MA_HT","DNL","MA_QH","NTS")</f>
        <v>0</v>
      </c>
      <c r="P31" s="50">
        <f ca="1">+GETPIVOTDATA("XBT4",'binhtrung (2016)'!$A$3,"MA_HT","DNL","MA_QH","LMU")</f>
        <v>0</v>
      </c>
      <c r="Q31" s="50">
        <f ca="1">+GETPIVOTDATA("XBT4",'binhtrung (2016)'!$A$3,"MA_HT","DNL","MA_QH","NKH")</f>
        <v>0</v>
      </c>
      <c r="R31" s="48">
        <f ca="1" t="shared" si="20"/>
        <v>0</v>
      </c>
      <c r="S31" s="50">
        <f ca="1">+GETPIVOTDATA("XBT4",'binhtrung (2016)'!$A$3,"MA_HT","DNL","MA_QH","CQP")</f>
        <v>0</v>
      </c>
      <c r="T31" s="50">
        <f ca="1">+GETPIVOTDATA("XBT4",'binhtrung (2016)'!$A$3,"MA_HT","DNL","MA_QH","CAN")</f>
        <v>0</v>
      </c>
      <c r="U31" s="50">
        <f ca="1">+GETPIVOTDATA("XBT4",'binhtrung (2016)'!$A$3,"MA_HT","DNL","MA_QH","SKK")</f>
        <v>0</v>
      </c>
      <c r="V31" s="50">
        <f ca="1">+GETPIVOTDATA("XBT4",'binhtrung (2016)'!$A$3,"MA_HT","DNL","MA_QH","SKT")</f>
        <v>0</v>
      </c>
      <c r="W31" s="50">
        <f ca="1">+GETPIVOTDATA("XBT4",'binhtrung (2016)'!$A$3,"MA_HT","DNL","MA_QH","SKN")</f>
        <v>0</v>
      </c>
      <c r="X31" s="50">
        <f ca="1">+GETPIVOTDATA("XBT4",'binhtrung (2016)'!$A$3,"MA_HT","DNL","MA_QH","TMD")</f>
        <v>0</v>
      </c>
      <c r="Y31" s="50">
        <f ca="1">+GETPIVOTDATA("XBT4",'binhtrung (2016)'!$A$3,"MA_HT","DNL","MA_QH","SKC")</f>
        <v>0</v>
      </c>
      <c r="Z31" s="50">
        <f ca="1">+GETPIVOTDATA("XBT4",'binhtrung (2016)'!$A$3,"MA_HT","DNL","MA_QH","SKS")</f>
        <v>0</v>
      </c>
      <c r="AA31" s="52">
        <f ca="1">+SUM(AB31:AC31,AE31:AM31)</f>
        <v>0</v>
      </c>
      <c r="AB31" s="50">
        <f ca="1">+GETPIVOTDATA("XBT4",'binhtrung (2016)'!$A$3,"MA_HT","DNL","MA_QH","DGT")</f>
        <v>0</v>
      </c>
      <c r="AC31" s="50">
        <f ca="1">+GETPIVOTDATA("XBT4",'binhtrung (2016)'!$A$3,"MA_HT","DNL","MA_QH","DTL")</f>
        <v>0</v>
      </c>
      <c r="AD31" s="49" t="e">
        <f ca="1">$D31-$BF31</f>
        <v>#REF!</v>
      </c>
      <c r="AE31" s="50">
        <f ca="1">+GETPIVOTDATA("XBT4",'binhtrung (2016)'!$A$3,"MA_HT","DNL","MA_QH","DBV")</f>
        <v>0</v>
      </c>
      <c r="AF31" s="50">
        <f ca="1">+GETPIVOTDATA("XBT4",'binhtrung (2016)'!$A$3,"MA_HT","DNL","MA_QH","DVH")</f>
        <v>0</v>
      </c>
      <c r="AG31" s="50">
        <f ca="1">+GETPIVOTDATA("XBT4",'binhtrung (2016)'!$A$3,"MA_HT","DNL","MA_QH","DYT")</f>
        <v>0</v>
      </c>
      <c r="AH31" s="50">
        <f ca="1">+GETPIVOTDATA("XBT4",'binhtrung (2016)'!$A$3,"MA_HT","DNL","MA_QH","DGD")</f>
        <v>0</v>
      </c>
      <c r="AI31" s="50">
        <f ca="1">+GETPIVOTDATA("XBT4",'binhtrung (2016)'!$A$3,"MA_HT","DNL","MA_QH","DTT")</f>
        <v>0</v>
      </c>
      <c r="AJ31" s="50">
        <f ca="1">+GETPIVOTDATA("XBT4",'binhtrung (2016)'!$A$3,"MA_HT","DNL","MA_QH","NCK")</f>
        <v>0</v>
      </c>
      <c r="AK31" s="50">
        <f ca="1">+GETPIVOTDATA("XBT4",'binhtrung (2016)'!$A$3,"MA_HT","DNL","MA_QH","DXH")</f>
        <v>0</v>
      </c>
      <c r="AL31" s="50">
        <f ca="1">+GETPIVOTDATA("XBT4",'binhtrung (2016)'!$A$3,"MA_HT","DNL","MA_QH","DCH")</f>
        <v>0</v>
      </c>
      <c r="AM31" s="50">
        <f ca="1">+GETPIVOTDATA("XBT4",'binhtrung (2016)'!$A$3,"MA_HT","DNL","MA_QH","DKG")</f>
        <v>0</v>
      </c>
      <c r="AN31" s="50">
        <f ca="1">+GETPIVOTDATA("XBT4",'binhtrung (2016)'!$A$3,"MA_HT","DNL","MA_QH","DDT")</f>
        <v>0</v>
      </c>
      <c r="AO31" s="50">
        <f ca="1">+GETPIVOTDATA("XBT4",'binhtrung (2016)'!$A$3,"MA_HT","DNL","MA_QH","DDL")</f>
        <v>0</v>
      </c>
      <c r="AP31" s="50">
        <f ca="1">+GETPIVOTDATA("XBT4",'binhtrung (2016)'!$A$3,"MA_HT","DNL","MA_QH","DRA")</f>
        <v>0</v>
      </c>
      <c r="AQ31" s="50">
        <f ca="1">+GETPIVOTDATA("XBT4",'binhtrung (2016)'!$A$3,"MA_HT","DNL","MA_QH","ONT")</f>
        <v>0</v>
      </c>
      <c r="AR31" s="50">
        <f ca="1">+GETPIVOTDATA("XBT4",'binhtrung (2016)'!$A$3,"MA_HT","DNL","MA_QH","ODT")</f>
        <v>0</v>
      </c>
      <c r="AS31" s="50">
        <f ca="1">+GETPIVOTDATA("XBT4",'binhtrung (2016)'!$A$3,"MA_HT","DNL","MA_QH","TSC")</f>
        <v>0</v>
      </c>
      <c r="AT31" s="50">
        <f ca="1">+GETPIVOTDATA("XBT4",'binhtrung (2016)'!$A$3,"MA_HT","DNL","MA_QH","DTS")</f>
        <v>0</v>
      </c>
      <c r="AU31" s="50">
        <f ca="1">+GETPIVOTDATA("XBT4",'binhtrung (2016)'!$A$3,"MA_HT","DNL","MA_QH","DNG")</f>
        <v>0</v>
      </c>
      <c r="AV31" s="50">
        <f ca="1">+GETPIVOTDATA("XBT4",'binhtrung (2016)'!$A$3,"MA_HT","DNL","MA_QH","TON")</f>
        <v>0</v>
      </c>
      <c r="AW31" s="50">
        <f ca="1">+GETPIVOTDATA("XBT4",'binhtrung (2016)'!$A$3,"MA_HT","DNL","MA_QH","NTD")</f>
        <v>0</v>
      </c>
      <c r="AX31" s="50">
        <f ca="1">+GETPIVOTDATA("XBT4",'binhtrung (2016)'!$A$3,"MA_HT","DNL","MA_QH","SKX")</f>
        <v>0</v>
      </c>
      <c r="AY31" s="50">
        <f ca="1">+GETPIVOTDATA("XBT4",'binhtrung (2016)'!$A$3,"MA_HT","DNL","MA_QH","DSH")</f>
        <v>0</v>
      </c>
      <c r="AZ31" s="50">
        <f ca="1">+GETPIVOTDATA("XBT4",'binhtrung (2016)'!$A$3,"MA_HT","DNL","MA_QH","DKV")</f>
        <v>0</v>
      </c>
      <c r="BA31" s="88">
        <f ca="1">+GETPIVOTDATA("XBT4",'binhtrung (2016)'!$A$3,"MA_HT","DNL","MA_QH","TIN")</f>
        <v>0</v>
      </c>
      <c r="BB31" s="50">
        <f ca="1">+GETPIVOTDATA("XBT4",'binhtrung (2016)'!$A$3,"MA_HT","DNL","MA_QH","SON")</f>
        <v>0</v>
      </c>
      <c r="BC31" s="50">
        <f ca="1">+GETPIVOTDATA("XBT4",'binhtrung (2016)'!$A$3,"MA_HT","DNL","MA_QH","MNC")</f>
        <v>0</v>
      </c>
      <c r="BD31" s="50">
        <f ca="1">+GETPIVOTDATA("XBT4",'binhtrung (2016)'!$A$3,"MA_HT","DNL","MA_QH","PNK")</f>
        <v>0</v>
      </c>
      <c r="BE31" s="80">
        <f ca="1">+GETPIVOTDATA("XBT4",'binhtrung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+GETPIVOTDATA("XBT4",'binhtrung (2016)'!$A$3,"MA_HT","DBV","MA_QH","LUC")</f>
        <v>0</v>
      </c>
      <c r="H32" s="50">
        <f ca="1">+GETPIVOTDATA("XBT4",'binhtrung (2016)'!$A$3,"MA_HT","DBV","MA_QH","LUK")</f>
        <v>0</v>
      </c>
      <c r="I32" s="50">
        <f ca="1">+GETPIVOTDATA("XBT4",'binhtrung (2016)'!$A$3,"MA_HT","DBV","MA_QH","LUN")</f>
        <v>0</v>
      </c>
      <c r="J32" s="50">
        <f ca="1">+GETPIVOTDATA("XBT4",'binhtrung (2016)'!$A$3,"MA_HT","DBV","MA_QH","HNK")</f>
        <v>0</v>
      </c>
      <c r="K32" s="50">
        <f ca="1">+GETPIVOTDATA("XBT4",'binhtrung (2016)'!$A$3,"MA_HT","DBV","MA_QH","CLN")</f>
        <v>0</v>
      </c>
      <c r="L32" s="50">
        <f ca="1">+GETPIVOTDATA("XBT4",'binhtrung (2016)'!$A$3,"MA_HT","DBV","MA_QH","RSX")</f>
        <v>0</v>
      </c>
      <c r="M32" s="50">
        <f ca="1">+GETPIVOTDATA("XBT4",'binhtrung (2016)'!$A$3,"MA_HT","DBV","MA_QH","RPH")</f>
        <v>0</v>
      </c>
      <c r="N32" s="50">
        <f ca="1">+GETPIVOTDATA("XBT4",'binhtrung (2016)'!$A$3,"MA_HT","DBV","MA_QH","RDD")</f>
        <v>0</v>
      </c>
      <c r="O32" s="50">
        <f ca="1">+GETPIVOTDATA("XBT4",'binhtrung (2016)'!$A$3,"MA_HT","DBV","MA_QH","NTS")</f>
        <v>0</v>
      </c>
      <c r="P32" s="50">
        <f ca="1">+GETPIVOTDATA("XBT4",'binhtrung (2016)'!$A$3,"MA_HT","DBV","MA_QH","LMU")</f>
        <v>0</v>
      </c>
      <c r="Q32" s="50">
        <f ca="1">+GETPIVOTDATA("XBT4",'binhtrung (2016)'!$A$3,"MA_HT","DBV","MA_QH","NKH")</f>
        <v>0</v>
      </c>
      <c r="R32" s="48">
        <f ca="1" t="shared" si="20"/>
        <v>0</v>
      </c>
      <c r="S32" s="50">
        <f ca="1">+GETPIVOTDATA("XBT4",'binhtrung (2016)'!$A$3,"MA_HT","DBV","MA_QH","CQP")</f>
        <v>0</v>
      </c>
      <c r="T32" s="50">
        <f ca="1">+GETPIVOTDATA("XBT4",'binhtrung (2016)'!$A$3,"MA_HT","DBV","MA_QH","CAN")</f>
        <v>0</v>
      </c>
      <c r="U32" s="50">
        <f ca="1">+GETPIVOTDATA("XBT4",'binhtrung (2016)'!$A$3,"MA_HT","DBV","MA_QH","SKK")</f>
        <v>0</v>
      </c>
      <c r="V32" s="50">
        <f ca="1">+GETPIVOTDATA("XBT4",'binhtrung (2016)'!$A$3,"MA_HT","DBV","MA_QH","SKT")</f>
        <v>0</v>
      </c>
      <c r="W32" s="50">
        <f ca="1">+GETPIVOTDATA("XBT4",'binhtrung (2016)'!$A$3,"MA_HT","DBV","MA_QH","SKN")</f>
        <v>0</v>
      </c>
      <c r="X32" s="50">
        <f ca="1">+GETPIVOTDATA("XBT4",'binhtrung (2016)'!$A$3,"MA_HT","DBV","MA_QH","TMD")</f>
        <v>0</v>
      </c>
      <c r="Y32" s="50">
        <f ca="1">+GETPIVOTDATA("XBT4",'binhtrung (2016)'!$A$3,"MA_HT","DBV","MA_QH","SKC")</f>
        <v>0</v>
      </c>
      <c r="Z32" s="50">
        <f ca="1">+GETPIVOTDATA("XBT4",'binhtrung (2016)'!$A$3,"MA_HT","DBV","MA_QH","SKS")</f>
        <v>0</v>
      </c>
      <c r="AA32" s="52">
        <f ca="1">+SUM(AB32:AD32,AF32:AM32)</f>
        <v>0</v>
      </c>
      <c r="AB32" s="50">
        <f ca="1">+GETPIVOTDATA("XBT4",'binhtrung (2016)'!$A$3,"MA_HT","DBV","MA_QH","DGT")</f>
        <v>0</v>
      </c>
      <c r="AC32" s="50">
        <f ca="1">+GETPIVOTDATA("XBT4",'binhtrung (2016)'!$A$3,"MA_HT","DBV","MA_QH","DTL")</f>
        <v>0</v>
      </c>
      <c r="AD32" s="50">
        <f ca="1">+GETPIVOTDATA("XBT4",'binhtrung (2016)'!$A$3,"MA_HT","DBV","MA_QH","DNL")</f>
        <v>0</v>
      </c>
      <c r="AE32" s="49" t="e">
        <f ca="1">$D32-$BF32</f>
        <v>#REF!</v>
      </c>
      <c r="AF32" s="50">
        <f ca="1">+GETPIVOTDATA("XBT4",'binhtrung (2016)'!$A$3,"MA_HT","DBV","MA_QH","DVH")</f>
        <v>0</v>
      </c>
      <c r="AG32" s="50">
        <f ca="1">+GETPIVOTDATA("XBT4",'binhtrung (2016)'!$A$3,"MA_HT","DBV","MA_QH","DYT")</f>
        <v>0</v>
      </c>
      <c r="AH32" s="50">
        <f ca="1">+GETPIVOTDATA("XBT4",'binhtrung (2016)'!$A$3,"MA_HT","DBV","MA_QH","DGD")</f>
        <v>0</v>
      </c>
      <c r="AI32" s="50">
        <f ca="1">+GETPIVOTDATA("XBT4",'binhtrung (2016)'!$A$3,"MA_HT","DBV","MA_QH","DTT")</f>
        <v>0</v>
      </c>
      <c r="AJ32" s="50">
        <f ca="1">+GETPIVOTDATA("XBT4",'binhtrung (2016)'!$A$3,"MA_HT","DBV","MA_QH","NCK")</f>
        <v>0</v>
      </c>
      <c r="AK32" s="50">
        <f ca="1">+GETPIVOTDATA("XBT4",'binhtrung (2016)'!$A$3,"MA_HT","DBV","MA_QH","DXH")</f>
        <v>0</v>
      </c>
      <c r="AL32" s="50">
        <f ca="1">+GETPIVOTDATA("XBT4",'binhtrung (2016)'!$A$3,"MA_HT","DBV","MA_QH","DCH")</f>
        <v>0</v>
      </c>
      <c r="AM32" s="50">
        <f ca="1">+GETPIVOTDATA("XBT4",'binhtrung (2016)'!$A$3,"MA_HT","DBV","MA_QH","DKG")</f>
        <v>0</v>
      </c>
      <c r="AN32" s="50">
        <f ca="1">+GETPIVOTDATA("XBT4",'binhtrung (2016)'!$A$3,"MA_HT","DBV","MA_QH","DDT")</f>
        <v>0</v>
      </c>
      <c r="AO32" s="50">
        <f ca="1">+GETPIVOTDATA("XBT4",'binhtrung (2016)'!$A$3,"MA_HT","DBV","MA_QH","DDL")</f>
        <v>0</v>
      </c>
      <c r="AP32" s="50">
        <f ca="1">+GETPIVOTDATA("XBT4",'binhtrung (2016)'!$A$3,"MA_HT","DBV","MA_QH","DRA")</f>
        <v>0</v>
      </c>
      <c r="AQ32" s="50">
        <f ca="1">+GETPIVOTDATA("XBT4",'binhtrung (2016)'!$A$3,"MA_HT","DBV","MA_QH","ONT")</f>
        <v>0</v>
      </c>
      <c r="AR32" s="50">
        <f ca="1">+GETPIVOTDATA("XBT4",'binhtrung (2016)'!$A$3,"MA_HT","DBV","MA_QH","ODT")</f>
        <v>0</v>
      </c>
      <c r="AS32" s="50">
        <f ca="1">+GETPIVOTDATA("XBT4",'binhtrung (2016)'!$A$3,"MA_HT","DBV","MA_QH","TSC")</f>
        <v>0</v>
      </c>
      <c r="AT32" s="50">
        <f ca="1">+GETPIVOTDATA("XBT4",'binhtrung (2016)'!$A$3,"MA_HT","DBV","MA_QH","DTS")</f>
        <v>0</v>
      </c>
      <c r="AU32" s="50">
        <f ca="1">+GETPIVOTDATA("XBT4",'binhtrung (2016)'!$A$3,"MA_HT","DBV","MA_QH","DNG")</f>
        <v>0</v>
      </c>
      <c r="AV32" s="50">
        <f ca="1">+GETPIVOTDATA("XBT4",'binhtrung (2016)'!$A$3,"MA_HT","DBV","MA_QH","TON")</f>
        <v>0</v>
      </c>
      <c r="AW32" s="50">
        <f ca="1">+GETPIVOTDATA("XBT4",'binhtrung (2016)'!$A$3,"MA_HT","DBV","MA_QH","NTD")</f>
        <v>0</v>
      </c>
      <c r="AX32" s="50">
        <f ca="1">+GETPIVOTDATA("XBT4",'binhtrung (2016)'!$A$3,"MA_HT","DBV","MA_QH","SKX")</f>
        <v>0</v>
      </c>
      <c r="AY32" s="50">
        <f ca="1">+GETPIVOTDATA("XBT4",'binhtrung (2016)'!$A$3,"MA_HT","DBV","MA_QH","DSH")</f>
        <v>0</v>
      </c>
      <c r="AZ32" s="50">
        <f ca="1">+GETPIVOTDATA("XBT4",'binhtrung (2016)'!$A$3,"MA_HT","DBV","MA_QH","DKV")</f>
        <v>0</v>
      </c>
      <c r="BA32" s="88">
        <f ca="1">+GETPIVOTDATA("XBT4",'binhtrung (2016)'!$A$3,"MA_HT","DBV","MA_QH","TIN")</f>
        <v>0</v>
      </c>
      <c r="BB32" s="50">
        <f ca="1">+GETPIVOTDATA("XBT4",'binhtrung (2016)'!$A$3,"MA_HT","DBV","MA_QH","SON")</f>
        <v>0</v>
      </c>
      <c r="BC32" s="50">
        <f ca="1">+GETPIVOTDATA("XBT4",'binhtrung (2016)'!$A$3,"MA_HT","DBV","MA_QH","MNC")</f>
        <v>0</v>
      </c>
      <c r="BD32" s="50">
        <f ca="1">+GETPIVOTDATA("XBT4",'binhtrung (2016)'!$A$3,"MA_HT","DBV","MA_QH","PNK")</f>
        <v>0</v>
      </c>
      <c r="BE32" s="80">
        <f ca="1">+GETPIVOTDATA("XBT4",'binhtrung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+GETPIVOTDATA("XBT4",'binhtrung (2016)'!$A$3,"MA_HT","DVH","MA_QH","LUC")</f>
        <v>0</v>
      </c>
      <c r="H33" s="50">
        <f ca="1">+GETPIVOTDATA("XBT4",'binhtrung (2016)'!$A$3,"MA_HT","DVH","MA_QH","LUK")</f>
        <v>0</v>
      </c>
      <c r="I33" s="50">
        <f ca="1">+GETPIVOTDATA("XBT4",'binhtrung (2016)'!$A$3,"MA_HT","DVH","MA_QH","LUN")</f>
        <v>0</v>
      </c>
      <c r="J33" s="50">
        <f ca="1">+GETPIVOTDATA("XBT4",'binhtrung (2016)'!$A$3,"MA_HT","DVH","MA_QH","HNK")</f>
        <v>0</v>
      </c>
      <c r="K33" s="50">
        <f ca="1">+GETPIVOTDATA("XBT4",'binhtrung (2016)'!$A$3,"MA_HT","DVH","MA_QH","CLN")</f>
        <v>0</v>
      </c>
      <c r="L33" s="50">
        <f ca="1">+GETPIVOTDATA("XBT4",'binhtrung (2016)'!$A$3,"MA_HT","DVH","MA_QH","RSX")</f>
        <v>0</v>
      </c>
      <c r="M33" s="50">
        <f ca="1">+GETPIVOTDATA("XBT4",'binhtrung (2016)'!$A$3,"MA_HT","DVH","MA_QH","RPH")</f>
        <v>0</v>
      </c>
      <c r="N33" s="50">
        <f ca="1">+GETPIVOTDATA("XBT4",'binhtrung (2016)'!$A$3,"MA_HT","DVH","MA_QH","RDD")</f>
        <v>0</v>
      </c>
      <c r="O33" s="50">
        <f ca="1">+GETPIVOTDATA("XBT4",'binhtrung (2016)'!$A$3,"MA_HT","DVH","MA_QH","NTS")</f>
        <v>0</v>
      </c>
      <c r="P33" s="50">
        <f ca="1">+GETPIVOTDATA("XBT4",'binhtrung (2016)'!$A$3,"MA_HT","DVH","MA_QH","LMU")</f>
        <v>0</v>
      </c>
      <c r="Q33" s="50">
        <f ca="1">+GETPIVOTDATA("XBT4",'binhtrung (2016)'!$A$3,"MA_HT","DVH","MA_QH","NKH")</f>
        <v>0</v>
      </c>
      <c r="R33" s="48">
        <f ca="1" t="shared" si="20"/>
        <v>0</v>
      </c>
      <c r="S33" s="50">
        <f ca="1">+GETPIVOTDATA("XBT4",'binhtrung (2016)'!$A$3,"MA_HT","DVH","MA_QH","CQP")</f>
        <v>0</v>
      </c>
      <c r="T33" s="50">
        <f ca="1">+GETPIVOTDATA("XBT4",'binhtrung (2016)'!$A$3,"MA_HT","DVH","MA_QH","CAN")</f>
        <v>0</v>
      </c>
      <c r="U33" s="50">
        <f ca="1">+GETPIVOTDATA("XBT4",'binhtrung (2016)'!$A$3,"MA_HT","DVH","MA_QH","SKK")</f>
        <v>0</v>
      </c>
      <c r="V33" s="50">
        <f ca="1">+GETPIVOTDATA("XBT4",'binhtrung (2016)'!$A$3,"MA_HT","DVH","MA_QH","SKT")</f>
        <v>0</v>
      </c>
      <c r="W33" s="50">
        <f ca="1">+GETPIVOTDATA("XBT4",'binhtrung (2016)'!$A$3,"MA_HT","DVH","MA_QH","SKN")</f>
        <v>0</v>
      </c>
      <c r="X33" s="50">
        <f ca="1">+GETPIVOTDATA("XBT4",'binhtrung (2016)'!$A$3,"MA_HT","DVH","MA_QH","TMD")</f>
        <v>0</v>
      </c>
      <c r="Y33" s="50">
        <f ca="1">+GETPIVOTDATA("XBT4",'binhtrung (2016)'!$A$3,"MA_HT","DVH","MA_QH","SKC")</f>
        <v>0</v>
      </c>
      <c r="Z33" s="50">
        <f ca="1">+GETPIVOTDATA("XBT4",'binhtrung (2016)'!$A$3,"MA_HT","DVH","MA_QH","SKS")</f>
        <v>0</v>
      </c>
      <c r="AA33" s="52">
        <f ca="1">+SUM(AB33:AE33,AG33:AM33)</f>
        <v>0</v>
      </c>
      <c r="AB33" s="50">
        <f ca="1">+GETPIVOTDATA("XBT4",'binhtrung (2016)'!$A$3,"MA_HT","DVH","MA_QH","DGT")</f>
        <v>0</v>
      </c>
      <c r="AC33" s="50">
        <f ca="1">+GETPIVOTDATA("XBT4",'binhtrung (2016)'!$A$3,"MA_HT","DVH","MA_QH","DTL")</f>
        <v>0</v>
      </c>
      <c r="AD33" s="50">
        <f ca="1">+GETPIVOTDATA("XBT4",'binhtrung (2016)'!$A$3,"MA_HT","DVH","MA_QH","DNL")</f>
        <v>0</v>
      </c>
      <c r="AE33" s="50">
        <f ca="1">+GETPIVOTDATA("XBT4",'binhtrung (2016)'!$A$3,"MA_HT","DVH","MA_QH","DBV")</f>
        <v>0</v>
      </c>
      <c r="AF33" s="49" t="e">
        <f ca="1">$D33-$BF33</f>
        <v>#REF!</v>
      </c>
      <c r="AG33" s="50">
        <f ca="1">+GETPIVOTDATA("XBT4",'binhtrung (2016)'!$A$3,"MA_HT","DVH","MA_QH","DYT")</f>
        <v>0</v>
      </c>
      <c r="AH33" s="50">
        <f ca="1">+GETPIVOTDATA("XBT4",'binhtrung (2016)'!$A$3,"MA_HT","DVH","MA_QH","DGD")</f>
        <v>0</v>
      </c>
      <c r="AI33" s="50">
        <f ca="1">+GETPIVOTDATA("XBT4",'binhtrung (2016)'!$A$3,"MA_HT","DVH","MA_QH","DTT")</f>
        <v>0</v>
      </c>
      <c r="AJ33" s="50">
        <f ca="1">+GETPIVOTDATA("XBT4",'binhtrung (2016)'!$A$3,"MA_HT","DVH","MA_QH","NCK")</f>
        <v>0</v>
      </c>
      <c r="AK33" s="50">
        <f ca="1">+GETPIVOTDATA("XBT4",'binhtrung (2016)'!$A$3,"MA_HT","DVH","MA_QH","DXH")</f>
        <v>0</v>
      </c>
      <c r="AL33" s="50">
        <f ca="1">+GETPIVOTDATA("XBT4",'binhtrung (2016)'!$A$3,"MA_HT","DVH","MA_QH","DCH")</f>
        <v>0</v>
      </c>
      <c r="AM33" s="50">
        <f ca="1">+GETPIVOTDATA("XBT4",'binhtrung (2016)'!$A$3,"MA_HT","DVH","MA_QH","DKG")</f>
        <v>0</v>
      </c>
      <c r="AN33" s="50">
        <f ca="1">+GETPIVOTDATA("XBT4",'binhtrung (2016)'!$A$3,"MA_HT","DVH","MA_QH","DDT")</f>
        <v>0</v>
      </c>
      <c r="AO33" s="50">
        <f ca="1">+GETPIVOTDATA("XBT4",'binhtrung (2016)'!$A$3,"MA_HT","DVH","MA_QH","DDL")</f>
        <v>0</v>
      </c>
      <c r="AP33" s="50">
        <f ca="1">+GETPIVOTDATA("XBT4",'binhtrung (2016)'!$A$3,"MA_HT","DVH","MA_QH","DRA")</f>
        <v>0</v>
      </c>
      <c r="AQ33" s="50">
        <f ca="1">+GETPIVOTDATA("XBT4",'binhtrung (2016)'!$A$3,"MA_HT","DVH","MA_QH","ONT")</f>
        <v>0</v>
      </c>
      <c r="AR33" s="50">
        <f ca="1">+GETPIVOTDATA("XBT4",'binhtrung (2016)'!$A$3,"MA_HT","DVH","MA_QH","ODT")</f>
        <v>0</v>
      </c>
      <c r="AS33" s="50">
        <f ca="1">+GETPIVOTDATA("XBT4",'binhtrung (2016)'!$A$3,"MA_HT","DVH","MA_QH","TSC")</f>
        <v>0</v>
      </c>
      <c r="AT33" s="50">
        <f ca="1">+GETPIVOTDATA("XBT4",'binhtrung (2016)'!$A$3,"MA_HT","DVH","MA_QH","DTS")</f>
        <v>0</v>
      </c>
      <c r="AU33" s="50">
        <f ca="1">+GETPIVOTDATA("XBT4",'binhtrung (2016)'!$A$3,"MA_HT","DVH","MA_QH","DNG")</f>
        <v>0</v>
      </c>
      <c r="AV33" s="50">
        <f ca="1">+GETPIVOTDATA("XBT4",'binhtrung (2016)'!$A$3,"MA_HT","DVH","MA_QH","TON")</f>
        <v>0</v>
      </c>
      <c r="AW33" s="50">
        <f ca="1">+GETPIVOTDATA("XBT4",'binhtrung (2016)'!$A$3,"MA_HT","DVH","MA_QH","NTD")</f>
        <v>0</v>
      </c>
      <c r="AX33" s="50">
        <f ca="1">+GETPIVOTDATA("XBT4",'binhtrung (2016)'!$A$3,"MA_HT","DVH","MA_QH","SKX")</f>
        <v>0</v>
      </c>
      <c r="AY33" s="50">
        <f ca="1">+GETPIVOTDATA("XBT4",'binhtrung (2016)'!$A$3,"MA_HT","DVH","MA_QH","DSH")</f>
        <v>0</v>
      </c>
      <c r="AZ33" s="50">
        <f ca="1">+GETPIVOTDATA("XBT4",'binhtrung (2016)'!$A$3,"MA_HT","DVH","MA_QH","DKV")</f>
        <v>0</v>
      </c>
      <c r="BA33" s="88">
        <f ca="1">+GETPIVOTDATA("XBT4",'binhtrung (2016)'!$A$3,"MA_HT","DVH","MA_QH","TIN")</f>
        <v>0</v>
      </c>
      <c r="BB33" s="50">
        <f ca="1">+GETPIVOTDATA("XBT4",'binhtrung (2016)'!$A$3,"MA_HT","DVH","MA_QH","SON")</f>
        <v>0</v>
      </c>
      <c r="BC33" s="50">
        <f ca="1">+GETPIVOTDATA("XBT4",'binhtrung (2016)'!$A$3,"MA_HT","DVH","MA_QH","MNC")</f>
        <v>0</v>
      </c>
      <c r="BD33" s="50">
        <f ca="1">+GETPIVOTDATA("XBT4",'binhtrung (2016)'!$A$3,"MA_HT","DVH","MA_QH","PNK")</f>
        <v>0</v>
      </c>
      <c r="BE33" s="80">
        <f ca="1">+GETPIVOTDATA("XBT4",'binhtrung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+GETPIVOTDATA("XBT4",'binhtrung (2016)'!$A$3,"MA_HT","DYT","MA_QH","LUC")</f>
        <v>0</v>
      </c>
      <c r="H34" s="50">
        <f ca="1">+GETPIVOTDATA("XBT4",'binhtrung (2016)'!$A$3,"MA_HT","DYT","MA_QH","LUK")</f>
        <v>0</v>
      </c>
      <c r="I34" s="50">
        <f ca="1">+GETPIVOTDATA("XBT4",'binhtrung (2016)'!$A$3,"MA_HT","DYT","MA_QH","LUN")</f>
        <v>0</v>
      </c>
      <c r="J34" s="50">
        <f ca="1">+GETPIVOTDATA("XBT4",'binhtrung (2016)'!$A$3,"MA_HT","DYT","MA_QH","HNK")</f>
        <v>0</v>
      </c>
      <c r="K34" s="50">
        <f ca="1">+GETPIVOTDATA("XBT4",'binhtrung (2016)'!$A$3,"MA_HT","DYT","MA_QH","CLN")</f>
        <v>0</v>
      </c>
      <c r="L34" s="50">
        <f ca="1">+GETPIVOTDATA("XBT4",'binhtrung (2016)'!$A$3,"MA_HT","DYT","MA_QH","RSX")</f>
        <v>0</v>
      </c>
      <c r="M34" s="50">
        <f ca="1">+GETPIVOTDATA("XBT4",'binhtrung (2016)'!$A$3,"MA_HT","DYT","MA_QH","RPH")</f>
        <v>0</v>
      </c>
      <c r="N34" s="50">
        <f ca="1">+GETPIVOTDATA("XBT4",'binhtrung (2016)'!$A$3,"MA_HT","DYT","MA_QH","RDD")</f>
        <v>0</v>
      </c>
      <c r="O34" s="50">
        <f ca="1">+GETPIVOTDATA("XBT4",'binhtrung (2016)'!$A$3,"MA_HT","DYT","MA_QH","NTS")</f>
        <v>0</v>
      </c>
      <c r="P34" s="50">
        <f ca="1">+GETPIVOTDATA("XBT4",'binhtrung (2016)'!$A$3,"MA_HT","DYT","MA_QH","LMU")</f>
        <v>0</v>
      </c>
      <c r="Q34" s="50">
        <f ca="1">+GETPIVOTDATA("XBT4",'binhtrung (2016)'!$A$3,"MA_HT","DYT","MA_QH","NKH")</f>
        <v>0</v>
      </c>
      <c r="R34" s="48">
        <f ca="1" t="shared" si="20"/>
        <v>0</v>
      </c>
      <c r="S34" s="50">
        <f ca="1">+GETPIVOTDATA("XBT4",'binhtrung (2016)'!$A$3,"MA_HT","DYT","MA_QH","CQP")</f>
        <v>0</v>
      </c>
      <c r="T34" s="50">
        <f ca="1">+GETPIVOTDATA("XBT4",'binhtrung (2016)'!$A$3,"MA_HT","DYT","MA_QH","CAN")</f>
        <v>0</v>
      </c>
      <c r="U34" s="50">
        <f ca="1">+GETPIVOTDATA("XBT4",'binhtrung (2016)'!$A$3,"MA_HT","DYT","MA_QH","SKK")</f>
        <v>0</v>
      </c>
      <c r="V34" s="50">
        <f ca="1">+GETPIVOTDATA("XBT4",'binhtrung (2016)'!$A$3,"MA_HT","DYT","MA_QH","SKT")</f>
        <v>0</v>
      </c>
      <c r="W34" s="50">
        <f ca="1">+GETPIVOTDATA("XBT4",'binhtrung (2016)'!$A$3,"MA_HT","DYT","MA_QH","SKN")</f>
        <v>0</v>
      </c>
      <c r="X34" s="50">
        <f ca="1">+GETPIVOTDATA("XBT4",'binhtrung (2016)'!$A$3,"MA_HT","DYT","MA_QH","TMD")</f>
        <v>0</v>
      </c>
      <c r="Y34" s="50">
        <f ca="1">+GETPIVOTDATA("XBT4",'binhtrung (2016)'!$A$3,"MA_HT","DYT","MA_QH","SKC")</f>
        <v>0</v>
      </c>
      <c r="Z34" s="50">
        <f ca="1">+GETPIVOTDATA("XBT4",'binhtrung (2016)'!$A$3,"MA_HT","DYT","MA_QH","SKS")</f>
        <v>0</v>
      </c>
      <c r="AA34" s="52">
        <f ca="1">+SUM(AB34:AF34,AH34:AM34)</f>
        <v>0</v>
      </c>
      <c r="AB34" s="50">
        <f ca="1">+GETPIVOTDATA("XBT4",'binhtrung (2016)'!$A$3,"MA_HT","DYT","MA_QH","DGT")</f>
        <v>0</v>
      </c>
      <c r="AC34" s="50">
        <f ca="1">+GETPIVOTDATA("XBT4",'binhtrung (2016)'!$A$3,"MA_HT","DYT","MA_QH","DTL")</f>
        <v>0</v>
      </c>
      <c r="AD34" s="50">
        <f ca="1">+GETPIVOTDATA("XBT4",'binhtrung (2016)'!$A$3,"MA_HT","DYT","MA_QH","DNL")</f>
        <v>0</v>
      </c>
      <c r="AE34" s="50">
        <f ca="1">+GETPIVOTDATA("XBT4",'binhtrung (2016)'!$A$3,"MA_HT","DYT","MA_QH","DBV")</f>
        <v>0</v>
      </c>
      <c r="AF34" s="50">
        <f ca="1">+GETPIVOTDATA("XBT4",'binhtrung (2016)'!$A$3,"MA_HT","DYT","MA_QH","DVH")</f>
        <v>0</v>
      </c>
      <c r="AG34" s="49" t="e">
        <f ca="1">$D34-$BF34</f>
        <v>#REF!</v>
      </c>
      <c r="AH34" s="50">
        <f ca="1">+GETPIVOTDATA("XBT4",'binhtrung (2016)'!$A$3,"MA_HT","DYT","MA_QH","DGD")</f>
        <v>0</v>
      </c>
      <c r="AI34" s="50">
        <f ca="1">+GETPIVOTDATA("XBT4",'binhtrung (2016)'!$A$3,"MA_HT","DYT","MA_QH","DTT")</f>
        <v>0</v>
      </c>
      <c r="AJ34" s="50">
        <f ca="1">+GETPIVOTDATA("XBT4",'binhtrung (2016)'!$A$3,"MA_HT","DYT","MA_QH","NCK")</f>
        <v>0</v>
      </c>
      <c r="AK34" s="50">
        <f ca="1">+GETPIVOTDATA("XBT4",'binhtrung (2016)'!$A$3,"MA_HT","DYT","MA_QH","DXH")</f>
        <v>0</v>
      </c>
      <c r="AL34" s="50">
        <f ca="1">+GETPIVOTDATA("XBT4",'binhtrung (2016)'!$A$3,"MA_HT","DYT","MA_QH","DCH")</f>
        <v>0</v>
      </c>
      <c r="AM34" s="50">
        <f ca="1">+GETPIVOTDATA("XBT4",'binhtrung (2016)'!$A$3,"MA_HT","DYT","MA_QH","DKG")</f>
        <v>0</v>
      </c>
      <c r="AN34" s="50">
        <f ca="1">+GETPIVOTDATA("XBT4",'binhtrung (2016)'!$A$3,"MA_HT","DYT","MA_QH","DDT")</f>
        <v>0</v>
      </c>
      <c r="AO34" s="50">
        <f ca="1">+GETPIVOTDATA("XBT4",'binhtrung (2016)'!$A$3,"MA_HT","DYT","MA_QH","DDL")</f>
        <v>0</v>
      </c>
      <c r="AP34" s="50">
        <f ca="1">+GETPIVOTDATA("XBT4",'binhtrung (2016)'!$A$3,"MA_HT","DYT","MA_QH","DRA")</f>
        <v>0</v>
      </c>
      <c r="AQ34" s="50">
        <f ca="1">+GETPIVOTDATA("XBT4",'binhtrung (2016)'!$A$3,"MA_HT","DYT","MA_QH","ONT")</f>
        <v>0</v>
      </c>
      <c r="AR34" s="50">
        <f ca="1">+GETPIVOTDATA("XBT4",'binhtrung (2016)'!$A$3,"MA_HT","DYT","MA_QH","ODT")</f>
        <v>0</v>
      </c>
      <c r="AS34" s="50">
        <f ca="1">+GETPIVOTDATA("XBT4",'binhtrung (2016)'!$A$3,"MA_HT","DYT","MA_QH","TSC")</f>
        <v>0</v>
      </c>
      <c r="AT34" s="50">
        <f ca="1">+GETPIVOTDATA("XBT4",'binhtrung (2016)'!$A$3,"MA_HT","DYT","MA_QH","DTS")</f>
        <v>0</v>
      </c>
      <c r="AU34" s="50">
        <f ca="1">+GETPIVOTDATA("XBT4",'binhtrung (2016)'!$A$3,"MA_HT","DYT","MA_QH","DNG")</f>
        <v>0</v>
      </c>
      <c r="AV34" s="50">
        <f ca="1">+GETPIVOTDATA("XBT4",'binhtrung (2016)'!$A$3,"MA_HT","DYT","MA_QH","TON")</f>
        <v>0</v>
      </c>
      <c r="AW34" s="50">
        <f ca="1">+GETPIVOTDATA("XBT4",'binhtrung (2016)'!$A$3,"MA_HT","DYT","MA_QH","NTD")</f>
        <v>0</v>
      </c>
      <c r="AX34" s="50">
        <f ca="1">+GETPIVOTDATA("XBT4",'binhtrung (2016)'!$A$3,"MA_HT","DYT","MA_QH","SKX")</f>
        <v>0</v>
      </c>
      <c r="AY34" s="50">
        <f ca="1">+GETPIVOTDATA("XBT4",'binhtrung (2016)'!$A$3,"MA_HT","DYT","MA_QH","DSH")</f>
        <v>0</v>
      </c>
      <c r="AZ34" s="50">
        <f ca="1">+GETPIVOTDATA("XBT4",'binhtrung (2016)'!$A$3,"MA_HT","DYT","MA_QH","DKV")</f>
        <v>0</v>
      </c>
      <c r="BA34" s="88">
        <f ca="1">+GETPIVOTDATA("XBT4",'binhtrung (2016)'!$A$3,"MA_HT","DYT","MA_QH","TIN")</f>
        <v>0</v>
      </c>
      <c r="BB34" s="50">
        <f ca="1">+GETPIVOTDATA("XBT4",'binhtrung (2016)'!$A$3,"MA_HT","DYT","MA_QH","SON")</f>
        <v>0</v>
      </c>
      <c r="BC34" s="50">
        <f ca="1">+GETPIVOTDATA("XBT4",'binhtrung (2016)'!$A$3,"MA_HT","DYT","MA_QH","MNC")</f>
        <v>0</v>
      </c>
      <c r="BD34" s="50">
        <f ca="1">+GETPIVOTDATA("XBT4",'binhtrung (2016)'!$A$3,"MA_HT","DYT","MA_QH","PNK")</f>
        <v>0</v>
      </c>
      <c r="BE34" s="80">
        <f ca="1">+GETPIVOTDATA("XBT4",'binhtrung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+GETPIVOTDATA("XBT4",'binhtrung (2016)'!$A$3,"MA_HT","DGD","MA_QH","LUC")</f>
        <v>0</v>
      </c>
      <c r="H35" s="50">
        <f ca="1">+GETPIVOTDATA("XBT4",'binhtrung (2016)'!$A$3,"MA_HT","DGD","MA_QH","LUK")</f>
        <v>0</v>
      </c>
      <c r="I35" s="50">
        <f ca="1">+GETPIVOTDATA("XBT4",'binhtrung (2016)'!$A$3,"MA_HT","DGD","MA_QH","LUN")</f>
        <v>0</v>
      </c>
      <c r="J35" s="50">
        <f ca="1">+GETPIVOTDATA("XBT4",'binhtrung (2016)'!$A$3,"MA_HT","DGD","MA_QH","HNK")</f>
        <v>0</v>
      </c>
      <c r="K35" s="50">
        <f ca="1">+GETPIVOTDATA("XBT4",'binhtrung (2016)'!$A$3,"MA_HT","DGD","MA_QH","CLN")</f>
        <v>0</v>
      </c>
      <c r="L35" s="50">
        <f ca="1">+GETPIVOTDATA("XBT4",'binhtrung (2016)'!$A$3,"MA_HT","DGD","MA_QH","RSX")</f>
        <v>0</v>
      </c>
      <c r="M35" s="50">
        <f ca="1">+GETPIVOTDATA("XBT4",'binhtrung (2016)'!$A$3,"MA_HT","DGD","MA_QH","RPH")</f>
        <v>0</v>
      </c>
      <c r="N35" s="50">
        <f ca="1">+GETPIVOTDATA("XBT4",'binhtrung (2016)'!$A$3,"MA_HT","DGD","MA_QH","RDD")</f>
        <v>0</v>
      </c>
      <c r="O35" s="50">
        <f ca="1">+GETPIVOTDATA("XBT4",'binhtrung (2016)'!$A$3,"MA_HT","DGD","MA_QH","NTS")</f>
        <v>0</v>
      </c>
      <c r="P35" s="50">
        <f ca="1">+GETPIVOTDATA("XBT4",'binhtrung (2016)'!$A$3,"MA_HT","DGD","MA_QH","LMU")</f>
        <v>0</v>
      </c>
      <c r="Q35" s="50">
        <f ca="1">+GETPIVOTDATA("XBT4",'binhtrung (2016)'!$A$3,"MA_HT","DGD","MA_QH","NKH")</f>
        <v>0</v>
      </c>
      <c r="R35" s="48">
        <f ca="1" t="shared" si="20"/>
        <v>0</v>
      </c>
      <c r="S35" s="50">
        <f ca="1">+GETPIVOTDATA("XBT4",'binhtrung (2016)'!$A$3,"MA_HT","DGD","MA_QH","CQP")</f>
        <v>0</v>
      </c>
      <c r="T35" s="50">
        <f ca="1">+GETPIVOTDATA("XBT4",'binhtrung (2016)'!$A$3,"MA_HT","DGD","MA_QH","CAN")</f>
        <v>0</v>
      </c>
      <c r="U35" s="50">
        <f ca="1">+GETPIVOTDATA("XBT4",'binhtrung (2016)'!$A$3,"MA_HT","DGD","MA_QH","SKK")</f>
        <v>0</v>
      </c>
      <c r="V35" s="50">
        <f ca="1">+GETPIVOTDATA("XBT4",'binhtrung (2016)'!$A$3,"MA_HT","DGD","MA_QH","SKT")</f>
        <v>0</v>
      </c>
      <c r="W35" s="50">
        <f ca="1">+GETPIVOTDATA("XBT4",'binhtrung (2016)'!$A$3,"MA_HT","DGD","MA_QH","SKN")</f>
        <v>0</v>
      </c>
      <c r="X35" s="50">
        <f ca="1">+GETPIVOTDATA("XBT4",'binhtrung (2016)'!$A$3,"MA_HT","DGD","MA_QH","TMD")</f>
        <v>0</v>
      </c>
      <c r="Y35" s="50">
        <f ca="1">+GETPIVOTDATA("XBT4",'binhtrung (2016)'!$A$3,"MA_HT","DGD","MA_QH","SKC")</f>
        <v>0</v>
      </c>
      <c r="Z35" s="50">
        <f ca="1">+GETPIVOTDATA("XBT4",'binhtrung (2016)'!$A$3,"MA_HT","DGD","MA_QH","SKS")</f>
        <v>0</v>
      </c>
      <c r="AA35" s="52">
        <f ca="1">+SUM(AB35:AG35,AI35:AM35)</f>
        <v>0</v>
      </c>
      <c r="AB35" s="50">
        <f ca="1">+GETPIVOTDATA("XBT4",'binhtrung (2016)'!$A$3,"MA_HT","DGD","MA_QH","DGT")</f>
        <v>0</v>
      </c>
      <c r="AC35" s="50">
        <f ca="1">+GETPIVOTDATA("XBT4",'binhtrung (2016)'!$A$3,"MA_HT","DGD","MA_QH","DTL")</f>
        <v>0</v>
      </c>
      <c r="AD35" s="50">
        <f ca="1">+GETPIVOTDATA("XBT4",'binhtrung (2016)'!$A$3,"MA_HT","DGD","MA_QH","DNL")</f>
        <v>0</v>
      </c>
      <c r="AE35" s="50">
        <f ca="1">+GETPIVOTDATA("XBT4",'binhtrung (2016)'!$A$3,"MA_HT","DGD","MA_QH","DBV")</f>
        <v>0</v>
      </c>
      <c r="AF35" s="50">
        <f ca="1">+GETPIVOTDATA("XBT4",'binhtrung (2016)'!$A$3,"MA_HT","DGD","MA_QH","DVH")</f>
        <v>0</v>
      </c>
      <c r="AG35" s="50">
        <f ca="1">+GETPIVOTDATA("XBT4",'binhtrung (2016)'!$A$3,"MA_HT","DGD","MA_QH","DYT")</f>
        <v>0</v>
      </c>
      <c r="AH35" s="49" t="e">
        <f ca="1">$D35-$BF35</f>
        <v>#REF!</v>
      </c>
      <c r="AI35" s="50">
        <f ca="1">+GETPIVOTDATA("XBT4",'binhtrung (2016)'!$A$3,"MA_HT","DGD","MA_QH","DTT")</f>
        <v>0</v>
      </c>
      <c r="AJ35" s="50">
        <f ca="1">+GETPIVOTDATA("XBT4",'binhtrung (2016)'!$A$3,"MA_HT","DGD","MA_QH","NCK")</f>
        <v>0</v>
      </c>
      <c r="AK35" s="50">
        <f ca="1">+GETPIVOTDATA("XBT4",'binhtrung (2016)'!$A$3,"MA_HT","DGD","MA_QH","DXH")</f>
        <v>0</v>
      </c>
      <c r="AL35" s="50">
        <f ca="1">+GETPIVOTDATA("XBT4",'binhtrung (2016)'!$A$3,"MA_HT","DGD","MA_QH","DCH")</f>
        <v>0</v>
      </c>
      <c r="AM35" s="50">
        <f ca="1">+GETPIVOTDATA("XBT4",'binhtrung (2016)'!$A$3,"MA_HT","DGD","MA_QH","DKG")</f>
        <v>0</v>
      </c>
      <c r="AN35" s="50">
        <f ca="1">+GETPIVOTDATA("XBT4",'binhtrung (2016)'!$A$3,"MA_HT","DGD","MA_QH","DDT")</f>
        <v>0</v>
      </c>
      <c r="AO35" s="50">
        <f ca="1">+GETPIVOTDATA("XBT4",'binhtrung (2016)'!$A$3,"MA_HT","DGD","MA_QH","DDL")</f>
        <v>0</v>
      </c>
      <c r="AP35" s="50">
        <f ca="1">+GETPIVOTDATA("XBT4",'binhtrung (2016)'!$A$3,"MA_HT","DGD","MA_QH","DRA")</f>
        <v>0</v>
      </c>
      <c r="AQ35" s="50">
        <f ca="1">+GETPIVOTDATA("XBT4",'binhtrung (2016)'!$A$3,"MA_HT","DGD","MA_QH","ONT")</f>
        <v>0</v>
      </c>
      <c r="AR35" s="50">
        <f ca="1">+GETPIVOTDATA("XBT4",'binhtrung (2016)'!$A$3,"MA_HT","DGD","MA_QH","ODT")</f>
        <v>0</v>
      </c>
      <c r="AS35" s="50">
        <f ca="1">+GETPIVOTDATA("XBT4",'binhtrung (2016)'!$A$3,"MA_HT","DGD","MA_QH","TSC")</f>
        <v>0</v>
      </c>
      <c r="AT35" s="50">
        <f ca="1">+GETPIVOTDATA("XBT4",'binhtrung (2016)'!$A$3,"MA_HT","DGD","MA_QH","DTS")</f>
        <v>0</v>
      </c>
      <c r="AU35" s="50">
        <f ca="1">+GETPIVOTDATA("XBT4",'binhtrung (2016)'!$A$3,"MA_HT","DGD","MA_QH","DNG")</f>
        <v>0</v>
      </c>
      <c r="AV35" s="50">
        <f ca="1">+GETPIVOTDATA("XBT4",'binhtrung (2016)'!$A$3,"MA_HT","DGD","MA_QH","TON")</f>
        <v>0</v>
      </c>
      <c r="AW35" s="50">
        <f ca="1">+GETPIVOTDATA("XBT4",'binhtrung (2016)'!$A$3,"MA_HT","DGD","MA_QH","NTD")</f>
        <v>0</v>
      </c>
      <c r="AX35" s="50">
        <f ca="1">+GETPIVOTDATA("XBT4",'binhtrung (2016)'!$A$3,"MA_HT","DGD","MA_QH","SKX")</f>
        <v>0</v>
      </c>
      <c r="AY35" s="50">
        <f ca="1">+GETPIVOTDATA("XBT4",'binhtrung (2016)'!$A$3,"MA_HT","DGD","MA_QH","DSH")</f>
        <v>0</v>
      </c>
      <c r="AZ35" s="50">
        <f ca="1">+GETPIVOTDATA("XBT4",'binhtrung (2016)'!$A$3,"MA_HT","DGD","MA_QH","DKV")</f>
        <v>0</v>
      </c>
      <c r="BA35" s="88">
        <f ca="1">+GETPIVOTDATA("XBT4",'binhtrung (2016)'!$A$3,"MA_HT","DGD","MA_QH","TIN")</f>
        <v>0</v>
      </c>
      <c r="BB35" s="50">
        <f ca="1">+GETPIVOTDATA("XBT4",'binhtrung (2016)'!$A$3,"MA_HT","DGD","MA_QH","SON")</f>
        <v>0</v>
      </c>
      <c r="BC35" s="50">
        <f ca="1">+GETPIVOTDATA("XBT4",'binhtrung (2016)'!$A$3,"MA_HT","DGD","MA_QH","MNC")</f>
        <v>0</v>
      </c>
      <c r="BD35" s="50">
        <f ca="1">+GETPIVOTDATA("XBT4",'binhtrung (2016)'!$A$3,"MA_HT","DGD","MA_QH","PNK")</f>
        <v>0</v>
      </c>
      <c r="BE35" s="80">
        <f ca="1">+GETPIVOTDATA("XBT4",'binhtrung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+GETPIVOTDATA("XBT4",'binhtrung (2016)'!$A$3,"MA_HT","DTT","MA_QH","LUC")</f>
        <v>0</v>
      </c>
      <c r="H36" s="50">
        <f ca="1">+GETPIVOTDATA("XBT4",'binhtrung (2016)'!$A$3,"MA_HT","DTT","MA_QH","LUK")</f>
        <v>0</v>
      </c>
      <c r="I36" s="50">
        <f ca="1">+GETPIVOTDATA("XBT4",'binhtrung (2016)'!$A$3,"MA_HT","DTT","MA_QH","LUN")</f>
        <v>0</v>
      </c>
      <c r="J36" s="50">
        <f ca="1">+GETPIVOTDATA("XBT4",'binhtrung (2016)'!$A$3,"MA_HT","DTT","MA_QH","HNK")</f>
        <v>0</v>
      </c>
      <c r="K36" s="50">
        <f ca="1">+GETPIVOTDATA("XBT4",'binhtrung (2016)'!$A$3,"MA_HT","DTT","MA_QH","CLN")</f>
        <v>0</v>
      </c>
      <c r="L36" s="50">
        <f ca="1">+GETPIVOTDATA("XBT4",'binhtrung (2016)'!$A$3,"MA_HT","DTT","MA_QH","RSX")</f>
        <v>0</v>
      </c>
      <c r="M36" s="50">
        <f ca="1">+GETPIVOTDATA("XBT4",'binhtrung (2016)'!$A$3,"MA_HT","DTT","MA_QH","RPH")</f>
        <v>0</v>
      </c>
      <c r="N36" s="50">
        <f ca="1">+GETPIVOTDATA("XBT4",'binhtrung (2016)'!$A$3,"MA_HT","DTT","MA_QH","RDD")</f>
        <v>0</v>
      </c>
      <c r="O36" s="50">
        <f ca="1">+GETPIVOTDATA("XBT4",'binhtrung (2016)'!$A$3,"MA_HT","DTT","MA_QH","NTS")</f>
        <v>0</v>
      </c>
      <c r="P36" s="50">
        <f ca="1">+GETPIVOTDATA("XBT4",'binhtrung (2016)'!$A$3,"MA_HT","DTT","MA_QH","LMU")</f>
        <v>0</v>
      </c>
      <c r="Q36" s="50">
        <f ca="1">+GETPIVOTDATA("XBT4",'binhtrung (2016)'!$A$3,"MA_HT","DTT","MA_QH","NKH")</f>
        <v>0</v>
      </c>
      <c r="R36" s="48">
        <f ca="1" t="shared" si="20"/>
        <v>0</v>
      </c>
      <c r="S36" s="50">
        <f ca="1">+GETPIVOTDATA("XBT4",'binhtrung (2016)'!$A$3,"MA_HT","DTT","MA_QH","CQP")</f>
        <v>0</v>
      </c>
      <c r="T36" s="50">
        <f ca="1">+GETPIVOTDATA("XBT4",'binhtrung (2016)'!$A$3,"MA_HT","DTT","MA_QH","CAN")</f>
        <v>0</v>
      </c>
      <c r="U36" s="50">
        <f ca="1">+GETPIVOTDATA("XBT4",'binhtrung (2016)'!$A$3,"MA_HT","DTT","MA_QH","SKK")</f>
        <v>0</v>
      </c>
      <c r="V36" s="50">
        <f ca="1">+GETPIVOTDATA("XBT4",'binhtrung (2016)'!$A$3,"MA_HT","DTT","MA_QH","SKT")</f>
        <v>0</v>
      </c>
      <c r="W36" s="50">
        <f ca="1">+GETPIVOTDATA("XBT4",'binhtrung (2016)'!$A$3,"MA_HT","DTT","MA_QH","SKN")</f>
        <v>0</v>
      </c>
      <c r="X36" s="50">
        <f ca="1">+GETPIVOTDATA("XBT4",'binhtrung (2016)'!$A$3,"MA_HT","DTT","MA_QH","TMD")</f>
        <v>0</v>
      </c>
      <c r="Y36" s="50">
        <f ca="1">+GETPIVOTDATA("XBT4",'binhtrung (2016)'!$A$3,"MA_HT","DTT","MA_QH","SKC")</f>
        <v>0</v>
      </c>
      <c r="Z36" s="50">
        <f ca="1">+GETPIVOTDATA("XBT4",'binhtrung (2016)'!$A$3,"MA_HT","DTT","MA_QH","SKS")</f>
        <v>0</v>
      </c>
      <c r="AA36" s="52">
        <f ca="1">+SUM(AB36:AH36,AJ36:AM36)</f>
        <v>0</v>
      </c>
      <c r="AB36" s="50">
        <f ca="1">+GETPIVOTDATA("XBT4",'binhtrung (2016)'!$A$3,"MA_HT","DTT","MA_QH","DGT")</f>
        <v>0</v>
      </c>
      <c r="AC36" s="50">
        <f ca="1">+GETPIVOTDATA("XBT4",'binhtrung (2016)'!$A$3,"MA_HT","DTT","MA_QH","DTL")</f>
        <v>0</v>
      </c>
      <c r="AD36" s="50">
        <f ca="1">+GETPIVOTDATA("XBT4",'binhtrung (2016)'!$A$3,"MA_HT","DTT","MA_QH","DNL")</f>
        <v>0</v>
      </c>
      <c r="AE36" s="50">
        <f ca="1">+GETPIVOTDATA("XBT4",'binhtrung (2016)'!$A$3,"MA_HT","DTT","MA_QH","DBV")</f>
        <v>0</v>
      </c>
      <c r="AF36" s="50">
        <f ca="1">+GETPIVOTDATA("XBT4",'binhtrung (2016)'!$A$3,"MA_HT","DTT","MA_QH","DVH")</f>
        <v>0</v>
      </c>
      <c r="AG36" s="50">
        <f ca="1">+GETPIVOTDATA("XBT4",'binhtrung (2016)'!$A$3,"MA_HT","DTT","MA_QH","DYT")</f>
        <v>0</v>
      </c>
      <c r="AH36" s="50">
        <f ca="1">+GETPIVOTDATA("XBT4",'binhtrung (2016)'!$A$3,"MA_HT","DTT","MA_QH","DGD")</f>
        <v>0</v>
      </c>
      <c r="AI36" s="49" t="e">
        <f ca="1">$D36-$BF36</f>
        <v>#REF!</v>
      </c>
      <c r="AJ36" s="50">
        <f ca="1">+GETPIVOTDATA("XBT4",'binhtrung (2016)'!$A$3,"MA_HT","DTT","MA_QH","NCK")</f>
        <v>0</v>
      </c>
      <c r="AK36" s="50">
        <f ca="1">+GETPIVOTDATA("XBT4",'binhtrung (2016)'!$A$3,"MA_HT","DTT","MA_QH","DXH")</f>
        <v>0</v>
      </c>
      <c r="AL36" s="50">
        <f ca="1">+GETPIVOTDATA("XBT4",'binhtrung (2016)'!$A$3,"MA_HT","DTT","MA_QH","DCH")</f>
        <v>0</v>
      </c>
      <c r="AM36" s="50">
        <f ca="1">+GETPIVOTDATA("XBT4",'binhtrung (2016)'!$A$3,"MA_HT","DTT","MA_QH","DKG")</f>
        <v>0</v>
      </c>
      <c r="AN36" s="50">
        <f ca="1">+GETPIVOTDATA("XBT4",'binhtrung (2016)'!$A$3,"MA_HT","DTT","MA_QH","DDT")</f>
        <v>0</v>
      </c>
      <c r="AO36" s="50">
        <f ca="1">+GETPIVOTDATA("XBT4",'binhtrung (2016)'!$A$3,"MA_HT","DTT","MA_QH","DDL")</f>
        <v>0</v>
      </c>
      <c r="AP36" s="50">
        <f ca="1">+GETPIVOTDATA("XBT4",'binhtrung (2016)'!$A$3,"MA_HT","DTT","MA_QH","DRA")</f>
        <v>0</v>
      </c>
      <c r="AQ36" s="50">
        <f ca="1">+GETPIVOTDATA("XBT4",'binhtrung (2016)'!$A$3,"MA_HT","DTT","MA_QH","ONT")</f>
        <v>0</v>
      </c>
      <c r="AR36" s="50">
        <f ca="1">+GETPIVOTDATA("XBT4",'binhtrung (2016)'!$A$3,"MA_HT","DTT","MA_QH","ODT")</f>
        <v>0</v>
      </c>
      <c r="AS36" s="50">
        <f ca="1">+GETPIVOTDATA("XBT4",'binhtrung (2016)'!$A$3,"MA_HT","DTT","MA_QH","TSC")</f>
        <v>0</v>
      </c>
      <c r="AT36" s="50">
        <f ca="1">+GETPIVOTDATA("XBT4",'binhtrung (2016)'!$A$3,"MA_HT","DTT","MA_QH","DTS")</f>
        <v>0</v>
      </c>
      <c r="AU36" s="50">
        <f ca="1">+GETPIVOTDATA("XBT4",'binhtrung (2016)'!$A$3,"MA_HT","DTT","MA_QH","DNG")</f>
        <v>0</v>
      </c>
      <c r="AV36" s="50">
        <f ca="1">+GETPIVOTDATA("XBT4",'binhtrung (2016)'!$A$3,"MA_HT","DTT","MA_QH","TON")</f>
        <v>0</v>
      </c>
      <c r="AW36" s="50">
        <f ca="1">+GETPIVOTDATA("XBT4",'binhtrung (2016)'!$A$3,"MA_HT","DTT","MA_QH","NTD")</f>
        <v>0</v>
      </c>
      <c r="AX36" s="50">
        <f ca="1">+GETPIVOTDATA("XBT4",'binhtrung (2016)'!$A$3,"MA_HT","DTT","MA_QH","SKX")</f>
        <v>0</v>
      </c>
      <c r="AY36" s="50">
        <f ca="1">+GETPIVOTDATA("XBT4",'binhtrung (2016)'!$A$3,"MA_HT","DTT","MA_QH","DSH")</f>
        <v>0</v>
      </c>
      <c r="AZ36" s="50">
        <f ca="1">+GETPIVOTDATA("XBT4",'binhtrung (2016)'!$A$3,"MA_HT","DTT","MA_QH","DKV")</f>
        <v>0</v>
      </c>
      <c r="BA36" s="88">
        <f ca="1">+GETPIVOTDATA("XBT4",'binhtrung (2016)'!$A$3,"MA_HT","DTT","MA_QH","TIN")</f>
        <v>0</v>
      </c>
      <c r="BB36" s="50">
        <f ca="1">+GETPIVOTDATA("XBT4",'binhtrung (2016)'!$A$3,"MA_HT","DTT","MA_QH","SON")</f>
        <v>0</v>
      </c>
      <c r="BC36" s="50">
        <f ca="1">+GETPIVOTDATA("XBT4",'binhtrung (2016)'!$A$3,"MA_HT","DTT","MA_QH","MNC")</f>
        <v>0</v>
      </c>
      <c r="BD36" s="50">
        <f ca="1">+GETPIVOTDATA("XBT4",'binhtrung (2016)'!$A$3,"MA_HT","DTT","MA_QH","PNK")</f>
        <v>0</v>
      </c>
      <c r="BE36" s="80">
        <f ca="1">+GETPIVOTDATA("XBT4",'binhtrung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+GETPIVOTDATA("XBT4",'binhtrung (2016)'!$A$3,"MA_HT","NCK","MA_QH","LUC")</f>
        <v>0</v>
      </c>
      <c r="H37" s="50">
        <f ca="1">+GETPIVOTDATA("XBT4",'binhtrung (2016)'!$A$3,"MA_HT","NCK","MA_QH","LUK")</f>
        <v>0</v>
      </c>
      <c r="I37" s="50">
        <f ca="1">+GETPIVOTDATA("XBT4",'binhtrung (2016)'!$A$3,"MA_HT","NCK","MA_QH","LUN")</f>
        <v>0</v>
      </c>
      <c r="J37" s="50">
        <f ca="1">+GETPIVOTDATA("XBT4",'binhtrung (2016)'!$A$3,"MA_HT","NCK","MA_QH","HNK")</f>
        <v>0</v>
      </c>
      <c r="K37" s="50">
        <f ca="1">+GETPIVOTDATA("XBT4",'binhtrung (2016)'!$A$3,"MA_HT","NCK","MA_QH","CLN")</f>
        <v>0</v>
      </c>
      <c r="L37" s="50">
        <f ca="1">+GETPIVOTDATA("XBT4",'binhtrung (2016)'!$A$3,"MA_HT","NCK","MA_QH","RSX")</f>
        <v>0</v>
      </c>
      <c r="M37" s="50">
        <f ca="1">+GETPIVOTDATA("XBT4",'binhtrung (2016)'!$A$3,"MA_HT","NCK","MA_QH","RPH")</f>
        <v>0</v>
      </c>
      <c r="N37" s="50">
        <f ca="1">+GETPIVOTDATA("XBT4",'binhtrung (2016)'!$A$3,"MA_HT","NCK","MA_QH","RDD")</f>
        <v>0</v>
      </c>
      <c r="O37" s="50">
        <f ca="1">+GETPIVOTDATA("XBT4",'binhtrung (2016)'!$A$3,"MA_HT","NCK","MA_QH","NTS")</f>
        <v>0</v>
      </c>
      <c r="P37" s="50">
        <f ca="1">+GETPIVOTDATA("XBT4",'binhtrung (2016)'!$A$3,"MA_HT","NCK","MA_QH","LMU")</f>
        <v>0</v>
      </c>
      <c r="Q37" s="50">
        <f ca="1">+GETPIVOTDATA("XBT4",'binhtrung (2016)'!$A$3,"MA_HT","NCK","MA_QH","NKH")</f>
        <v>0</v>
      </c>
      <c r="R37" s="48">
        <f ca="1" t="shared" si="20"/>
        <v>0</v>
      </c>
      <c r="S37" s="50">
        <f ca="1">+GETPIVOTDATA("XBT4",'binhtrung (2016)'!$A$3,"MA_HT","NCK","MA_QH","CQP")</f>
        <v>0</v>
      </c>
      <c r="T37" s="50">
        <f ca="1">+GETPIVOTDATA("XBT4",'binhtrung (2016)'!$A$3,"MA_HT","NCK","MA_QH","CAN")</f>
        <v>0</v>
      </c>
      <c r="U37" s="50">
        <f ca="1">+GETPIVOTDATA("XBT4",'binhtrung (2016)'!$A$3,"MA_HT","NCK","MA_QH","SKK")</f>
        <v>0</v>
      </c>
      <c r="V37" s="50">
        <f ca="1">+GETPIVOTDATA("XBT4",'binhtrung (2016)'!$A$3,"MA_HT","NCK","MA_QH","SKT")</f>
        <v>0</v>
      </c>
      <c r="W37" s="50">
        <f ca="1">+GETPIVOTDATA("XBT4",'binhtrung (2016)'!$A$3,"MA_HT","NCK","MA_QH","SKN")</f>
        <v>0</v>
      </c>
      <c r="X37" s="50">
        <f ca="1">+GETPIVOTDATA("XBT4",'binhtrung (2016)'!$A$3,"MA_HT","NCK","MA_QH","TMD")</f>
        <v>0</v>
      </c>
      <c r="Y37" s="50">
        <f ca="1">+GETPIVOTDATA("XBT4",'binhtrung (2016)'!$A$3,"MA_HT","NCK","MA_QH","SKC")</f>
        <v>0</v>
      </c>
      <c r="Z37" s="50">
        <f ca="1">+GETPIVOTDATA("XBT4",'binhtrung (2016)'!$A$3,"MA_HT","NCK","MA_QH","SKS")</f>
        <v>0</v>
      </c>
      <c r="AA37" s="52">
        <f ca="1">+SUM(AB37:AI37,AK37:AM37)</f>
        <v>0</v>
      </c>
      <c r="AB37" s="50">
        <f ca="1">+GETPIVOTDATA("XBT4",'binhtrung (2016)'!$A$3,"MA_HT","NCK","MA_QH","DGT")</f>
        <v>0</v>
      </c>
      <c r="AC37" s="50">
        <f ca="1">+GETPIVOTDATA("XBT4",'binhtrung (2016)'!$A$3,"MA_HT","NCK","MA_QH","DTL")</f>
        <v>0</v>
      </c>
      <c r="AD37" s="50">
        <f ca="1">+GETPIVOTDATA("XBT4",'binhtrung (2016)'!$A$3,"MA_HT","NCK","MA_QH","DNL")</f>
        <v>0</v>
      </c>
      <c r="AE37" s="50">
        <f ca="1">+GETPIVOTDATA("XBT4",'binhtrung (2016)'!$A$3,"MA_HT","NCK","MA_QH","DBV")</f>
        <v>0</v>
      </c>
      <c r="AF37" s="50">
        <f ca="1">+GETPIVOTDATA("XBT4",'binhtrung (2016)'!$A$3,"MA_HT","NCK","MA_QH","DVH")</f>
        <v>0</v>
      </c>
      <c r="AG37" s="50">
        <f ca="1">+GETPIVOTDATA("XBT4",'binhtrung (2016)'!$A$3,"MA_HT","NCK","MA_QH","DYT")</f>
        <v>0</v>
      </c>
      <c r="AH37" s="50">
        <f ca="1">+GETPIVOTDATA("XBT4",'binhtrung (2016)'!$A$3,"MA_HT","NCK","MA_QH","DGD")</f>
        <v>0</v>
      </c>
      <c r="AI37" s="50">
        <f ca="1">+GETPIVOTDATA("XBT4",'binhtrung (2016)'!$A$3,"MA_HT","NCK","MA_QH","DTT")</f>
        <v>0</v>
      </c>
      <c r="AJ37" s="49" t="e">
        <f ca="1">$D37-$BF37</f>
        <v>#REF!</v>
      </c>
      <c r="AK37" s="50">
        <f ca="1">+GETPIVOTDATA("XBT4",'binhtrung (2016)'!$A$3,"MA_HT","NCK","MA_QH","DXH")</f>
        <v>0</v>
      </c>
      <c r="AL37" s="50">
        <f ca="1">+GETPIVOTDATA("XBT4",'binhtrung (2016)'!$A$3,"MA_HT","NCK","MA_QH","DCH")</f>
        <v>0</v>
      </c>
      <c r="AM37" s="50">
        <f ca="1">+GETPIVOTDATA("XBT4",'binhtrung (2016)'!$A$3,"MA_HT","NCK","MA_QH","DKG")</f>
        <v>0</v>
      </c>
      <c r="AN37" s="50">
        <f ca="1">+GETPIVOTDATA("XBT4",'binhtrung (2016)'!$A$3,"MA_HT","NCK","MA_QH","DDT")</f>
        <v>0</v>
      </c>
      <c r="AO37" s="50">
        <f ca="1">+GETPIVOTDATA("XBT4",'binhtrung (2016)'!$A$3,"MA_HT","NCK","MA_QH","DDL")</f>
        <v>0</v>
      </c>
      <c r="AP37" s="50">
        <f ca="1">+GETPIVOTDATA("XBT4",'binhtrung (2016)'!$A$3,"MA_HT","NCK","MA_QH","DRA")</f>
        <v>0</v>
      </c>
      <c r="AQ37" s="50">
        <f ca="1">+GETPIVOTDATA("XBT4",'binhtrung (2016)'!$A$3,"MA_HT","NCK","MA_QH","ONT")</f>
        <v>0</v>
      </c>
      <c r="AR37" s="50">
        <f ca="1">+GETPIVOTDATA("XBT4",'binhtrung (2016)'!$A$3,"MA_HT","NCK","MA_QH","ODT")</f>
        <v>0</v>
      </c>
      <c r="AS37" s="50">
        <f ca="1">+GETPIVOTDATA("XBT4",'binhtrung (2016)'!$A$3,"MA_HT","NCK","MA_QH","TSC")</f>
        <v>0</v>
      </c>
      <c r="AT37" s="50">
        <f ca="1">+GETPIVOTDATA("XBT4",'binhtrung (2016)'!$A$3,"MA_HT","NCK","MA_QH","DTS")</f>
        <v>0</v>
      </c>
      <c r="AU37" s="50">
        <f ca="1">+GETPIVOTDATA("XBT4",'binhtrung (2016)'!$A$3,"MA_HT","NCK","MA_QH","DNG")</f>
        <v>0</v>
      </c>
      <c r="AV37" s="50">
        <f ca="1">+GETPIVOTDATA("XBT4",'binhtrung (2016)'!$A$3,"MA_HT","NCK","MA_QH","TON")</f>
        <v>0</v>
      </c>
      <c r="AW37" s="50">
        <f ca="1">+GETPIVOTDATA("XBT4",'binhtrung (2016)'!$A$3,"MA_HT","NCK","MA_QH","NTD")</f>
        <v>0</v>
      </c>
      <c r="AX37" s="50">
        <f ca="1">+GETPIVOTDATA("XBT4",'binhtrung (2016)'!$A$3,"MA_HT","NCK","MA_QH","SKX")</f>
        <v>0</v>
      </c>
      <c r="AY37" s="50">
        <f ca="1">+GETPIVOTDATA("XBT4",'binhtrung (2016)'!$A$3,"MA_HT","NCK","MA_QH","DSH")</f>
        <v>0</v>
      </c>
      <c r="AZ37" s="50">
        <f ca="1">+GETPIVOTDATA("XBT4",'binhtrung (2016)'!$A$3,"MA_HT","NCK","MA_QH","DKV")</f>
        <v>0</v>
      </c>
      <c r="BA37" s="88">
        <f ca="1">+GETPIVOTDATA("XBT4",'binhtrung (2016)'!$A$3,"MA_HT","NCK","MA_QH","TIN")</f>
        <v>0</v>
      </c>
      <c r="BB37" s="50">
        <f ca="1">+GETPIVOTDATA("XBT4",'binhtrung (2016)'!$A$3,"MA_HT","NCK","MA_QH","SON")</f>
        <v>0</v>
      </c>
      <c r="BC37" s="50">
        <f ca="1">+GETPIVOTDATA("XBT4",'binhtrung (2016)'!$A$3,"MA_HT","NCK","MA_QH","MNC")</f>
        <v>0</v>
      </c>
      <c r="BD37" s="50">
        <f ca="1">+GETPIVOTDATA("XBT4",'binhtrung (2016)'!$A$3,"MA_HT","NCK","MA_QH","PNK")</f>
        <v>0</v>
      </c>
      <c r="BE37" s="80">
        <f ca="1">+GETPIVOTDATA("XBT4",'binhtrung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+GETPIVOTDATA("XBT4",'binhtrung (2016)'!$A$3,"MA_HT","DXH","MA_QH","LUC")</f>
        <v>0</v>
      </c>
      <c r="H38" s="50">
        <f ca="1">+GETPIVOTDATA("XBT4",'binhtrung (2016)'!$A$3,"MA_HT","DXH","MA_QH","LUK")</f>
        <v>0</v>
      </c>
      <c r="I38" s="50">
        <f ca="1">+GETPIVOTDATA("XBT4",'binhtrung (2016)'!$A$3,"MA_HT","DXH","MA_QH","LUN")</f>
        <v>0</v>
      </c>
      <c r="J38" s="50">
        <f ca="1">+GETPIVOTDATA("XBT4",'binhtrung (2016)'!$A$3,"MA_HT","DXH","MA_QH","HNK")</f>
        <v>0</v>
      </c>
      <c r="K38" s="50">
        <f ca="1">+GETPIVOTDATA("XBT4",'binhtrung (2016)'!$A$3,"MA_HT","DXH","MA_QH","CLN")</f>
        <v>0</v>
      </c>
      <c r="L38" s="50">
        <f ca="1">+GETPIVOTDATA("XBT4",'binhtrung (2016)'!$A$3,"MA_HT","DXH","MA_QH","RSX")</f>
        <v>0</v>
      </c>
      <c r="M38" s="50">
        <f ca="1">+GETPIVOTDATA("XBT4",'binhtrung (2016)'!$A$3,"MA_HT","DXH","MA_QH","RPH")</f>
        <v>0</v>
      </c>
      <c r="N38" s="50">
        <f ca="1">+GETPIVOTDATA("XBT4",'binhtrung (2016)'!$A$3,"MA_HT","DXH","MA_QH","RDD")</f>
        <v>0</v>
      </c>
      <c r="O38" s="50">
        <f ca="1">+GETPIVOTDATA("XBT4",'binhtrung (2016)'!$A$3,"MA_HT","DXH","MA_QH","NTS")</f>
        <v>0</v>
      </c>
      <c r="P38" s="50">
        <f ca="1">+GETPIVOTDATA("XBT4",'binhtrung (2016)'!$A$3,"MA_HT","DXH","MA_QH","LMU")</f>
        <v>0</v>
      </c>
      <c r="Q38" s="50">
        <f ca="1">+GETPIVOTDATA("XBT4",'binhtrung (2016)'!$A$3,"MA_HT","DXH","MA_QH","NKH")</f>
        <v>0</v>
      </c>
      <c r="R38" s="48">
        <f ca="1" t="shared" si="20"/>
        <v>0</v>
      </c>
      <c r="S38" s="50">
        <f ca="1">+GETPIVOTDATA("XBT4",'binhtrung (2016)'!$A$3,"MA_HT","DXH","MA_QH","CQP")</f>
        <v>0</v>
      </c>
      <c r="T38" s="50">
        <f ca="1">+GETPIVOTDATA("XBT4",'binhtrung (2016)'!$A$3,"MA_HT","DXH","MA_QH","CAN")</f>
        <v>0</v>
      </c>
      <c r="U38" s="50">
        <f ca="1">+GETPIVOTDATA("XBT4",'binhtrung (2016)'!$A$3,"MA_HT","DXH","MA_QH","SKK")</f>
        <v>0</v>
      </c>
      <c r="V38" s="50">
        <f ca="1">+GETPIVOTDATA("XBT4",'binhtrung (2016)'!$A$3,"MA_HT","DXH","MA_QH","SKT")</f>
        <v>0</v>
      </c>
      <c r="W38" s="50">
        <f ca="1">+GETPIVOTDATA("XBT4",'binhtrung (2016)'!$A$3,"MA_HT","DXH","MA_QH","SKN")</f>
        <v>0</v>
      </c>
      <c r="X38" s="50">
        <f ca="1">+GETPIVOTDATA("XBT4",'binhtrung (2016)'!$A$3,"MA_HT","DXH","MA_QH","TMD")</f>
        <v>0</v>
      </c>
      <c r="Y38" s="50">
        <f ca="1">+GETPIVOTDATA("XBT4",'binhtrung (2016)'!$A$3,"MA_HT","DXH","MA_QH","SKC")</f>
        <v>0</v>
      </c>
      <c r="Z38" s="50">
        <f ca="1">+GETPIVOTDATA("XBT4",'binhtrung (2016)'!$A$3,"MA_HT","DXH","MA_QH","SKS")</f>
        <v>0</v>
      </c>
      <c r="AA38" s="52">
        <f ca="1">+SUM(AB38:AJ38,AL38:AM38)</f>
        <v>0</v>
      </c>
      <c r="AB38" s="50">
        <f ca="1">+GETPIVOTDATA("XBT4",'binhtrung (2016)'!$A$3,"MA_HT","DXH","MA_QH","DGT")</f>
        <v>0</v>
      </c>
      <c r="AC38" s="50">
        <f ca="1">+GETPIVOTDATA("XBT4",'binhtrung (2016)'!$A$3,"MA_HT","DXH","MA_QH","DTL")</f>
        <v>0</v>
      </c>
      <c r="AD38" s="50">
        <f ca="1">+GETPIVOTDATA("XBT4",'binhtrung (2016)'!$A$3,"MA_HT","DXH","MA_QH","DNL")</f>
        <v>0</v>
      </c>
      <c r="AE38" s="50">
        <f ca="1">+GETPIVOTDATA("XBT4",'binhtrung (2016)'!$A$3,"MA_HT","DXH","MA_QH","DBV")</f>
        <v>0</v>
      </c>
      <c r="AF38" s="50">
        <f ca="1">+GETPIVOTDATA("XBT4",'binhtrung (2016)'!$A$3,"MA_HT","DXH","MA_QH","DVH")</f>
        <v>0</v>
      </c>
      <c r="AG38" s="50">
        <f ca="1">+GETPIVOTDATA("XBT4",'binhtrung (2016)'!$A$3,"MA_HT","DXH","MA_QH","DYT")</f>
        <v>0</v>
      </c>
      <c r="AH38" s="50">
        <f ca="1">+GETPIVOTDATA("XBT4",'binhtrung (2016)'!$A$3,"MA_HT","DXH","MA_QH","DGD")</f>
        <v>0</v>
      </c>
      <c r="AI38" s="50">
        <f ca="1">+GETPIVOTDATA("XBT4",'binhtrung (2016)'!$A$3,"MA_HT","DXH","MA_QH","DTT")</f>
        <v>0</v>
      </c>
      <c r="AJ38" s="50">
        <f ca="1">+GETPIVOTDATA("XBT4",'binhtrung (2016)'!$A$3,"MA_HT","DXH","MA_QH","NCK")</f>
        <v>0</v>
      </c>
      <c r="AK38" s="49" t="e">
        <f ca="1">$D38-$BF38</f>
        <v>#REF!</v>
      </c>
      <c r="AL38" s="50">
        <f ca="1">+GETPIVOTDATA("XBT4",'binhtrung (2016)'!$A$3,"MA_HT","DXH","MA_QH","DCH")</f>
        <v>0</v>
      </c>
      <c r="AM38" s="50">
        <f ca="1">+GETPIVOTDATA("XBT4",'binhtrung (2016)'!$A$3,"MA_HT","DXH","MA_QH","DKG")</f>
        <v>0</v>
      </c>
      <c r="AN38" s="50">
        <f ca="1">+GETPIVOTDATA("XBT4",'binhtrung (2016)'!$A$3,"MA_HT","DXH","MA_QH","DDT")</f>
        <v>0</v>
      </c>
      <c r="AO38" s="50">
        <f ca="1">+GETPIVOTDATA("XBT4",'binhtrung (2016)'!$A$3,"MA_HT","DXH","MA_QH","DDL")</f>
        <v>0</v>
      </c>
      <c r="AP38" s="50">
        <f ca="1">+GETPIVOTDATA("XBT4",'binhtrung (2016)'!$A$3,"MA_HT","DXH","MA_QH","DRA")</f>
        <v>0</v>
      </c>
      <c r="AQ38" s="50">
        <f ca="1">+GETPIVOTDATA("XBT4",'binhtrung (2016)'!$A$3,"MA_HT","DXH","MA_QH","ONT")</f>
        <v>0</v>
      </c>
      <c r="AR38" s="50">
        <f ca="1">+GETPIVOTDATA("XBT4",'binhtrung (2016)'!$A$3,"MA_HT","DXH","MA_QH","ODT")</f>
        <v>0</v>
      </c>
      <c r="AS38" s="50">
        <f ca="1">+GETPIVOTDATA("XBT4",'binhtrung (2016)'!$A$3,"MA_HT","DXH","MA_QH","TSC")</f>
        <v>0</v>
      </c>
      <c r="AT38" s="50">
        <f ca="1">+GETPIVOTDATA("XBT4",'binhtrung (2016)'!$A$3,"MA_HT","DXH","MA_QH","DTS")</f>
        <v>0</v>
      </c>
      <c r="AU38" s="50">
        <f ca="1">+GETPIVOTDATA("XBT4",'binhtrung (2016)'!$A$3,"MA_HT","DXH","MA_QH","DNG")</f>
        <v>0</v>
      </c>
      <c r="AV38" s="50">
        <f ca="1">+GETPIVOTDATA("XBT4",'binhtrung (2016)'!$A$3,"MA_HT","DXH","MA_QH","TON")</f>
        <v>0</v>
      </c>
      <c r="AW38" s="50">
        <f ca="1">+GETPIVOTDATA("XBT4",'binhtrung (2016)'!$A$3,"MA_HT","DXH","MA_QH","NTD")</f>
        <v>0</v>
      </c>
      <c r="AX38" s="50">
        <f ca="1">+GETPIVOTDATA("XBT4",'binhtrung (2016)'!$A$3,"MA_HT","DXH","MA_QH","SKX")</f>
        <v>0</v>
      </c>
      <c r="AY38" s="50">
        <f ca="1">+GETPIVOTDATA("XBT4",'binhtrung (2016)'!$A$3,"MA_HT","DXH","MA_QH","DSH")</f>
        <v>0</v>
      </c>
      <c r="AZ38" s="50">
        <f ca="1">+GETPIVOTDATA("XBT4",'binhtrung (2016)'!$A$3,"MA_HT","DXH","MA_QH","DKV")</f>
        <v>0</v>
      </c>
      <c r="BA38" s="88">
        <f ca="1">+GETPIVOTDATA("XBT4",'binhtrung (2016)'!$A$3,"MA_HT","DXH","MA_QH","TIN")</f>
        <v>0</v>
      </c>
      <c r="BB38" s="50">
        <f ca="1">+GETPIVOTDATA("XBT4",'binhtrung (2016)'!$A$3,"MA_HT","DXH","MA_QH","SON")</f>
        <v>0</v>
      </c>
      <c r="BC38" s="50">
        <f ca="1">+GETPIVOTDATA("XBT4",'binhtrung (2016)'!$A$3,"MA_HT","DXH","MA_QH","MNC")</f>
        <v>0</v>
      </c>
      <c r="BD38" s="50">
        <f ca="1">+GETPIVOTDATA("XBT4",'binhtrung (2016)'!$A$3,"MA_HT","DXH","MA_QH","PNK")</f>
        <v>0</v>
      </c>
      <c r="BE38" s="80">
        <f ca="1">+GETPIVOTDATA("XBT4",'binhtrung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+GETPIVOTDATA("XBT4",'binhtrung (2016)'!$A$3,"MA_HT","DCH","MA_QH","LUC")</f>
        <v>0</v>
      </c>
      <c r="H39" s="50">
        <f ca="1">+GETPIVOTDATA("XBT4",'binhtrung (2016)'!$A$3,"MA_HT","DCH","MA_QH","LUK")</f>
        <v>0</v>
      </c>
      <c r="I39" s="50">
        <f ca="1">+GETPIVOTDATA("XBT4",'binhtrung (2016)'!$A$3,"MA_HT","DCH","MA_QH","LUN")</f>
        <v>0</v>
      </c>
      <c r="J39" s="50">
        <f ca="1">+GETPIVOTDATA("XBT4",'binhtrung (2016)'!$A$3,"MA_HT","DCH","MA_QH","HNK")</f>
        <v>0</v>
      </c>
      <c r="K39" s="50">
        <f ca="1">+GETPIVOTDATA("XBT4",'binhtrung (2016)'!$A$3,"MA_HT","DCH","MA_QH","CLN")</f>
        <v>0</v>
      </c>
      <c r="L39" s="50">
        <f ca="1">+GETPIVOTDATA("XBT4",'binhtrung (2016)'!$A$3,"MA_HT","DCH","MA_QH","RSX")</f>
        <v>0</v>
      </c>
      <c r="M39" s="50">
        <f ca="1">+GETPIVOTDATA("XBT4",'binhtrung (2016)'!$A$3,"MA_HT","DCH","MA_QH","RPH")</f>
        <v>0</v>
      </c>
      <c r="N39" s="50">
        <f ca="1">+GETPIVOTDATA("XBT4",'binhtrung (2016)'!$A$3,"MA_HT","DCH","MA_QH","RDD")</f>
        <v>0</v>
      </c>
      <c r="O39" s="50">
        <f ca="1">+GETPIVOTDATA("XBT4",'binhtrung (2016)'!$A$3,"MA_HT","DCH","MA_QH","NTS")</f>
        <v>0</v>
      </c>
      <c r="P39" s="50">
        <f ca="1">+GETPIVOTDATA("XBT4",'binhtrung (2016)'!$A$3,"MA_HT","DCH","MA_QH","LMU")</f>
        <v>0</v>
      </c>
      <c r="Q39" s="50">
        <f ca="1">+GETPIVOTDATA("XBT4",'binhtrung (2016)'!$A$3,"MA_HT","DCH","MA_QH","NKH")</f>
        <v>0</v>
      </c>
      <c r="R39" s="48">
        <f ca="1" t="shared" si="20"/>
        <v>0</v>
      </c>
      <c r="S39" s="50">
        <f ca="1">+GETPIVOTDATA("XBT4",'binhtrung (2016)'!$A$3,"MA_HT","DCH","MA_QH","CQP")</f>
        <v>0</v>
      </c>
      <c r="T39" s="50">
        <f ca="1">+GETPIVOTDATA("XBT4",'binhtrung (2016)'!$A$3,"MA_HT","DCH","MA_QH","CAN")</f>
        <v>0</v>
      </c>
      <c r="U39" s="50">
        <f ca="1">+GETPIVOTDATA("XBT4",'binhtrung (2016)'!$A$3,"MA_HT","DCH","MA_QH","SKK")</f>
        <v>0</v>
      </c>
      <c r="V39" s="50">
        <f ca="1">+GETPIVOTDATA("XBT4",'binhtrung (2016)'!$A$3,"MA_HT","DCH","MA_QH","SKT")</f>
        <v>0</v>
      </c>
      <c r="W39" s="50">
        <f ca="1">+GETPIVOTDATA("XBT4",'binhtrung (2016)'!$A$3,"MA_HT","DCH","MA_QH","SKN")</f>
        <v>0</v>
      </c>
      <c r="X39" s="50">
        <f ca="1">+GETPIVOTDATA("XBT4",'binhtrung (2016)'!$A$3,"MA_HT","DCH","MA_QH","TMD")</f>
        <v>0</v>
      </c>
      <c r="Y39" s="50">
        <f ca="1">+GETPIVOTDATA("XBT4",'binhtrung (2016)'!$A$3,"MA_HT","DCH","MA_QH","SKC")</f>
        <v>0</v>
      </c>
      <c r="Z39" s="50">
        <f ca="1">+GETPIVOTDATA("XBT4",'binhtrung (2016)'!$A$3,"MA_HT","DCH","MA_QH","SKS")</f>
        <v>0</v>
      </c>
      <c r="AA39" s="52">
        <f ca="1">+SUM(AB39:AK39,AM39)</f>
        <v>0</v>
      </c>
      <c r="AB39" s="50">
        <f ca="1">+GETPIVOTDATA("XBT4",'binhtrung (2016)'!$A$3,"MA_HT","DCH","MA_QH","DGT")</f>
        <v>0</v>
      </c>
      <c r="AC39" s="50">
        <f ca="1">+GETPIVOTDATA("XBT4",'binhtrung (2016)'!$A$3,"MA_HT","DCH","MA_QH","DTL")</f>
        <v>0</v>
      </c>
      <c r="AD39" s="50">
        <f ca="1">+GETPIVOTDATA("XBT4",'binhtrung (2016)'!$A$3,"MA_HT","DCH","MA_QH","DNL")</f>
        <v>0</v>
      </c>
      <c r="AE39" s="50">
        <f ca="1">+GETPIVOTDATA("XBT4",'binhtrung (2016)'!$A$3,"MA_HT","DCH","MA_QH","DBV")</f>
        <v>0</v>
      </c>
      <c r="AF39" s="50">
        <f ca="1">+GETPIVOTDATA("XBT4",'binhtrung (2016)'!$A$3,"MA_HT","DCH","MA_QH","DVH")</f>
        <v>0</v>
      </c>
      <c r="AG39" s="50">
        <f ca="1">+GETPIVOTDATA("XBT4",'binhtrung (2016)'!$A$3,"MA_HT","DCH","MA_QH","DYT")</f>
        <v>0</v>
      </c>
      <c r="AH39" s="50">
        <f ca="1">+GETPIVOTDATA("XBT4",'binhtrung (2016)'!$A$3,"MA_HT","DCH","MA_QH","DGD")</f>
        <v>0</v>
      </c>
      <c r="AI39" s="50">
        <f ca="1">+GETPIVOTDATA("XBT4",'binhtrung (2016)'!$A$3,"MA_HT","DCH","MA_QH","DTT")</f>
        <v>0</v>
      </c>
      <c r="AJ39" s="50">
        <f ca="1">+GETPIVOTDATA("XBT4",'binhtrung (2016)'!$A$3,"MA_HT","DCH","MA_QH","NCK")</f>
        <v>0</v>
      </c>
      <c r="AK39" s="50">
        <f ca="1">+GETPIVOTDATA("XBT4",'binhtrung (2016)'!$A$3,"MA_HT","DCH","MA_QH","DXH")</f>
        <v>0</v>
      </c>
      <c r="AL39" s="49" t="e">
        <f ca="1">$D39-$BF39</f>
        <v>#REF!</v>
      </c>
      <c r="AM39" s="50">
        <f ca="1">+GETPIVOTDATA("XBT4",'binhtrung (2016)'!$A$3,"MA_HT","DXH","MA_QH","DKG")</f>
        <v>0</v>
      </c>
      <c r="AN39" s="50">
        <f ca="1">+GETPIVOTDATA("XBT4",'binhtrung (2016)'!$A$3,"MA_HT","DCH","MA_QH","DDT")</f>
        <v>0</v>
      </c>
      <c r="AO39" s="50">
        <f ca="1">+GETPIVOTDATA("XBT4",'binhtrung (2016)'!$A$3,"MA_HT","DCH","MA_QH","DDL")</f>
        <v>0</v>
      </c>
      <c r="AP39" s="50">
        <f ca="1">+GETPIVOTDATA("XBT4",'binhtrung (2016)'!$A$3,"MA_HT","DCH","MA_QH","DRA")</f>
        <v>0</v>
      </c>
      <c r="AQ39" s="50">
        <f ca="1">+GETPIVOTDATA("XBT4",'binhtrung (2016)'!$A$3,"MA_HT","DCH","MA_QH","ONT")</f>
        <v>0</v>
      </c>
      <c r="AR39" s="50">
        <f ca="1">+GETPIVOTDATA("XBT4",'binhtrung (2016)'!$A$3,"MA_HT","DCH","MA_QH","ODT")</f>
        <v>0</v>
      </c>
      <c r="AS39" s="50">
        <f ca="1">+GETPIVOTDATA("XBT4",'binhtrung (2016)'!$A$3,"MA_HT","DCH","MA_QH","TSC")</f>
        <v>0</v>
      </c>
      <c r="AT39" s="50">
        <f ca="1">+GETPIVOTDATA("XBT4",'binhtrung (2016)'!$A$3,"MA_HT","DCH","MA_QH","DTS")</f>
        <v>0</v>
      </c>
      <c r="AU39" s="50">
        <f ca="1">+GETPIVOTDATA("XBT4",'binhtrung (2016)'!$A$3,"MA_HT","DCH","MA_QH","DNG")</f>
        <v>0</v>
      </c>
      <c r="AV39" s="50">
        <f ca="1">+GETPIVOTDATA("XBT4",'binhtrung (2016)'!$A$3,"MA_HT","DCH","MA_QH","TON")</f>
        <v>0</v>
      </c>
      <c r="AW39" s="50">
        <f ca="1">+GETPIVOTDATA("XBT4",'binhtrung (2016)'!$A$3,"MA_HT","DCH","MA_QH","NTD")</f>
        <v>0</v>
      </c>
      <c r="AX39" s="50">
        <f ca="1">+GETPIVOTDATA("XBT4",'binhtrung (2016)'!$A$3,"MA_HT","DCH","MA_QH","SKX")</f>
        <v>0</v>
      </c>
      <c r="AY39" s="50">
        <f ca="1">+GETPIVOTDATA("XBT4",'binhtrung (2016)'!$A$3,"MA_HT","DCH","MA_QH","DSH")</f>
        <v>0</v>
      </c>
      <c r="AZ39" s="50">
        <f ca="1">+GETPIVOTDATA("XBT4",'binhtrung (2016)'!$A$3,"MA_HT","DCH","MA_QH","DKV")</f>
        <v>0</v>
      </c>
      <c r="BA39" s="88">
        <f ca="1">+GETPIVOTDATA("XBT4",'binhtrung (2016)'!$A$3,"MA_HT","DCH","MA_QH","TIN")</f>
        <v>0</v>
      </c>
      <c r="BB39" s="50">
        <f ca="1">+GETPIVOTDATA("XBT4",'binhtrung (2016)'!$A$3,"MA_HT","DCH","MA_QH","SON")</f>
        <v>0</v>
      </c>
      <c r="BC39" s="50">
        <f ca="1">+GETPIVOTDATA("XBT4",'binhtrung (2016)'!$A$3,"MA_HT","DCH","MA_QH","MNC")</f>
        <v>0</v>
      </c>
      <c r="BD39" s="50">
        <f ca="1">+GETPIVOTDATA("XBT4",'binhtrung (2016)'!$A$3,"MA_HT","DCH","MA_QH","PNK")</f>
        <v>0</v>
      </c>
      <c r="BE39" s="80">
        <f ca="1">+GETPIVOTDATA("XBT4",'binhtrung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+GETPIVOTDATA("XBT4",'binhtrung (2016)'!$A$3,"MA_HT","DKG","MA_QH","LUC")</f>
        <v>0</v>
      </c>
      <c r="H40" s="50">
        <f ca="1">+GETPIVOTDATA("XBT4",'binhtrung (2016)'!$A$3,"MA_HT","DKG","MA_QH","LUK")</f>
        <v>0</v>
      </c>
      <c r="I40" s="50">
        <f ca="1">+GETPIVOTDATA("XBT4",'binhtrung (2016)'!$A$3,"MA_HT","DKG","MA_QH","LUN")</f>
        <v>0</v>
      </c>
      <c r="J40" s="50">
        <f ca="1">+GETPIVOTDATA("XBT4",'binhtrung (2016)'!$A$3,"MA_HT","DKG","MA_QH","HNK")</f>
        <v>0</v>
      </c>
      <c r="K40" s="50">
        <f ca="1">+GETPIVOTDATA("XBT4",'binhtrung (2016)'!$A$3,"MA_HT","DKG","MA_QH","CLN")</f>
        <v>0</v>
      </c>
      <c r="L40" s="50">
        <f ca="1">+GETPIVOTDATA("XBT4",'binhtrung (2016)'!$A$3,"MA_HT","DKG","MA_QH","RSX")</f>
        <v>0</v>
      </c>
      <c r="M40" s="50">
        <f ca="1">+GETPIVOTDATA("XBT4",'binhtrung (2016)'!$A$3,"MA_HT","DKG","MA_QH","RPH")</f>
        <v>0</v>
      </c>
      <c r="N40" s="50">
        <f ca="1">+GETPIVOTDATA("XBT4",'binhtrung (2016)'!$A$3,"MA_HT","DKG","MA_QH","RDD")</f>
        <v>0</v>
      </c>
      <c r="O40" s="50">
        <f ca="1">+GETPIVOTDATA("XBT4",'binhtrung (2016)'!$A$3,"MA_HT","DKG","MA_QH","NTS")</f>
        <v>0</v>
      </c>
      <c r="P40" s="50">
        <f ca="1">+GETPIVOTDATA("XBT4",'binhtrung (2016)'!$A$3,"MA_HT","DKG","MA_QH","LMU")</f>
        <v>0</v>
      </c>
      <c r="Q40" s="50">
        <f ca="1">+GETPIVOTDATA("XBT4",'binhtrung (2016)'!$A$3,"MA_HT","DKG","MA_QH","NKH")</f>
        <v>0</v>
      </c>
      <c r="R40" s="48">
        <f ca="1" t="shared" si="20"/>
        <v>0</v>
      </c>
      <c r="S40" s="50">
        <f ca="1">+GETPIVOTDATA("XBT4",'binhtrung (2016)'!$A$3,"MA_HT","DKG","MA_QH","CQP")</f>
        <v>0</v>
      </c>
      <c r="T40" s="50">
        <f ca="1">+GETPIVOTDATA("XBT4",'binhtrung (2016)'!$A$3,"MA_HT","DKG","MA_QH","CAN")</f>
        <v>0</v>
      </c>
      <c r="U40" s="50">
        <f ca="1">+GETPIVOTDATA("XBT4",'binhtrung (2016)'!$A$3,"MA_HT","DKG","MA_QH","SKK")</f>
        <v>0</v>
      </c>
      <c r="V40" s="50">
        <f ca="1">+GETPIVOTDATA("XBT4",'binhtrung (2016)'!$A$3,"MA_HT","DKG","MA_QH","SKT")</f>
        <v>0</v>
      </c>
      <c r="W40" s="50">
        <f ca="1">+GETPIVOTDATA("XBT4",'binhtrung (2016)'!$A$3,"MA_HT","DKG","MA_QH","SKN")</f>
        <v>0</v>
      </c>
      <c r="X40" s="50">
        <f ca="1">+GETPIVOTDATA("XBT4",'binhtrung (2016)'!$A$3,"MA_HT","DKG","MA_QH","TMD")</f>
        <v>0</v>
      </c>
      <c r="Y40" s="50">
        <f ca="1">+GETPIVOTDATA("XBT4",'binhtrung (2016)'!$A$3,"MA_HT","DKG","MA_QH","SKC")</f>
        <v>0</v>
      </c>
      <c r="Z40" s="50">
        <f ca="1">+GETPIVOTDATA("XBT4",'binhtrung (2016)'!$A$3,"MA_HT","DKG","MA_QH","SKS")</f>
        <v>0</v>
      </c>
      <c r="AA40" s="52">
        <f ca="1">+SUM(AB40:AL40)</f>
        <v>0</v>
      </c>
      <c r="AB40" s="50">
        <f ca="1">+GETPIVOTDATA("XBT4",'binhtrung (2016)'!$A$3,"MA_HT","DKG","MA_QH","DGT")</f>
        <v>0</v>
      </c>
      <c r="AC40" s="50">
        <f ca="1">+GETPIVOTDATA("XBT4",'binhtrung (2016)'!$A$3,"MA_HT","DKG","MA_QH","DTL")</f>
        <v>0</v>
      </c>
      <c r="AD40" s="50">
        <f ca="1">+GETPIVOTDATA("XBT4",'binhtrung (2016)'!$A$3,"MA_HT","DKG","MA_QH","DNL")</f>
        <v>0</v>
      </c>
      <c r="AE40" s="50">
        <f ca="1">+GETPIVOTDATA("XBT4",'binhtrung (2016)'!$A$3,"MA_HT","DKG","MA_QH","DBV")</f>
        <v>0</v>
      </c>
      <c r="AF40" s="50">
        <f ca="1">+GETPIVOTDATA("XBT4",'binhtrung (2016)'!$A$3,"MA_HT","DKG","MA_QH","DVH")</f>
        <v>0</v>
      </c>
      <c r="AG40" s="50">
        <f ca="1">+GETPIVOTDATA("XBT4",'binhtrung (2016)'!$A$3,"MA_HT","DKG","MA_QH","DYT")</f>
        <v>0</v>
      </c>
      <c r="AH40" s="50">
        <f ca="1">+GETPIVOTDATA("XBT4",'binhtrung (2016)'!$A$3,"MA_HT","DKG","MA_QH","DGD")</f>
        <v>0</v>
      </c>
      <c r="AI40" s="50">
        <f ca="1">+GETPIVOTDATA("XBT4",'binhtrung (2016)'!$A$3,"MA_HT","DKG","MA_QH","DTT")</f>
        <v>0</v>
      </c>
      <c r="AJ40" s="50">
        <f ca="1">+GETPIVOTDATA("XBT4",'binhtrung (2016)'!$A$3,"MA_HT","DKG","MA_QH","NCK")</f>
        <v>0</v>
      </c>
      <c r="AK40" s="50">
        <f ca="1">+GETPIVOTDATA("XBT4",'binhtrung (2016)'!$A$3,"MA_HT","DKG","MA_QH","DXH")</f>
        <v>0</v>
      </c>
      <c r="AL40" s="60">
        <f ca="1">+GETPIVOTDATA("XBT4",'binhtrung (2016)'!$A$3,"MA_HT","DDT","MA_QH","DKG")</f>
        <v>0</v>
      </c>
      <c r="AM40" s="49" t="e">
        <f ca="1">$D40-$BF40</f>
        <v>#REF!</v>
      </c>
      <c r="AN40" s="50">
        <f ca="1">+GETPIVOTDATA("XBT4",'binhtrung (2016)'!$A$3,"MA_HT","DKG","MA_QH","DDT")</f>
        <v>0</v>
      </c>
      <c r="AO40" s="50">
        <f ca="1">+GETPIVOTDATA("XBT4",'binhtrung (2016)'!$A$3,"MA_HT","DKG","MA_QH","DDL")</f>
        <v>0</v>
      </c>
      <c r="AP40" s="50">
        <f ca="1">+GETPIVOTDATA("XBT4",'binhtrung (2016)'!$A$3,"MA_HT","DKG","MA_QH","DRA")</f>
        <v>0</v>
      </c>
      <c r="AQ40" s="50">
        <f ca="1">+GETPIVOTDATA("XBT4",'binhtrung (2016)'!$A$3,"MA_HT","DKG","MA_QH","ONT")</f>
        <v>0</v>
      </c>
      <c r="AR40" s="50">
        <f ca="1">+GETPIVOTDATA("XBT4",'binhtrung (2016)'!$A$3,"MA_HT","DKG","MA_QH","ODT")</f>
        <v>0</v>
      </c>
      <c r="AS40" s="50">
        <f ca="1">+GETPIVOTDATA("XBT4",'binhtrung (2016)'!$A$3,"MA_HT","DKG","MA_QH","TSC")</f>
        <v>0</v>
      </c>
      <c r="AT40" s="50">
        <f ca="1">+GETPIVOTDATA("XBT4",'binhtrung (2016)'!$A$3,"MA_HT","DKG","MA_QH","DTS")</f>
        <v>0</v>
      </c>
      <c r="AU40" s="50">
        <f ca="1">+GETPIVOTDATA("XBT4",'binhtrung (2016)'!$A$3,"MA_HT","DKG","MA_QH","DNG")</f>
        <v>0</v>
      </c>
      <c r="AV40" s="50">
        <f ca="1">+GETPIVOTDATA("XBT4",'binhtrung (2016)'!$A$3,"MA_HT","DKG","MA_QH","TON")</f>
        <v>0</v>
      </c>
      <c r="AW40" s="50">
        <f ca="1">+GETPIVOTDATA("XBT4",'binhtrung (2016)'!$A$3,"MA_HT","DKG","MA_QH","NTD")</f>
        <v>0</v>
      </c>
      <c r="AX40" s="50">
        <f ca="1">+GETPIVOTDATA("XBT4",'binhtrung (2016)'!$A$3,"MA_HT","DKG","MA_QH","SKX")</f>
        <v>0</v>
      </c>
      <c r="AY40" s="50">
        <f ca="1">+GETPIVOTDATA("XBT4",'binhtrung (2016)'!$A$3,"MA_HT","DKG","MA_QH","DSH")</f>
        <v>0</v>
      </c>
      <c r="AZ40" s="50">
        <f ca="1">+GETPIVOTDATA("XBT4",'binhtrung (2016)'!$A$3,"MA_HT","DKG","MA_QH","DKV")</f>
        <v>0</v>
      </c>
      <c r="BA40" s="88">
        <f ca="1">+GETPIVOTDATA("XBT4",'binhtrung (2016)'!$A$3,"MA_HT","DKG","MA_QH","TIN")</f>
        <v>0</v>
      </c>
      <c r="BB40" s="50">
        <f ca="1">+GETPIVOTDATA("XBT4",'binhtrung (2016)'!$A$3,"MA_HT","DKG","MA_QH","SON")</f>
        <v>0</v>
      </c>
      <c r="BC40" s="50">
        <f ca="1">+GETPIVOTDATA("XBT4",'binhtrung (2016)'!$A$3,"MA_HT","DKG","MA_QH","MNC")</f>
        <v>0</v>
      </c>
      <c r="BD40" s="50">
        <f ca="1">+GETPIVOTDATA("XBT4",'binhtrung (2016)'!$A$3,"MA_HT","DKG","MA_QH","PNK")</f>
        <v>0</v>
      </c>
      <c r="BE40" s="80">
        <f ca="1">+GETPIVOTDATA("XBT4",'binhtrung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+GETPIVOTDATA("XBT4",'binhtrung (2016)'!$A$3,"MA_HT","DDT","MA_QH","LUC")</f>
        <v>0</v>
      </c>
      <c r="H41" s="60">
        <f ca="1">+GETPIVOTDATA("XBT4",'binhtrung (2016)'!$A$3,"MA_HT","DDT","MA_QH","LUK")</f>
        <v>0</v>
      </c>
      <c r="I41" s="60">
        <f ca="1">+GETPIVOTDATA("XBT4",'binhtrung (2016)'!$A$3,"MA_HT","DDT","MA_QH","LUN")</f>
        <v>0</v>
      </c>
      <c r="J41" s="60">
        <f ca="1">+GETPIVOTDATA("XBT4",'binhtrung (2016)'!$A$3,"MA_HT","DDT","MA_QH","HNK")</f>
        <v>0</v>
      </c>
      <c r="K41" s="60">
        <f ca="1">+GETPIVOTDATA("XBT4",'binhtrung (2016)'!$A$3,"MA_HT","DDT","MA_QH","CLN")</f>
        <v>0</v>
      </c>
      <c r="L41" s="60">
        <f ca="1">+GETPIVOTDATA("XBT4",'binhtrung (2016)'!$A$3,"MA_HT","DDT","MA_QH","RSX")</f>
        <v>0</v>
      </c>
      <c r="M41" s="60">
        <f ca="1">+GETPIVOTDATA("XBT4",'binhtrung (2016)'!$A$3,"MA_HT","DDT","MA_QH","RPH")</f>
        <v>0</v>
      </c>
      <c r="N41" s="60">
        <f ca="1">+GETPIVOTDATA("XBT4",'binhtrung (2016)'!$A$3,"MA_HT","DDT","MA_QH","RDD")</f>
        <v>0</v>
      </c>
      <c r="O41" s="60">
        <f ca="1">+GETPIVOTDATA("XBT4",'binhtrung (2016)'!$A$3,"MA_HT","DDT","MA_QH","NTS")</f>
        <v>0</v>
      </c>
      <c r="P41" s="60">
        <f ca="1">+GETPIVOTDATA("XBT4",'binhtrung (2016)'!$A$3,"MA_HT","DDT","MA_QH","LMU")</f>
        <v>0</v>
      </c>
      <c r="Q41" s="60">
        <f ca="1">+GETPIVOTDATA("XBT4",'binhtrung (2016)'!$A$3,"MA_HT","DDT","MA_QH","NKH")</f>
        <v>0</v>
      </c>
      <c r="R41" s="78">
        <f ca="1">SUM(S41:AA41,AO41:BD41)</f>
        <v>0</v>
      </c>
      <c r="S41" s="60">
        <f ca="1">+GETPIVOTDATA("XBT4",'binhtrung (2016)'!$A$3,"MA_HT","DDT","MA_QH","CQP")</f>
        <v>0</v>
      </c>
      <c r="T41" s="60">
        <f ca="1">+GETPIVOTDATA("XBT4",'binhtrung (2016)'!$A$3,"MA_HT","DDT","MA_QH","CAN")</f>
        <v>0</v>
      </c>
      <c r="U41" s="60">
        <f ca="1">+GETPIVOTDATA("XBT4",'binhtrung (2016)'!$A$3,"MA_HT","DDT","MA_QH","SKK")</f>
        <v>0</v>
      </c>
      <c r="V41" s="60">
        <f ca="1">+GETPIVOTDATA("XBT4",'binhtrung (2016)'!$A$3,"MA_HT","DDT","MA_QH","SKT")</f>
        <v>0</v>
      </c>
      <c r="W41" s="60">
        <f ca="1">+GETPIVOTDATA("XBT4",'binhtrung (2016)'!$A$3,"MA_HT","DDT","MA_QH","SKN")</f>
        <v>0</v>
      </c>
      <c r="X41" s="60">
        <f ca="1">+GETPIVOTDATA("XBT4",'binhtrung (2016)'!$A$3,"MA_HT","DDT","MA_QH","TMD")</f>
        <v>0</v>
      </c>
      <c r="Y41" s="60">
        <f ca="1">+GETPIVOTDATA("XBT4",'binhtrung (2016)'!$A$3,"MA_HT","DDT","MA_QH","SKC")</f>
        <v>0</v>
      </c>
      <c r="Z41" s="60">
        <f ca="1">+GETPIVOTDATA("XBT4",'binhtrung (2016)'!$A$3,"MA_HT","DDT","MA_QH","SKS")</f>
        <v>0</v>
      </c>
      <c r="AA41" s="59">
        <f ca="1" t="shared" ref="AA41:AA58" si="21">+SUM(AB41:AM41)</f>
        <v>0</v>
      </c>
      <c r="AB41" s="60">
        <f ca="1">+GETPIVOTDATA("XBT4",'binhtrung (2016)'!$A$3,"MA_HT","DDT","MA_QH","DGT")</f>
        <v>0</v>
      </c>
      <c r="AC41" s="60">
        <f ca="1">+GETPIVOTDATA("XBT4",'binhtrung (2016)'!$A$3,"MA_HT","DDT","MA_QH","DTL")</f>
        <v>0</v>
      </c>
      <c r="AD41" s="60">
        <f ca="1">+GETPIVOTDATA("XBT4",'binhtrung (2016)'!$A$3,"MA_HT","DDT","MA_QH","DNL")</f>
        <v>0</v>
      </c>
      <c r="AE41" s="60">
        <f ca="1">+GETPIVOTDATA("XBT4",'binhtrung (2016)'!$A$3,"MA_HT","DDT","MA_QH","DBV")</f>
        <v>0</v>
      </c>
      <c r="AF41" s="60">
        <f ca="1">+GETPIVOTDATA("XBT4",'binhtrung (2016)'!$A$3,"MA_HT","DDT","MA_QH","DVH")</f>
        <v>0</v>
      </c>
      <c r="AG41" s="60">
        <f ca="1">+GETPIVOTDATA("XBT4",'binhtrung (2016)'!$A$3,"MA_HT","DDT","MA_QH","DYT")</f>
        <v>0</v>
      </c>
      <c r="AH41" s="60">
        <f ca="1">+GETPIVOTDATA("XBT4",'binhtrung (2016)'!$A$3,"MA_HT","DDT","MA_QH","DGD")</f>
        <v>0</v>
      </c>
      <c r="AI41" s="60">
        <f ca="1">+GETPIVOTDATA("XBT4",'binhtrung (2016)'!$A$3,"MA_HT","DDT","MA_QH","DTT")</f>
        <v>0</v>
      </c>
      <c r="AJ41" s="60">
        <f ca="1">+GETPIVOTDATA("XBT4",'binhtrung (2016)'!$A$3,"MA_HT","DDT","MA_QH","NCK")</f>
        <v>0</v>
      </c>
      <c r="AK41" s="60">
        <f ca="1">+GETPIVOTDATA("XBT4",'binhtrung (2016)'!$A$3,"MA_HT","DDT","MA_QH","DXH")</f>
        <v>0</v>
      </c>
      <c r="AL41" s="60">
        <f ca="1">+GETPIVOTDATA("XBT4",'binhtrung (2016)'!$A$3,"MA_HT","DDT","MA_QH","DCH")</f>
        <v>0</v>
      </c>
      <c r="AM41" s="60">
        <f ca="1">+GETPIVOTDATA("XBT4",'binhtrung (2016)'!$A$3,"MA_HT","DDT","MA_QH","DKG")</f>
        <v>0</v>
      </c>
      <c r="AN41" s="81" t="e">
        <f ca="1">$D41-$BF41</f>
        <v>#REF!</v>
      </c>
      <c r="AO41" s="60">
        <f ca="1">+GETPIVOTDATA("XBT4",'binhtrung (2016)'!$A$3,"MA_HT","DDT","MA_QH","DDL")</f>
        <v>0</v>
      </c>
      <c r="AP41" s="60">
        <f ca="1">+GETPIVOTDATA("XBT4",'binhtrung (2016)'!$A$3,"MA_HT","DDT","MA_QH","DRA")</f>
        <v>0</v>
      </c>
      <c r="AQ41" s="60">
        <f ca="1">+GETPIVOTDATA("XBT4",'binhtrung (2016)'!$A$3,"MA_HT","DDT","MA_QH","ONT")</f>
        <v>0</v>
      </c>
      <c r="AR41" s="60">
        <f ca="1">+GETPIVOTDATA("XBT4",'binhtrung (2016)'!$A$3,"MA_HT","DDT","MA_QH","ODT")</f>
        <v>0</v>
      </c>
      <c r="AS41" s="60">
        <f ca="1">+GETPIVOTDATA("XBT4",'binhtrung (2016)'!$A$3,"MA_HT","DDT","MA_QH","TSC")</f>
        <v>0</v>
      </c>
      <c r="AT41" s="60">
        <f ca="1">+GETPIVOTDATA("XBT4",'binhtrung (2016)'!$A$3,"MA_HT","DDT","MA_QH","DTS")</f>
        <v>0</v>
      </c>
      <c r="AU41" s="60">
        <f ca="1">+GETPIVOTDATA("XBT4",'binhtrung (2016)'!$A$3,"MA_HT","DDT","MA_QH","DNG")</f>
        <v>0</v>
      </c>
      <c r="AV41" s="60">
        <f ca="1">+GETPIVOTDATA("XBT4",'binhtrung (2016)'!$A$3,"MA_HT","DDT","MA_QH","TON")</f>
        <v>0</v>
      </c>
      <c r="AW41" s="60">
        <f ca="1">+GETPIVOTDATA("XBT4",'binhtrung (2016)'!$A$3,"MA_HT","DDT","MA_QH","NTD")</f>
        <v>0</v>
      </c>
      <c r="AX41" s="60">
        <f ca="1">+GETPIVOTDATA("XBT4",'binhtrung (2016)'!$A$3,"MA_HT","DDT","MA_QH","SKX")</f>
        <v>0</v>
      </c>
      <c r="AY41" s="60">
        <f ca="1">+GETPIVOTDATA("XBT4",'binhtrung (2016)'!$A$3,"MA_HT","DDT","MA_QH","DSH")</f>
        <v>0</v>
      </c>
      <c r="AZ41" s="60">
        <f ca="1">+GETPIVOTDATA("XBT4",'binhtrung (2016)'!$A$3,"MA_HT","DDT","MA_QH","DKV")</f>
        <v>0</v>
      </c>
      <c r="BA41" s="90">
        <f ca="1">+GETPIVOTDATA("XBT4",'binhtrung (2016)'!$A$3,"MA_HT","DDT","MA_QH","TIN")</f>
        <v>0</v>
      </c>
      <c r="BB41" s="91">
        <f ca="1">+GETPIVOTDATA("XBT4",'binhtrung (2016)'!$A$3,"MA_HT","DDT","MA_QH","SON")</f>
        <v>0</v>
      </c>
      <c r="BC41" s="91">
        <f ca="1">+GETPIVOTDATA("XBT4",'binhtrung (2016)'!$A$3,"MA_HT","DDT","MA_QH","MNC")</f>
        <v>0</v>
      </c>
      <c r="BD41" s="60">
        <f ca="1">+GETPIVOTDATA("XBT4",'binhtrung (2016)'!$A$3,"MA_HT","DDT","MA_QH","PNK")</f>
        <v>0</v>
      </c>
      <c r="BE41" s="111">
        <f ca="1">+GETPIVOTDATA("XBT4",'binhtrung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+GETPIVOTDATA("XBT4",'binhtrung (2016)'!$A$3,"MA_HT","DDL","MA_QH","LUC")</f>
        <v>0</v>
      </c>
      <c r="H42" s="22">
        <f ca="1">+GETPIVOTDATA("XBT4",'binhtrung (2016)'!$A$3,"MA_HT","DDL","MA_QH","LUK")</f>
        <v>0</v>
      </c>
      <c r="I42" s="22">
        <f ca="1">+GETPIVOTDATA("XBT4",'binhtrung (2016)'!$A$3,"MA_HT","DDL","MA_QH","LUN")</f>
        <v>0</v>
      </c>
      <c r="J42" s="22">
        <f ca="1">+GETPIVOTDATA("XBT4",'binhtrung (2016)'!$A$3,"MA_HT","DDL","MA_QH","HNK")</f>
        <v>0</v>
      </c>
      <c r="K42" s="22">
        <f ca="1">+GETPIVOTDATA("XBT4",'binhtrung (2016)'!$A$3,"MA_HT","DDL","MA_QH","CLN")</f>
        <v>0</v>
      </c>
      <c r="L42" s="22">
        <f ca="1">+GETPIVOTDATA("XBT4",'binhtrung (2016)'!$A$3,"MA_HT","DDL","MA_QH","RSX")</f>
        <v>0</v>
      </c>
      <c r="M42" s="22">
        <f ca="1">+GETPIVOTDATA("XBT4",'binhtrung (2016)'!$A$3,"MA_HT","DDL","MA_QH","RPH")</f>
        <v>0</v>
      </c>
      <c r="N42" s="22">
        <f ca="1">+GETPIVOTDATA("XBT4",'binhtrung (2016)'!$A$3,"MA_HT","DDL","MA_QH","RDD")</f>
        <v>0</v>
      </c>
      <c r="O42" s="22">
        <f ca="1">+GETPIVOTDATA("XBT4",'binhtrung (2016)'!$A$3,"MA_HT","DDL","MA_QH","NTS")</f>
        <v>0</v>
      </c>
      <c r="P42" s="22">
        <f ca="1">+GETPIVOTDATA("XBT4",'binhtrung (2016)'!$A$3,"MA_HT","DDL","MA_QH","LMU")</f>
        <v>0</v>
      </c>
      <c r="Q42" s="22">
        <f ca="1">+GETPIVOTDATA("XBT4",'binhtrung (2016)'!$A$3,"MA_HT","DDL","MA_QH","NKH")</f>
        <v>0</v>
      </c>
      <c r="R42" s="79">
        <f ca="1">SUM(S42:AA42,AN42,AP42:BD42)</f>
        <v>0</v>
      </c>
      <c r="S42" s="22">
        <f ca="1">+GETPIVOTDATA("XBT4",'binhtrung (2016)'!$A$3,"MA_HT","DDL","MA_QH","CQP")</f>
        <v>0</v>
      </c>
      <c r="T42" s="22">
        <f ca="1">+GETPIVOTDATA("XBT4",'binhtrung (2016)'!$A$3,"MA_HT","DDL","MA_QH","CAN")</f>
        <v>0</v>
      </c>
      <c r="U42" s="22">
        <f ca="1">+GETPIVOTDATA("XBT4",'binhtrung (2016)'!$A$3,"MA_HT","DDL","MA_QH","SKK")</f>
        <v>0</v>
      </c>
      <c r="V42" s="22">
        <f ca="1">+GETPIVOTDATA("XBT4",'binhtrung (2016)'!$A$3,"MA_HT","DDL","MA_QH","SKT")</f>
        <v>0</v>
      </c>
      <c r="W42" s="22">
        <f ca="1">+GETPIVOTDATA("XBT4",'binhtrung (2016)'!$A$3,"MA_HT","DDL","MA_QH","SKN")</f>
        <v>0</v>
      </c>
      <c r="X42" s="22">
        <f ca="1">+GETPIVOTDATA("XBT4",'binhtrung (2016)'!$A$3,"MA_HT","DDL","MA_QH","TMD")</f>
        <v>0</v>
      </c>
      <c r="Y42" s="22">
        <f ca="1">+GETPIVOTDATA("XBT4",'binhtrung (2016)'!$A$3,"MA_HT","DDL","MA_QH","SKC")</f>
        <v>0</v>
      </c>
      <c r="Z42" s="22">
        <f ca="1">+GETPIVOTDATA("XBT4",'binhtrung (2016)'!$A$3,"MA_HT","DDL","MA_QH","SKS")</f>
        <v>0</v>
      </c>
      <c r="AA42" s="52">
        <f ca="1" t="shared" si="21"/>
        <v>0</v>
      </c>
      <c r="AB42" s="22">
        <f ca="1">+GETPIVOTDATA("XBT4",'binhtrung (2016)'!$A$3,"MA_HT","DDL","MA_QH","DGT")</f>
        <v>0</v>
      </c>
      <c r="AC42" s="22">
        <f ca="1">+GETPIVOTDATA("XBT4",'binhtrung (2016)'!$A$3,"MA_HT","DDL","MA_QH","DTL")</f>
        <v>0</v>
      </c>
      <c r="AD42" s="22">
        <f ca="1">+GETPIVOTDATA("XBT4",'binhtrung (2016)'!$A$3,"MA_HT","DDL","MA_QH","DNL")</f>
        <v>0</v>
      </c>
      <c r="AE42" s="22">
        <f ca="1">+GETPIVOTDATA("XBT4",'binhtrung (2016)'!$A$3,"MA_HT","DDL","MA_QH","DBV")</f>
        <v>0</v>
      </c>
      <c r="AF42" s="22">
        <f ca="1">+GETPIVOTDATA("XBT4",'binhtrung (2016)'!$A$3,"MA_HT","DDL","MA_QH","DVH")</f>
        <v>0</v>
      </c>
      <c r="AG42" s="22">
        <f ca="1">+GETPIVOTDATA("XBT4",'binhtrung (2016)'!$A$3,"MA_HT","DDL","MA_QH","DYT")</f>
        <v>0</v>
      </c>
      <c r="AH42" s="22">
        <f ca="1">+GETPIVOTDATA("XBT4",'binhtrung (2016)'!$A$3,"MA_HT","DDL","MA_QH","DGD")</f>
        <v>0</v>
      </c>
      <c r="AI42" s="22">
        <f ca="1">+GETPIVOTDATA("XBT4",'binhtrung (2016)'!$A$3,"MA_HT","DDL","MA_QH","DTT")</f>
        <v>0</v>
      </c>
      <c r="AJ42" s="22">
        <f ca="1">+GETPIVOTDATA("XBT4",'binhtrung (2016)'!$A$3,"MA_HT","DDL","MA_QH","NCK")</f>
        <v>0</v>
      </c>
      <c r="AK42" s="22">
        <f ca="1">+GETPIVOTDATA("XBT4",'binhtrung (2016)'!$A$3,"MA_HT","DDL","MA_QH","DXH")</f>
        <v>0</v>
      </c>
      <c r="AL42" s="22">
        <f ca="1">+GETPIVOTDATA("XBT4",'binhtrung (2016)'!$A$3,"MA_HT","DDL","MA_QH","DCH")</f>
        <v>0</v>
      </c>
      <c r="AM42" s="22">
        <f ca="1">+GETPIVOTDATA("XBT4",'binhtrung (2016)'!$A$3,"MA_HT","DDL","MA_QH","DKG")</f>
        <v>0</v>
      </c>
      <c r="AN42" s="22">
        <f ca="1">+GETPIVOTDATA("XBT4",'binhtrung (2016)'!$A$3,"MA_HT","DDL","MA_QH","DDT")</f>
        <v>0</v>
      </c>
      <c r="AO42" s="43" t="e">
        <f ca="1">$D42-$BF42</f>
        <v>#REF!</v>
      </c>
      <c r="AP42" s="22">
        <f ca="1">+GETPIVOTDATA("XBT4",'binhtrung (2016)'!$A$3,"MA_HT","DDL","MA_QH","DRA")</f>
        <v>0</v>
      </c>
      <c r="AQ42" s="22">
        <f ca="1">+GETPIVOTDATA("XBT4",'binhtrung (2016)'!$A$3,"MA_HT","DDL","MA_QH","ONT")</f>
        <v>0</v>
      </c>
      <c r="AR42" s="22">
        <f ca="1">+GETPIVOTDATA("XBT4",'binhtrung (2016)'!$A$3,"MA_HT","DDL","MA_QH","ODT")</f>
        <v>0</v>
      </c>
      <c r="AS42" s="22">
        <f ca="1">+GETPIVOTDATA("XBT4",'binhtrung (2016)'!$A$3,"MA_HT","DDL","MA_QH","TSC")</f>
        <v>0</v>
      </c>
      <c r="AT42" s="22">
        <f ca="1">+GETPIVOTDATA("XBT4",'binhtrung (2016)'!$A$3,"MA_HT","DDL","MA_QH","DTS")</f>
        <v>0</v>
      </c>
      <c r="AU42" s="22">
        <f ca="1">+GETPIVOTDATA("XBT4",'binhtrung (2016)'!$A$3,"MA_HT","DDL","MA_QH","DNG")</f>
        <v>0</v>
      </c>
      <c r="AV42" s="22">
        <f ca="1">+GETPIVOTDATA("XBT4",'binhtrung (2016)'!$A$3,"MA_HT","DDL","MA_QH","TON")</f>
        <v>0</v>
      </c>
      <c r="AW42" s="22">
        <f ca="1">+GETPIVOTDATA("XBT4",'binhtrung (2016)'!$A$3,"MA_HT","DDL","MA_QH","NTD")</f>
        <v>0</v>
      </c>
      <c r="AX42" s="22">
        <f ca="1">+GETPIVOTDATA("XBT4",'binhtrung (2016)'!$A$3,"MA_HT","DDL","MA_QH","SKX")</f>
        <v>0</v>
      </c>
      <c r="AY42" s="22">
        <f ca="1">+GETPIVOTDATA("XBT4",'binhtrung (2016)'!$A$3,"MA_HT","DDL","MA_QH","DSH")</f>
        <v>0</v>
      </c>
      <c r="AZ42" s="22">
        <f ca="1">+GETPIVOTDATA("XBT4",'binhtrung (2016)'!$A$3,"MA_HT","DDL","MA_QH","DKV")</f>
        <v>0</v>
      </c>
      <c r="BA42" s="89">
        <f ca="1">+GETPIVOTDATA("XBT4",'binhtrung (2016)'!$A$3,"MA_HT","DDL","MA_QH","TIN")</f>
        <v>0</v>
      </c>
      <c r="BB42" s="50">
        <f ca="1">+GETPIVOTDATA("XBT4",'binhtrung (2016)'!$A$3,"MA_HT","DDL","MA_QH","SON")</f>
        <v>0</v>
      </c>
      <c r="BC42" s="50">
        <f ca="1">+GETPIVOTDATA("XBT4",'binhtrung (2016)'!$A$3,"MA_HT","DDL","MA_QH","MNC")</f>
        <v>0</v>
      </c>
      <c r="BD42" s="22">
        <f ca="1">+GETPIVOTDATA("XBT4",'binhtrung (2016)'!$A$3,"MA_HT","DDL","MA_QH","PNK")</f>
        <v>0</v>
      </c>
      <c r="BE42" s="71">
        <f ca="1">+GETPIVOTDATA("XBT4",'binhtrung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+GETPIVOTDATA("XBT4",'binhtrung (2016)'!$A$3,"MA_HT","DRA","MA_QH","LUC")</f>
        <v>0</v>
      </c>
      <c r="H43" s="22">
        <f ca="1">+GETPIVOTDATA("XBT4",'binhtrung (2016)'!$A$3,"MA_HT","DRA","MA_QH","LUK")</f>
        <v>0</v>
      </c>
      <c r="I43" s="22">
        <f ca="1">+GETPIVOTDATA("XBT4",'binhtrung (2016)'!$A$3,"MA_HT","DRA","MA_QH","LUN")</f>
        <v>0</v>
      </c>
      <c r="J43" s="22">
        <f ca="1">+GETPIVOTDATA("XBT4",'binhtrung (2016)'!$A$3,"MA_HT","DRA","MA_QH","HNK")</f>
        <v>0</v>
      </c>
      <c r="K43" s="22">
        <f ca="1">+GETPIVOTDATA("XBT4",'binhtrung (2016)'!$A$3,"MA_HT","DRA","MA_QH","CLN")</f>
        <v>0</v>
      </c>
      <c r="L43" s="22">
        <f ca="1">+GETPIVOTDATA("XBT4",'binhtrung (2016)'!$A$3,"MA_HT","DRA","MA_QH","RSX")</f>
        <v>0</v>
      </c>
      <c r="M43" s="22">
        <f ca="1">+GETPIVOTDATA("XBT4",'binhtrung (2016)'!$A$3,"MA_HT","DRA","MA_QH","RPH")</f>
        <v>0</v>
      </c>
      <c r="N43" s="22">
        <f ca="1">+GETPIVOTDATA("XBT4",'binhtrung (2016)'!$A$3,"MA_HT","DRA","MA_QH","RDD")</f>
        <v>0</v>
      </c>
      <c r="O43" s="22">
        <f ca="1">+GETPIVOTDATA("XBT4",'binhtrung (2016)'!$A$3,"MA_HT","DRA","MA_QH","NTS")</f>
        <v>0</v>
      </c>
      <c r="P43" s="22">
        <f ca="1">+GETPIVOTDATA("XBT4",'binhtrung (2016)'!$A$3,"MA_HT","DRA","MA_QH","LMU")</f>
        <v>0</v>
      </c>
      <c r="Q43" s="22">
        <f ca="1">+GETPIVOTDATA("XBT4",'binhtrung (2016)'!$A$3,"MA_HT","DRA","MA_QH","NKH")</f>
        <v>0</v>
      </c>
      <c r="R43" s="79">
        <f ca="1">SUM(S43:AA43,AN43:AO43,AQ43:BD43)</f>
        <v>0</v>
      </c>
      <c r="S43" s="22">
        <f ca="1">+GETPIVOTDATA("XBT4",'binhtrung (2016)'!$A$3,"MA_HT","DRA","MA_QH","CQP")</f>
        <v>0</v>
      </c>
      <c r="T43" s="22">
        <f ca="1">+GETPIVOTDATA("XBT4",'binhtrung (2016)'!$A$3,"MA_HT","DRA","MA_QH","CAN")</f>
        <v>0</v>
      </c>
      <c r="U43" s="22">
        <f ca="1">+GETPIVOTDATA("XBT4",'binhtrung (2016)'!$A$3,"MA_HT","DRA","MA_QH","SKK")</f>
        <v>0</v>
      </c>
      <c r="V43" s="22">
        <f ca="1">+GETPIVOTDATA("XBT4",'binhtrung (2016)'!$A$3,"MA_HT","DRA","MA_QH","SKT")</f>
        <v>0</v>
      </c>
      <c r="W43" s="22">
        <f ca="1">+GETPIVOTDATA("XBT4",'binhtrung (2016)'!$A$3,"MA_HT","DRA","MA_QH","SKN")</f>
        <v>0</v>
      </c>
      <c r="X43" s="22">
        <f ca="1">+GETPIVOTDATA("XBT4",'binhtrung (2016)'!$A$3,"MA_HT","DRA","MA_QH","TMD")</f>
        <v>0</v>
      </c>
      <c r="Y43" s="22">
        <f ca="1">+GETPIVOTDATA("XBT4",'binhtrung (2016)'!$A$3,"MA_HT","DRA","MA_QH","SKC")</f>
        <v>0</v>
      </c>
      <c r="Z43" s="22">
        <f ca="1">+GETPIVOTDATA("XBT4",'binhtrung (2016)'!$A$3,"MA_HT","DRA","MA_QH","SKS")</f>
        <v>0</v>
      </c>
      <c r="AA43" s="52">
        <f ca="1" t="shared" si="21"/>
        <v>0</v>
      </c>
      <c r="AB43" s="22">
        <f ca="1">+GETPIVOTDATA("XBT4",'binhtrung (2016)'!$A$3,"MA_HT","DRA","MA_QH","DGT")</f>
        <v>0</v>
      </c>
      <c r="AC43" s="22">
        <f ca="1">+GETPIVOTDATA("XBT4",'binhtrung (2016)'!$A$3,"MA_HT","DRA","MA_QH","DTL")</f>
        <v>0</v>
      </c>
      <c r="AD43" s="22">
        <f ca="1">+GETPIVOTDATA("XBT4",'binhtrung (2016)'!$A$3,"MA_HT","DRA","MA_QH","DNL")</f>
        <v>0</v>
      </c>
      <c r="AE43" s="22">
        <f ca="1">+GETPIVOTDATA("XBT4",'binhtrung (2016)'!$A$3,"MA_HT","DRA","MA_QH","DBV")</f>
        <v>0</v>
      </c>
      <c r="AF43" s="22">
        <f ca="1">+GETPIVOTDATA("XBT4",'binhtrung (2016)'!$A$3,"MA_HT","DRA","MA_QH","DVH")</f>
        <v>0</v>
      </c>
      <c r="AG43" s="22">
        <f ca="1">+GETPIVOTDATA("XBT4",'binhtrung (2016)'!$A$3,"MA_HT","DRA","MA_QH","DYT")</f>
        <v>0</v>
      </c>
      <c r="AH43" s="22">
        <f ca="1">+GETPIVOTDATA("XBT4",'binhtrung (2016)'!$A$3,"MA_HT","DRA","MA_QH","DGD")</f>
        <v>0</v>
      </c>
      <c r="AI43" s="22">
        <f ca="1">+GETPIVOTDATA("XBT4",'binhtrung (2016)'!$A$3,"MA_HT","DRA","MA_QH","DTT")</f>
        <v>0</v>
      </c>
      <c r="AJ43" s="22">
        <f ca="1">+GETPIVOTDATA("XBT4",'binhtrung (2016)'!$A$3,"MA_HT","DRA","MA_QH","NCK")</f>
        <v>0</v>
      </c>
      <c r="AK43" s="22">
        <f ca="1">+GETPIVOTDATA("XBT4",'binhtrung (2016)'!$A$3,"MA_HT","DRA","MA_QH","DXH")</f>
        <v>0</v>
      </c>
      <c r="AL43" s="22">
        <f ca="1">+GETPIVOTDATA("XBT4",'binhtrung (2016)'!$A$3,"MA_HT","DRA","MA_QH","DCH")</f>
        <v>0</v>
      </c>
      <c r="AM43" s="22">
        <f ca="1">+GETPIVOTDATA("XBT4",'binhtrung (2016)'!$A$3,"MA_HT","DRA","MA_QH","DKG")</f>
        <v>0</v>
      </c>
      <c r="AN43" s="22">
        <f ca="1">+GETPIVOTDATA("XBT4",'binhtrung (2016)'!$A$3,"MA_HT","DRA","MA_QH","DDT")</f>
        <v>0</v>
      </c>
      <c r="AO43" s="22">
        <f ca="1">+GETPIVOTDATA("XBT4",'binhtrung (2016)'!$A$3,"MA_HT","DRA","MA_QH","DDL")</f>
        <v>0</v>
      </c>
      <c r="AP43" s="43" t="e">
        <f ca="1">$D43-$BF43</f>
        <v>#REF!</v>
      </c>
      <c r="AQ43" s="22">
        <f ca="1">+GETPIVOTDATA("XBT4",'binhtrung (2016)'!$A$3,"MA_HT","DRA","MA_QH","ONT")</f>
        <v>0</v>
      </c>
      <c r="AR43" s="22">
        <f ca="1">+GETPIVOTDATA("XBT4",'binhtrung (2016)'!$A$3,"MA_HT","DRA","MA_QH","ODT")</f>
        <v>0</v>
      </c>
      <c r="AS43" s="22">
        <f ca="1">+GETPIVOTDATA("XBT4",'binhtrung (2016)'!$A$3,"MA_HT","DRA","MA_QH","TSC")</f>
        <v>0</v>
      </c>
      <c r="AT43" s="22">
        <f ca="1">+GETPIVOTDATA("XBT4",'binhtrung (2016)'!$A$3,"MA_HT","DRA","MA_QH","DTS")</f>
        <v>0</v>
      </c>
      <c r="AU43" s="22">
        <f ca="1">+GETPIVOTDATA("XBT4",'binhtrung (2016)'!$A$3,"MA_HT","DRA","MA_QH","DNG")</f>
        <v>0</v>
      </c>
      <c r="AV43" s="22">
        <f ca="1">+GETPIVOTDATA("XBT4",'binhtrung (2016)'!$A$3,"MA_HT","DRA","MA_QH","TON")</f>
        <v>0</v>
      </c>
      <c r="AW43" s="22">
        <f ca="1">+GETPIVOTDATA("XBT4",'binhtrung (2016)'!$A$3,"MA_HT","DRA","MA_QH","NTD")</f>
        <v>0</v>
      </c>
      <c r="AX43" s="22">
        <f ca="1">+GETPIVOTDATA("XBT4",'binhtrung (2016)'!$A$3,"MA_HT","DRA","MA_QH","SKX")</f>
        <v>0</v>
      </c>
      <c r="AY43" s="22">
        <f ca="1">+GETPIVOTDATA("XBT4",'binhtrung (2016)'!$A$3,"MA_HT","DRA","MA_QH","DSH")</f>
        <v>0</v>
      </c>
      <c r="AZ43" s="22">
        <f ca="1">+GETPIVOTDATA("XBT4",'binhtrung (2016)'!$A$3,"MA_HT","DRA","MA_QH","DKV")</f>
        <v>0</v>
      </c>
      <c r="BA43" s="89">
        <f ca="1">+GETPIVOTDATA("XBT4",'binhtrung (2016)'!$A$3,"MA_HT","DRA","MA_QH","TIN")</f>
        <v>0</v>
      </c>
      <c r="BB43" s="50">
        <f ca="1">+GETPIVOTDATA("XBT4",'binhtrung (2016)'!$A$3,"MA_HT","DRA","MA_QH","SON")</f>
        <v>0</v>
      </c>
      <c r="BC43" s="50">
        <f ca="1">+GETPIVOTDATA("XBT4",'binhtrung (2016)'!$A$3,"MA_HT","DRA","MA_QH","MNC")</f>
        <v>0</v>
      </c>
      <c r="BD43" s="22">
        <f ca="1">+GETPIVOTDATA("XBT4",'binhtrung (2016)'!$A$3,"MA_HT","DRA","MA_QH","PNK")</f>
        <v>0</v>
      </c>
      <c r="BE43" s="71">
        <f ca="1">+GETPIVOTDATA("XBT4",'binhtrung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+GETPIVOTDATA("XBT4",'binhtrung (2016)'!$A$3,"MA_HT","ONT","MA_QH","LUC")</f>
        <v>0</v>
      </c>
      <c r="H44" s="22">
        <f ca="1">+GETPIVOTDATA("XBT4",'binhtrung (2016)'!$A$3,"MA_HT","ONT","MA_QH","LUK")</f>
        <v>0</v>
      </c>
      <c r="I44" s="22">
        <f ca="1">+GETPIVOTDATA("XBT4",'binhtrung (2016)'!$A$3,"MA_HT","ONT","MA_QH","LUN")</f>
        <v>0</v>
      </c>
      <c r="J44" s="22">
        <f ca="1">+GETPIVOTDATA("XBT4",'binhtrung (2016)'!$A$3,"MA_HT","ONT","MA_QH","HNK")</f>
        <v>0</v>
      </c>
      <c r="K44" s="22">
        <f ca="1">+GETPIVOTDATA("XBT4",'binhtrung (2016)'!$A$3,"MA_HT","ONT","MA_QH","CLN")</f>
        <v>0</v>
      </c>
      <c r="L44" s="22">
        <f ca="1">+GETPIVOTDATA("XBT4",'binhtrung (2016)'!$A$3,"MA_HT","ONT","MA_QH","RSX")</f>
        <v>0</v>
      </c>
      <c r="M44" s="22">
        <f ca="1">+GETPIVOTDATA("XBT4",'binhtrung (2016)'!$A$3,"MA_HT","ONT","MA_QH","RPH")</f>
        <v>0</v>
      </c>
      <c r="N44" s="22">
        <f ca="1">+GETPIVOTDATA("XBT4",'binhtrung (2016)'!$A$3,"MA_HT","ONT","MA_QH","RDD")</f>
        <v>0</v>
      </c>
      <c r="O44" s="22">
        <f ca="1">+GETPIVOTDATA("XBT4",'binhtrung (2016)'!$A$3,"MA_HT","ONT","MA_QH","NTS")</f>
        <v>0</v>
      </c>
      <c r="P44" s="22">
        <f ca="1">+GETPIVOTDATA("XBT4",'binhtrung (2016)'!$A$3,"MA_HT","ONT","MA_QH","LMU")</f>
        <v>0</v>
      </c>
      <c r="Q44" s="22">
        <f ca="1">+GETPIVOTDATA("XBT4",'binhtrung (2016)'!$A$3,"MA_HT","ONT","MA_QH","NKH")</f>
        <v>0</v>
      </c>
      <c r="R44" s="79">
        <f ca="1">SUM(S44:AA44,AN44:AP44,AR44:BD44)</f>
        <v>0</v>
      </c>
      <c r="S44" s="22">
        <f ca="1">+GETPIVOTDATA("XBT4",'binhtrung (2016)'!$A$3,"MA_HT","ONT","MA_QH","CQP")</f>
        <v>0</v>
      </c>
      <c r="T44" s="22">
        <f ca="1">+GETPIVOTDATA("XBT4",'binhtrung (2016)'!$A$3,"MA_HT","ONT","MA_QH","CAN")</f>
        <v>0</v>
      </c>
      <c r="U44" s="22">
        <f ca="1">+GETPIVOTDATA("XBT4",'binhtrung (2016)'!$A$3,"MA_HT","ONT","MA_QH","SKK")</f>
        <v>0</v>
      </c>
      <c r="V44" s="22">
        <f ca="1">+GETPIVOTDATA("XBT4",'binhtrung (2016)'!$A$3,"MA_HT","ONT","MA_QH","SKT")</f>
        <v>0</v>
      </c>
      <c r="W44" s="22">
        <f ca="1">+GETPIVOTDATA("XBT4",'binhtrung (2016)'!$A$3,"MA_HT","ONT","MA_QH","SKN")</f>
        <v>0</v>
      </c>
      <c r="X44" s="22">
        <f ca="1">+GETPIVOTDATA("XBT4",'binhtrung (2016)'!$A$3,"MA_HT","ONT","MA_QH","TMD")</f>
        <v>0</v>
      </c>
      <c r="Y44" s="22">
        <f ca="1">+GETPIVOTDATA("XBT4",'binhtrung (2016)'!$A$3,"MA_HT","ONT","MA_QH","SKC")</f>
        <v>0</v>
      </c>
      <c r="Z44" s="22">
        <f ca="1">+GETPIVOTDATA("XBT4",'binhtrung (2016)'!$A$3,"MA_HT","ONT","MA_QH","SKS")</f>
        <v>0</v>
      </c>
      <c r="AA44" s="52">
        <f ca="1" t="shared" si="21"/>
        <v>0</v>
      </c>
      <c r="AB44" s="22">
        <f ca="1">+GETPIVOTDATA("XBT4",'binhtrung (2016)'!$A$3,"MA_HT","ONT","MA_QH","DGT")</f>
        <v>0</v>
      </c>
      <c r="AC44" s="22">
        <f ca="1">+GETPIVOTDATA("XBT4",'binhtrung (2016)'!$A$3,"MA_HT","ONT","MA_QH","DTL")</f>
        <v>0</v>
      </c>
      <c r="AD44" s="22">
        <f ca="1">+GETPIVOTDATA("XBT4",'binhtrung (2016)'!$A$3,"MA_HT","ONT","MA_QH","DNL")</f>
        <v>0</v>
      </c>
      <c r="AE44" s="22">
        <f ca="1">+GETPIVOTDATA("XBT4",'binhtrung (2016)'!$A$3,"MA_HT","ONT","MA_QH","DBV")</f>
        <v>0</v>
      </c>
      <c r="AF44" s="22">
        <f ca="1">+GETPIVOTDATA("XBT4",'binhtrung (2016)'!$A$3,"MA_HT","ONT","MA_QH","DVH")</f>
        <v>0</v>
      </c>
      <c r="AG44" s="22">
        <f ca="1">+GETPIVOTDATA("XBT4",'binhtrung (2016)'!$A$3,"MA_HT","ONT","MA_QH","DYT")</f>
        <v>0</v>
      </c>
      <c r="AH44" s="22">
        <f ca="1">+GETPIVOTDATA("XBT4",'binhtrung (2016)'!$A$3,"MA_HT","ONT","MA_QH","DGD")</f>
        <v>0</v>
      </c>
      <c r="AI44" s="22">
        <f ca="1">+GETPIVOTDATA("XBT4",'binhtrung (2016)'!$A$3,"MA_HT","ONT","MA_QH","DTT")</f>
        <v>0</v>
      </c>
      <c r="AJ44" s="22">
        <f ca="1">+GETPIVOTDATA("XBT4",'binhtrung (2016)'!$A$3,"MA_HT","ONT","MA_QH","NCK")</f>
        <v>0</v>
      </c>
      <c r="AK44" s="22">
        <f ca="1">+GETPIVOTDATA("XBT4",'binhtrung (2016)'!$A$3,"MA_HT","ONT","MA_QH","DXH")</f>
        <v>0</v>
      </c>
      <c r="AL44" s="22">
        <f ca="1">+GETPIVOTDATA("XBT4",'binhtrung (2016)'!$A$3,"MA_HT","ONT","MA_QH","DCH")</f>
        <v>0</v>
      </c>
      <c r="AM44" s="22">
        <f ca="1">+GETPIVOTDATA("XBT4",'binhtrung (2016)'!$A$3,"MA_HT","ONT","MA_QH","DKG")</f>
        <v>0</v>
      </c>
      <c r="AN44" s="22">
        <f ca="1">+GETPIVOTDATA("XBT4",'binhtrung (2016)'!$A$3,"MA_HT","ONT","MA_QH","DDT")</f>
        <v>0</v>
      </c>
      <c r="AO44" s="22">
        <f ca="1">+GETPIVOTDATA("XBT4",'binhtrung (2016)'!$A$3,"MA_HT","ONT","MA_QH","DDL")</f>
        <v>0</v>
      </c>
      <c r="AP44" s="22">
        <f ca="1">+GETPIVOTDATA("XBT4",'binhtrung (2016)'!$A$3,"MA_HT","ONT","MA_QH","DRA")</f>
        <v>0</v>
      </c>
      <c r="AQ44" s="43" t="e">
        <f ca="1">$D44-$BF44</f>
        <v>#REF!</v>
      </c>
      <c r="AR44" s="22">
        <f ca="1">+GETPIVOTDATA("XBT4",'binhtrung (2016)'!$A$3,"MA_HT","ONT","MA_QH","ODT")</f>
        <v>0</v>
      </c>
      <c r="AS44" s="22">
        <f ca="1">+GETPIVOTDATA("XBT4",'binhtrung (2016)'!$A$3,"MA_HT","ONT","MA_QH","TSC")</f>
        <v>0</v>
      </c>
      <c r="AT44" s="22">
        <f ca="1">+GETPIVOTDATA("XBT4",'binhtrung (2016)'!$A$3,"MA_HT","ONT","MA_QH","DTS")</f>
        <v>0</v>
      </c>
      <c r="AU44" s="22">
        <f ca="1">+GETPIVOTDATA("XBT4",'binhtrung (2016)'!$A$3,"MA_HT","ONT","MA_QH","DNG")</f>
        <v>0</v>
      </c>
      <c r="AV44" s="22">
        <f ca="1">+GETPIVOTDATA("XBT4",'binhtrung (2016)'!$A$3,"MA_HT","ONT","MA_QH","TON")</f>
        <v>0</v>
      </c>
      <c r="AW44" s="22">
        <f ca="1">+GETPIVOTDATA("XBT4",'binhtrung (2016)'!$A$3,"MA_HT","ONT","MA_QH","NTD")</f>
        <v>0</v>
      </c>
      <c r="AX44" s="22">
        <f ca="1">+GETPIVOTDATA("XBT4",'binhtrung (2016)'!$A$3,"MA_HT","ONT","MA_QH","SKX")</f>
        <v>0</v>
      </c>
      <c r="AY44" s="22">
        <f ca="1">+GETPIVOTDATA("XBT4",'binhtrung (2016)'!$A$3,"MA_HT","ONT","MA_QH","DSH")</f>
        <v>0</v>
      </c>
      <c r="AZ44" s="22">
        <f ca="1">+GETPIVOTDATA("XBT4",'binhtrung (2016)'!$A$3,"MA_HT","ONT","MA_QH","DKV")</f>
        <v>0</v>
      </c>
      <c r="BA44" s="89">
        <f ca="1">+GETPIVOTDATA("XBT4",'binhtrung (2016)'!$A$3,"MA_HT","ONT","MA_QH","TIN")</f>
        <v>0</v>
      </c>
      <c r="BB44" s="50">
        <f ca="1">+GETPIVOTDATA("XBT4",'binhtrung (2016)'!$A$3,"MA_HT","ONT","MA_QH","SON")</f>
        <v>0</v>
      </c>
      <c r="BC44" s="50">
        <f ca="1">+GETPIVOTDATA("XBT4",'binhtrung (2016)'!$A$3,"MA_HT","ONT","MA_QH","MNC")</f>
        <v>0</v>
      </c>
      <c r="BD44" s="22">
        <f ca="1">+GETPIVOTDATA("XBT4",'binhtrung (2016)'!$A$3,"MA_HT","ONT","MA_QH","PNK")</f>
        <v>0</v>
      </c>
      <c r="BE44" s="71">
        <f ca="1">+GETPIVOTDATA("XBT4",'binhtrung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+GETPIVOTDATA("XBT4",'binhtrung (2016)'!$A$3,"MA_HT","ODT","MA_QH","LUC")</f>
        <v>0</v>
      </c>
      <c r="H45" s="67">
        <f ca="1">+GETPIVOTDATA("XBT4",'binhtrung (2016)'!$A$3,"MA_HT","ODT","MA_QH","LUK")</f>
        <v>0</v>
      </c>
      <c r="I45" s="67">
        <f ca="1">+GETPIVOTDATA("XBT4",'binhtrung (2016)'!$A$3,"MA_HT","ODT","MA_QH","LUN")</f>
        <v>0</v>
      </c>
      <c r="J45" s="67">
        <f ca="1">+GETPIVOTDATA("XBT4",'binhtrung (2016)'!$A$3,"MA_HT","ODT","MA_QH","HNK")</f>
        <v>0</v>
      </c>
      <c r="K45" s="67">
        <f ca="1">+GETPIVOTDATA("XBT4",'binhtrung (2016)'!$A$3,"MA_HT","ODT","MA_QH","CLN")</f>
        <v>0</v>
      </c>
      <c r="L45" s="67">
        <f ca="1">+GETPIVOTDATA("XBT4",'binhtrung (2016)'!$A$3,"MA_HT","ODT","MA_QH","RSX")</f>
        <v>0</v>
      </c>
      <c r="M45" s="67">
        <f ca="1">+GETPIVOTDATA("XBT4",'binhtrung (2016)'!$A$3,"MA_HT","ODT","MA_QH","RPH")</f>
        <v>0</v>
      </c>
      <c r="N45" s="67">
        <f ca="1">+GETPIVOTDATA("XBT4",'binhtrung (2016)'!$A$3,"MA_HT","ODT","MA_QH","RDD")</f>
        <v>0</v>
      </c>
      <c r="O45" s="67">
        <f ca="1">+GETPIVOTDATA("XBT4",'binhtrung (2016)'!$A$3,"MA_HT","ODT","MA_QH","NTS")</f>
        <v>0</v>
      </c>
      <c r="P45" s="67">
        <f ca="1">+GETPIVOTDATA("XBT4",'binhtrung (2016)'!$A$3,"MA_HT","ODT","MA_QH","LMU")</f>
        <v>0</v>
      </c>
      <c r="Q45" s="67">
        <f ca="1">+GETPIVOTDATA("XBT4",'binhtrung (2016)'!$A$3,"MA_HT","ODT","MA_QH","NKH")</f>
        <v>0</v>
      </c>
      <c r="R45" s="79">
        <f ca="1">SUM(S45:AA45,AN45:AQ45,AS45:BD45)</f>
        <v>0</v>
      </c>
      <c r="S45" s="67">
        <f ca="1">+GETPIVOTDATA("XBT4",'binhtrung (2016)'!$A$3,"MA_HT","ODT","MA_QH","CQP")</f>
        <v>0</v>
      </c>
      <c r="T45" s="67">
        <f ca="1">+GETPIVOTDATA("XBT4",'binhtrung (2016)'!$A$3,"MA_HT","ODT","MA_QH","CAN")</f>
        <v>0</v>
      </c>
      <c r="U45" s="67">
        <f ca="1">+GETPIVOTDATA("XBT4",'binhtrung (2016)'!$A$3,"MA_HT","ODT","MA_QH","SKK")</f>
        <v>0</v>
      </c>
      <c r="V45" s="67">
        <f ca="1">+GETPIVOTDATA("XBT4",'binhtrung (2016)'!$A$3,"MA_HT","ODT","MA_QH","SKT")</f>
        <v>0</v>
      </c>
      <c r="W45" s="67">
        <f ca="1">+GETPIVOTDATA("XBT4",'binhtrung (2016)'!$A$3,"MA_HT","ODT","MA_QH","SKN")</f>
        <v>0</v>
      </c>
      <c r="X45" s="67">
        <f ca="1">+GETPIVOTDATA("XBT4",'binhtrung (2016)'!$A$3,"MA_HT","ODT","MA_QH","TMD")</f>
        <v>0</v>
      </c>
      <c r="Y45" s="67">
        <f ca="1">+GETPIVOTDATA("XBT4",'binhtrung (2016)'!$A$3,"MA_HT","ODT","MA_QH","SKC")</f>
        <v>0</v>
      </c>
      <c r="Z45" s="67">
        <f ca="1">+GETPIVOTDATA("XBT4",'binhtrung (2016)'!$A$3,"MA_HT","ODT","MA_QH","SKS")</f>
        <v>0</v>
      </c>
      <c r="AA45" s="66">
        <f ca="1" t="shared" si="21"/>
        <v>0</v>
      </c>
      <c r="AB45" s="67">
        <f ca="1">+GETPIVOTDATA("XBT4",'binhtrung (2016)'!$A$3,"MA_HT","ODT","MA_QH","DGT")</f>
        <v>0</v>
      </c>
      <c r="AC45" s="67">
        <f ca="1">+GETPIVOTDATA("XBT4",'binhtrung (2016)'!$A$3,"MA_HT","ODT","MA_QH","DTL")</f>
        <v>0</v>
      </c>
      <c r="AD45" s="67">
        <f ca="1">+GETPIVOTDATA("XBT4",'binhtrung (2016)'!$A$3,"MA_HT","ODT","MA_QH","DNL")</f>
        <v>0</v>
      </c>
      <c r="AE45" s="67">
        <f ca="1">+GETPIVOTDATA("XBT4",'binhtrung (2016)'!$A$3,"MA_HT","ODT","MA_QH","DBV")</f>
        <v>0</v>
      </c>
      <c r="AF45" s="67">
        <f ca="1">+GETPIVOTDATA("XBT4",'binhtrung (2016)'!$A$3,"MA_HT","ODT","MA_QH","DVH")</f>
        <v>0</v>
      </c>
      <c r="AG45" s="67">
        <f ca="1">+GETPIVOTDATA("XBT4",'binhtrung (2016)'!$A$3,"MA_HT","ODT","MA_QH","DYT")</f>
        <v>0</v>
      </c>
      <c r="AH45" s="67">
        <f ca="1">+GETPIVOTDATA("XBT4",'binhtrung (2016)'!$A$3,"MA_HT","ODT","MA_QH","DGD")</f>
        <v>0</v>
      </c>
      <c r="AI45" s="67">
        <f ca="1">+GETPIVOTDATA("XBT4",'binhtrung (2016)'!$A$3,"MA_HT","ODT","MA_QH","DTT")</f>
        <v>0</v>
      </c>
      <c r="AJ45" s="67">
        <f ca="1">+GETPIVOTDATA("XBT4",'binhtrung (2016)'!$A$3,"MA_HT","ODT","MA_QH","NCK")</f>
        <v>0</v>
      </c>
      <c r="AK45" s="67">
        <f ca="1">+GETPIVOTDATA("XBT4",'binhtrung (2016)'!$A$3,"MA_HT","ODT","MA_QH","DXH")</f>
        <v>0</v>
      </c>
      <c r="AL45" s="67">
        <f ca="1">+GETPIVOTDATA("XBT4",'binhtrung (2016)'!$A$3,"MA_HT","ODT","MA_QH","DCH")</f>
        <v>0</v>
      </c>
      <c r="AM45" s="67">
        <f ca="1">+GETPIVOTDATA("XBT4",'binhtrung (2016)'!$A$3,"MA_HT","ODT","MA_QH","DKG")</f>
        <v>0</v>
      </c>
      <c r="AN45" s="67">
        <f ca="1">+GETPIVOTDATA("XBT4",'binhtrung (2016)'!$A$3,"MA_HT","ODT","MA_QH","DDT")</f>
        <v>0</v>
      </c>
      <c r="AO45" s="67">
        <f ca="1">+GETPIVOTDATA("XBT4",'binhtrung (2016)'!$A$3,"MA_HT","ODT","MA_QH","DDL")</f>
        <v>0</v>
      </c>
      <c r="AP45" s="67">
        <f ca="1">+GETPIVOTDATA("XBT4",'binhtrung (2016)'!$A$3,"MA_HT","ODT","MA_QH","DRA")</f>
        <v>0</v>
      </c>
      <c r="AQ45" s="67">
        <f ca="1">+GETPIVOTDATA("XBT4",'binhtrung (2016)'!$A$3,"MA_HT","ODT","MA_QH","ONT")</f>
        <v>0</v>
      </c>
      <c r="AR45" s="82" t="e">
        <f ca="1">$D45-$BF45</f>
        <v>#REF!</v>
      </c>
      <c r="AS45" s="67">
        <f ca="1">+GETPIVOTDATA("XBT4",'binhtrung (2016)'!$A$3,"MA_HT","ODT","MA_QH","TSC")</f>
        <v>0</v>
      </c>
      <c r="AT45" s="67">
        <f ca="1">+GETPIVOTDATA("XBT4",'binhtrung (2016)'!$A$3,"MA_HT","ODT","MA_QH","DTS")</f>
        <v>0</v>
      </c>
      <c r="AU45" s="67">
        <f ca="1">+GETPIVOTDATA("XBT4",'binhtrung (2016)'!$A$3,"MA_HT","ODT","MA_QH","DNG")</f>
        <v>0</v>
      </c>
      <c r="AV45" s="67">
        <f ca="1">+GETPIVOTDATA("XBT4",'binhtrung (2016)'!$A$3,"MA_HT","ODT","MA_QH","TON")</f>
        <v>0</v>
      </c>
      <c r="AW45" s="67">
        <f ca="1">+GETPIVOTDATA("XBT4",'binhtrung (2016)'!$A$3,"MA_HT","ODT","MA_QH","NTD")</f>
        <v>0</v>
      </c>
      <c r="AX45" s="67">
        <f ca="1">+GETPIVOTDATA("XBT4",'binhtrung (2016)'!$A$3,"MA_HT","ODT","MA_QH","SKX")</f>
        <v>0</v>
      </c>
      <c r="AY45" s="67">
        <f ca="1">+GETPIVOTDATA("XBT4",'binhtrung (2016)'!$A$3,"MA_HT","ODT","MA_QH","DSH")</f>
        <v>0</v>
      </c>
      <c r="AZ45" s="67">
        <f ca="1">+GETPIVOTDATA("XBT4",'binhtrung (2016)'!$A$3,"MA_HT","ODT","MA_QH","DKV")</f>
        <v>0</v>
      </c>
      <c r="BA45" s="92">
        <f ca="1">+GETPIVOTDATA("XBT4",'binhtrung (2016)'!$A$3,"MA_HT","ODT","MA_QH","TIN")</f>
        <v>0</v>
      </c>
      <c r="BB45" s="93">
        <f ca="1">+GETPIVOTDATA("XBT4",'binhtrung (2016)'!$A$3,"MA_HT","ODT","MA_QH","SON")</f>
        <v>0</v>
      </c>
      <c r="BC45" s="93">
        <f ca="1">+GETPIVOTDATA("XBT4",'binhtrung (2016)'!$A$3,"MA_HT","ODT","MA_QH","MNC")</f>
        <v>0</v>
      </c>
      <c r="BD45" s="67">
        <f ca="1">+GETPIVOTDATA("XBT4",'binhtrung (2016)'!$A$3,"MA_HT","ODT","MA_QH","PNK")</f>
        <v>0</v>
      </c>
      <c r="BE45" s="116">
        <f ca="1">+GETPIVOTDATA("XBT4",'binhtrung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+GETPIVOTDATA("XBT4",'binhtrung (2016)'!$A$3,"MA_HT","TSC","MA_QH","LUC")</f>
        <v>0</v>
      </c>
      <c r="H46" s="22">
        <f ca="1">+GETPIVOTDATA("XBT4",'binhtrung (2016)'!$A$3,"MA_HT","TSC","MA_QH","LUK")</f>
        <v>0</v>
      </c>
      <c r="I46" s="22">
        <f ca="1">+GETPIVOTDATA("XBT4",'binhtrung (2016)'!$A$3,"MA_HT","TSC","MA_QH","LUN")</f>
        <v>0</v>
      </c>
      <c r="J46" s="22">
        <f ca="1">+GETPIVOTDATA("XBT4",'binhtrung (2016)'!$A$3,"MA_HT","TSC","MA_QH","HNK")</f>
        <v>0</v>
      </c>
      <c r="K46" s="22">
        <f ca="1">+GETPIVOTDATA("XBT4",'binhtrung (2016)'!$A$3,"MA_HT","TSC","MA_QH","CLN")</f>
        <v>0</v>
      </c>
      <c r="L46" s="22">
        <f ca="1">+GETPIVOTDATA("XBT4",'binhtrung (2016)'!$A$3,"MA_HT","TSC","MA_QH","RSX")</f>
        <v>0</v>
      </c>
      <c r="M46" s="22">
        <f ca="1">+GETPIVOTDATA("XBT4",'binhtrung (2016)'!$A$3,"MA_HT","TSC","MA_QH","RPH")</f>
        <v>0</v>
      </c>
      <c r="N46" s="22">
        <f ca="1">+GETPIVOTDATA("XBT4",'binhtrung (2016)'!$A$3,"MA_HT","TSC","MA_QH","RDD")</f>
        <v>0</v>
      </c>
      <c r="O46" s="22">
        <f ca="1">+GETPIVOTDATA("XBT4",'binhtrung (2016)'!$A$3,"MA_HT","TSC","MA_QH","NTS")</f>
        <v>0</v>
      </c>
      <c r="P46" s="22">
        <f ca="1">+GETPIVOTDATA("XBT4",'binhtrung (2016)'!$A$3,"MA_HT","TSC","MA_QH","LMU")</f>
        <v>0</v>
      </c>
      <c r="Q46" s="22">
        <f ca="1">+GETPIVOTDATA("XBT4",'binhtrung (2016)'!$A$3,"MA_HT","TSC","MA_QH","NKH")</f>
        <v>0</v>
      </c>
      <c r="R46" s="48">
        <f ca="1">SUM(S46:AA46,AN46:AR46,AT46:BD46)</f>
        <v>0</v>
      </c>
      <c r="S46" s="22">
        <f ca="1">+GETPIVOTDATA("XBT4",'binhtrung (2016)'!$A$3,"MA_HT","TSC","MA_QH","CQP")</f>
        <v>0</v>
      </c>
      <c r="T46" s="22">
        <f ca="1">+GETPIVOTDATA("XBT4",'binhtrung (2016)'!$A$3,"MA_HT","TSC","MA_QH","CAN")</f>
        <v>0</v>
      </c>
      <c r="U46" s="22">
        <f ca="1">+GETPIVOTDATA("XBT4",'binhtrung (2016)'!$A$3,"MA_HT","TSC","MA_QH","SKK")</f>
        <v>0</v>
      </c>
      <c r="V46" s="22">
        <f ca="1">+GETPIVOTDATA("XBT4",'binhtrung (2016)'!$A$3,"MA_HT","TSC","MA_QH","SKT")</f>
        <v>0</v>
      </c>
      <c r="W46" s="22">
        <f ca="1">+GETPIVOTDATA("XBT4",'binhtrung (2016)'!$A$3,"MA_HT","TSC","MA_QH","SKN")</f>
        <v>0</v>
      </c>
      <c r="X46" s="22">
        <f ca="1">+GETPIVOTDATA("XBT4",'binhtrung (2016)'!$A$3,"MA_HT","TSC","MA_QH","TMD")</f>
        <v>0</v>
      </c>
      <c r="Y46" s="22">
        <f ca="1">+GETPIVOTDATA("XBT4",'binhtrung (2016)'!$A$3,"MA_HT","TSC","MA_QH","SKC")</f>
        <v>0</v>
      </c>
      <c r="Z46" s="22">
        <f ca="1">+GETPIVOTDATA("XBT4",'binhtrung (2016)'!$A$3,"MA_HT","TSC","MA_QH","SKS")</f>
        <v>0</v>
      </c>
      <c r="AA46" s="52">
        <f ca="1" t="shared" si="21"/>
        <v>0</v>
      </c>
      <c r="AB46" s="22">
        <f ca="1">+GETPIVOTDATA("XBT4",'binhtrung (2016)'!$A$3,"MA_HT","TSC","MA_QH","DGT")</f>
        <v>0</v>
      </c>
      <c r="AC46" s="22">
        <f ca="1">+GETPIVOTDATA("XBT4",'binhtrung (2016)'!$A$3,"MA_HT","TSC","MA_QH","DTL")</f>
        <v>0</v>
      </c>
      <c r="AD46" s="22">
        <f ca="1">+GETPIVOTDATA("XBT4",'binhtrung (2016)'!$A$3,"MA_HT","TSC","MA_QH","DNL")</f>
        <v>0</v>
      </c>
      <c r="AE46" s="22">
        <f ca="1">+GETPIVOTDATA("XBT4",'binhtrung (2016)'!$A$3,"MA_HT","TSC","MA_QH","DBV")</f>
        <v>0</v>
      </c>
      <c r="AF46" s="22">
        <f ca="1">+GETPIVOTDATA("XBT4",'binhtrung (2016)'!$A$3,"MA_HT","TSC","MA_QH","DVH")</f>
        <v>0</v>
      </c>
      <c r="AG46" s="22">
        <f ca="1">+GETPIVOTDATA("XBT4",'binhtrung (2016)'!$A$3,"MA_HT","TSC","MA_QH","DYT")</f>
        <v>0</v>
      </c>
      <c r="AH46" s="22">
        <f ca="1">+GETPIVOTDATA("XBT4",'binhtrung (2016)'!$A$3,"MA_HT","TSC","MA_QH","DGD")</f>
        <v>0</v>
      </c>
      <c r="AI46" s="22">
        <f ca="1">+GETPIVOTDATA("XBT4",'binhtrung (2016)'!$A$3,"MA_HT","TSC","MA_QH","DTT")</f>
        <v>0</v>
      </c>
      <c r="AJ46" s="22">
        <f ca="1">+GETPIVOTDATA("XBT4",'binhtrung (2016)'!$A$3,"MA_HT","TSC","MA_QH","NCK")</f>
        <v>0</v>
      </c>
      <c r="AK46" s="22">
        <f ca="1">+GETPIVOTDATA("XBT4",'binhtrung (2016)'!$A$3,"MA_HT","TSC","MA_QH","DXH")</f>
        <v>0</v>
      </c>
      <c r="AL46" s="22">
        <f ca="1">+GETPIVOTDATA("XBT4",'binhtrung (2016)'!$A$3,"MA_HT","TSC","MA_QH","DCH")</f>
        <v>0</v>
      </c>
      <c r="AM46" s="22">
        <f ca="1">+GETPIVOTDATA("XBT4",'binhtrung (2016)'!$A$3,"MA_HT","TSC","MA_QH","DKG")</f>
        <v>0</v>
      </c>
      <c r="AN46" s="22">
        <f ca="1">+GETPIVOTDATA("XBT4",'binhtrung (2016)'!$A$3,"MA_HT","TSC","MA_QH","DDT")</f>
        <v>0</v>
      </c>
      <c r="AO46" s="22">
        <f ca="1">+GETPIVOTDATA("XBT4",'binhtrung (2016)'!$A$3,"MA_HT","TSC","MA_QH","DDL")</f>
        <v>0</v>
      </c>
      <c r="AP46" s="22">
        <f ca="1">+GETPIVOTDATA("XBT4",'binhtrung (2016)'!$A$3,"MA_HT","TSC","MA_QH","DRA")</f>
        <v>0</v>
      </c>
      <c r="AQ46" s="22">
        <f ca="1">+GETPIVOTDATA("XBT4",'binhtrung (2016)'!$A$3,"MA_HT","TSC","MA_QH","ONT")</f>
        <v>0</v>
      </c>
      <c r="AR46" s="22">
        <f ca="1">+GETPIVOTDATA("XBT4",'binhtrung (2016)'!$A$3,"MA_HT","TSC","MA_QH","ODT")</f>
        <v>0</v>
      </c>
      <c r="AS46" s="43" t="e">
        <f ca="1">$D46-$BF46</f>
        <v>#REF!</v>
      </c>
      <c r="AT46" s="22">
        <f ca="1">+GETPIVOTDATA("XBT4",'binhtrung (2016)'!$A$3,"MA_HT","TSC","MA_QH","DTS")</f>
        <v>0</v>
      </c>
      <c r="AU46" s="22">
        <f ca="1">+GETPIVOTDATA("XBT4",'binhtrung (2016)'!$A$3,"MA_HT","TSC","MA_QH","DNG")</f>
        <v>0</v>
      </c>
      <c r="AV46" s="22">
        <f ca="1">+GETPIVOTDATA("XBT4",'binhtrung (2016)'!$A$3,"MA_HT","TSC","MA_QH","TON")</f>
        <v>0</v>
      </c>
      <c r="AW46" s="22">
        <f ca="1">+GETPIVOTDATA("XBT4",'binhtrung (2016)'!$A$3,"MA_HT","TSC","MA_QH","NTD")</f>
        <v>0</v>
      </c>
      <c r="AX46" s="22">
        <f ca="1">+GETPIVOTDATA("XBT4",'binhtrung (2016)'!$A$3,"MA_HT","TSC","MA_QH","SKX")</f>
        <v>0</v>
      </c>
      <c r="AY46" s="22">
        <f ca="1">+GETPIVOTDATA("XBT4",'binhtrung (2016)'!$A$3,"MA_HT","TSC","MA_QH","DSH")</f>
        <v>0</v>
      </c>
      <c r="AZ46" s="22">
        <f ca="1">+GETPIVOTDATA("XBT4",'binhtrung (2016)'!$A$3,"MA_HT","TSC","MA_QH","DKV")</f>
        <v>0</v>
      </c>
      <c r="BA46" s="89">
        <f ca="1">+GETPIVOTDATA("XBT4",'binhtrung (2016)'!$A$3,"MA_HT","TSC","MA_QH","TIN")</f>
        <v>0</v>
      </c>
      <c r="BB46" s="50">
        <f ca="1">+GETPIVOTDATA("XBT4",'binhtrung (2016)'!$A$3,"MA_HT","TSC","MA_QH","SON")</f>
        <v>0</v>
      </c>
      <c r="BC46" s="50">
        <f ca="1">+GETPIVOTDATA("XBT4",'binhtrung (2016)'!$A$3,"MA_HT","TSC","MA_QH","MNC")</f>
        <v>0</v>
      </c>
      <c r="BD46" s="22">
        <f ca="1">+GETPIVOTDATA("XBT4",'binhtrung (2016)'!$A$3,"MA_HT","TSC","MA_QH","PNK")</f>
        <v>0</v>
      </c>
      <c r="BE46" s="71">
        <f ca="1">+GETPIVOTDATA("XBT4",'binhtrung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+GETPIVOTDATA("XBT4",'binhtrung (2016)'!$A$3,"MA_HT","DTS","MA_QH","LUC")</f>
        <v>0</v>
      </c>
      <c r="H47" s="60">
        <f ca="1">+GETPIVOTDATA("XBT4",'binhtrung (2016)'!$A$3,"MA_HT","DTS","MA_QH","LUK")</f>
        <v>0</v>
      </c>
      <c r="I47" s="60">
        <f ca="1">+GETPIVOTDATA("XBT4",'binhtrung (2016)'!$A$3,"MA_HT","DTS","MA_QH","LUN")</f>
        <v>0</v>
      </c>
      <c r="J47" s="60">
        <f ca="1">+GETPIVOTDATA("XBT4",'binhtrung (2016)'!$A$3,"MA_HT","DTS","MA_QH","HNK")</f>
        <v>0</v>
      </c>
      <c r="K47" s="60">
        <f ca="1">+GETPIVOTDATA("XBT4",'binhtrung (2016)'!$A$3,"MA_HT","DTS","MA_QH","CLN")</f>
        <v>0</v>
      </c>
      <c r="L47" s="60">
        <f ca="1">+GETPIVOTDATA("XBT4",'binhtrung (2016)'!$A$3,"MA_HT","DTS","MA_QH","RSX")</f>
        <v>0</v>
      </c>
      <c r="M47" s="60">
        <f ca="1">+GETPIVOTDATA("XBT4",'binhtrung (2016)'!$A$3,"MA_HT","DTS","MA_QH","RPH")</f>
        <v>0</v>
      </c>
      <c r="N47" s="60">
        <f ca="1">+GETPIVOTDATA("XBT4",'binhtrung (2016)'!$A$3,"MA_HT","DTS","MA_QH","RDD")</f>
        <v>0</v>
      </c>
      <c r="O47" s="60">
        <f ca="1">+GETPIVOTDATA("XBT4",'binhtrung (2016)'!$A$3,"MA_HT","DTS","MA_QH","NTS")</f>
        <v>0</v>
      </c>
      <c r="P47" s="60">
        <f ca="1">+GETPIVOTDATA("XBT4",'binhtrung (2016)'!$A$3,"MA_HT","DTS","MA_QH","LMU")</f>
        <v>0</v>
      </c>
      <c r="Q47" s="60">
        <f ca="1">+GETPIVOTDATA("XBT4",'binhtrung (2016)'!$A$3,"MA_HT","DTS","MA_QH","NKH")</f>
        <v>0</v>
      </c>
      <c r="R47" s="78">
        <f ca="1">SUM(S47:AA47,AN47:AS47,AU47:BD47)</f>
        <v>0</v>
      </c>
      <c r="S47" s="60">
        <f ca="1">+GETPIVOTDATA("XBT4",'binhtrung (2016)'!$A$3,"MA_HT","DTS","MA_QH","CQP")</f>
        <v>0</v>
      </c>
      <c r="T47" s="60">
        <f ca="1">+GETPIVOTDATA("XBT4",'binhtrung (2016)'!$A$3,"MA_HT","DTS","MA_QH","CAN")</f>
        <v>0</v>
      </c>
      <c r="U47" s="60">
        <f ca="1">+GETPIVOTDATA("XBT4",'binhtrung (2016)'!$A$3,"MA_HT","DTS","MA_QH","SKK")</f>
        <v>0</v>
      </c>
      <c r="V47" s="60">
        <f ca="1">+GETPIVOTDATA("XBT4",'binhtrung (2016)'!$A$3,"MA_HT","DTS","MA_QH","SKT")</f>
        <v>0</v>
      </c>
      <c r="W47" s="60">
        <f ca="1">+GETPIVOTDATA("XBT4",'binhtrung (2016)'!$A$3,"MA_HT","DTS","MA_QH","SKN")</f>
        <v>0</v>
      </c>
      <c r="X47" s="60">
        <f ca="1">+GETPIVOTDATA("XBT4",'binhtrung (2016)'!$A$3,"MA_HT","DTS","MA_QH","TMD")</f>
        <v>0</v>
      </c>
      <c r="Y47" s="60">
        <f ca="1">+GETPIVOTDATA("XBT4",'binhtrung (2016)'!$A$3,"MA_HT","DTS","MA_QH","SKC")</f>
        <v>0</v>
      </c>
      <c r="Z47" s="60">
        <f ca="1">+GETPIVOTDATA("XBT4",'binhtrung (2016)'!$A$3,"MA_HT","DTS","MA_QH","SKS")</f>
        <v>0</v>
      </c>
      <c r="AA47" s="59">
        <f ca="1" t="shared" si="21"/>
        <v>0</v>
      </c>
      <c r="AB47" s="60">
        <f ca="1">+GETPIVOTDATA("XBT4",'binhtrung (2016)'!$A$3,"MA_HT","DTS","MA_QH","DGT")</f>
        <v>0</v>
      </c>
      <c r="AC47" s="60">
        <f ca="1">+GETPIVOTDATA("XBT4",'binhtrung (2016)'!$A$3,"MA_HT","DTS","MA_QH","DTL")</f>
        <v>0</v>
      </c>
      <c r="AD47" s="60">
        <f ca="1">+GETPIVOTDATA("XBT4",'binhtrung (2016)'!$A$3,"MA_HT","DTS","MA_QH","DNL")</f>
        <v>0</v>
      </c>
      <c r="AE47" s="60">
        <f ca="1">+GETPIVOTDATA("XBT4",'binhtrung (2016)'!$A$3,"MA_HT","DTS","MA_QH","DBV")</f>
        <v>0</v>
      </c>
      <c r="AF47" s="60">
        <f ca="1">+GETPIVOTDATA("XBT4",'binhtrung (2016)'!$A$3,"MA_HT","DTS","MA_QH","DVH")</f>
        <v>0</v>
      </c>
      <c r="AG47" s="60">
        <f ca="1">+GETPIVOTDATA("XBT4",'binhtrung (2016)'!$A$3,"MA_HT","DTS","MA_QH","DYT")</f>
        <v>0</v>
      </c>
      <c r="AH47" s="60">
        <f ca="1">+GETPIVOTDATA("XBT4",'binhtrung (2016)'!$A$3,"MA_HT","DTS","MA_QH","DGD")</f>
        <v>0</v>
      </c>
      <c r="AI47" s="60">
        <f ca="1">+GETPIVOTDATA("XBT4",'binhtrung (2016)'!$A$3,"MA_HT","DTS","MA_QH","DTT")</f>
        <v>0</v>
      </c>
      <c r="AJ47" s="60">
        <f ca="1">+GETPIVOTDATA("XBT4",'binhtrung (2016)'!$A$3,"MA_HT","DTS","MA_QH","NCK")</f>
        <v>0</v>
      </c>
      <c r="AK47" s="60">
        <f ca="1">+GETPIVOTDATA("XBT4",'binhtrung (2016)'!$A$3,"MA_HT","DTS","MA_QH","DXH")</f>
        <v>0</v>
      </c>
      <c r="AL47" s="60">
        <f ca="1">+GETPIVOTDATA("XBT4",'binhtrung (2016)'!$A$3,"MA_HT","DTS","MA_QH","DCH")</f>
        <v>0</v>
      </c>
      <c r="AM47" s="60">
        <f ca="1">+GETPIVOTDATA("XBT4",'binhtrung (2016)'!$A$3,"MA_HT","DTS","MA_QH","DKG")</f>
        <v>0</v>
      </c>
      <c r="AN47" s="60">
        <f ca="1">+GETPIVOTDATA("XBT4",'binhtrung (2016)'!$A$3,"MA_HT","DTS","MA_QH","DDT")</f>
        <v>0</v>
      </c>
      <c r="AO47" s="60">
        <f ca="1">+GETPIVOTDATA("XBT4",'binhtrung (2016)'!$A$3,"MA_HT","DTS","MA_QH","DDL")</f>
        <v>0</v>
      </c>
      <c r="AP47" s="60">
        <f ca="1">+GETPIVOTDATA("XBT4",'binhtrung (2016)'!$A$3,"MA_HT","DTS","MA_QH","DRA")</f>
        <v>0</v>
      </c>
      <c r="AQ47" s="60">
        <f ca="1">+GETPIVOTDATA("XBT4",'binhtrung (2016)'!$A$3,"MA_HT","DTS","MA_QH","ONT")</f>
        <v>0</v>
      </c>
      <c r="AR47" s="60">
        <f ca="1">+GETPIVOTDATA("XBT4",'binhtrung (2016)'!$A$3,"MA_HT","DTS","MA_QH","ODT")</f>
        <v>0</v>
      </c>
      <c r="AS47" s="60">
        <f ca="1">+GETPIVOTDATA("XBT4",'binhtrung (2016)'!$A$3,"MA_HT","DTS","MA_QH","TSC")</f>
        <v>0</v>
      </c>
      <c r="AT47" s="81" t="e">
        <f ca="1">$D47-$BF47</f>
        <v>#REF!</v>
      </c>
      <c r="AU47" s="60">
        <f ca="1">+GETPIVOTDATA("XBT4",'binhtrung (2016)'!$A$3,"MA_HT","DTS","MA_QH","DNG")</f>
        <v>0</v>
      </c>
      <c r="AV47" s="60">
        <f ca="1">+GETPIVOTDATA("XBT4",'binhtrung (2016)'!$A$3,"MA_HT","DTS","MA_QH","TON")</f>
        <v>0</v>
      </c>
      <c r="AW47" s="60">
        <f ca="1">+GETPIVOTDATA("XBT4",'binhtrung (2016)'!$A$3,"MA_HT","DTS","MA_QH","NTD")</f>
        <v>0</v>
      </c>
      <c r="AX47" s="60">
        <f ca="1">+GETPIVOTDATA("XBT4",'binhtrung (2016)'!$A$3,"MA_HT","DTS","MA_QH","SKX")</f>
        <v>0</v>
      </c>
      <c r="AY47" s="60">
        <f ca="1">+GETPIVOTDATA("XBT4",'binhtrung (2016)'!$A$3,"MA_HT","DTS","MA_QH","DSH")</f>
        <v>0</v>
      </c>
      <c r="AZ47" s="60">
        <f ca="1">+GETPIVOTDATA("XBT4",'binhtrung (2016)'!$A$3,"MA_HT","DTS","MA_QH","DKV")</f>
        <v>0</v>
      </c>
      <c r="BA47" s="90">
        <f ca="1">+GETPIVOTDATA("XBT4",'binhtrung (2016)'!$A$3,"MA_HT","DTS","MA_QH","TIN")</f>
        <v>0</v>
      </c>
      <c r="BB47" s="91">
        <f ca="1">+GETPIVOTDATA("XBT4",'binhtrung (2016)'!$A$3,"MA_HT","DTS","MA_QH","SON")</f>
        <v>0</v>
      </c>
      <c r="BC47" s="91">
        <f ca="1">+GETPIVOTDATA("XBT4",'binhtrung (2016)'!$A$3,"MA_HT","DTS","MA_QH","MNC")</f>
        <v>0</v>
      </c>
      <c r="BD47" s="60">
        <f ca="1">+GETPIVOTDATA("XBT4",'binhtrung (2016)'!$A$3,"MA_HT","DTS","MA_QH","PNK")</f>
        <v>0</v>
      </c>
      <c r="BE47" s="111">
        <f ca="1">+GETPIVOTDATA("XBT4",'binhtrung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+GETPIVOTDATA("XBT4",'binhtrung (2016)'!$A$3,"MA_HT","DNG","MA_QH","LUC")</f>
        <v>0</v>
      </c>
      <c r="H48" s="22">
        <f ca="1">+GETPIVOTDATA("XBT4",'binhtrung (2016)'!$A$3,"MA_HT","DNG","MA_QH","LUK")</f>
        <v>0</v>
      </c>
      <c r="I48" s="22">
        <f ca="1">+GETPIVOTDATA("XBT4",'binhtrung (2016)'!$A$3,"MA_HT","DNG","MA_QH","LUN")</f>
        <v>0</v>
      </c>
      <c r="J48" s="22">
        <f ca="1">+GETPIVOTDATA("XBT4",'binhtrung (2016)'!$A$3,"MA_HT","DNG","MA_QH","HNK")</f>
        <v>0</v>
      </c>
      <c r="K48" s="22">
        <f ca="1">+GETPIVOTDATA("XBT4",'binhtrung (2016)'!$A$3,"MA_HT","DNG","MA_QH","CLN")</f>
        <v>0</v>
      </c>
      <c r="L48" s="22">
        <f ca="1">+GETPIVOTDATA("XBT4",'binhtrung (2016)'!$A$3,"MA_HT","DNG","MA_QH","RSX")</f>
        <v>0</v>
      </c>
      <c r="M48" s="22">
        <f ca="1">+GETPIVOTDATA("XBT4",'binhtrung (2016)'!$A$3,"MA_HT","DNG","MA_QH","RPH")</f>
        <v>0</v>
      </c>
      <c r="N48" s="22">
        <f ca="1">+GETPIVOTDATA("XBT4",'binhtrung (2016)'!$A$3,"MA_HT","DNG","MA_QH","RDD")</f>
        <v>0</v>
      </c>
      <c r="O48" s="22">
        <f ca="1">+GETPIVOTDATA("XBT4",'binhtrung (2016)'!$A$3,"MA_HT","DNG","MA_QH","NTS")</f>
        <v>0</v>
      </c>
      <c r="P48" s="22">
        <f ca="1">+GETPIVOTDATA("XBT4",'binhtrung (2016)'!$A$3,"MA_HT","DNG","MA_QH","LMU")</f>
        <v>0</v>
      </c>
      <c r="Q48" s="22">
        <f ca="1">+GETPIVOTDATA("XBT4",'binhtrung (2016)'!$A$3,"MA_HT","DNG","MA_QH","NKH")</f>
        <v>0</v>
      </c>
      <c r="R48" s="79">
        <f ca="1">SUM(S48:AA48,AN48:AT48,AV48:BD48)</f>
        <v>0</v>
      </c>
      <c r="S48" s="22">
        <f ca="1">+GETPIVOTDATA("XBT4",'binhtrung (2016)'!$A$3,"MA_HT","DNG","MA_QH","CQP")</f>
        <v>0</v>
      </c>
      <c r="T48" s="22">
        <f ca="1">+GETPIVOTDATA("XBT4",'binhtrung (2016)'!$A$3,"MA_HT","DNG","MA_QH","CAN")</f>
        <v>0</v>
      </c>
      <c r="U48" s="22">
        <f ca="1">+GETPIVOTDATA("XBT4",'binhtrung (2016)'!$A$3,"MA_HT","DNG","MA_QH","SKK")</f>
        <v>0</v>
      </c>
      <c r="V48" s="22">
        <f ca="1">+GETPIVOTDATA("XBT4",'binhtrung (2016)'!$A$3,"MA_HT","DNG","MA_QH","SKT")</f>
        <v>0</v>
      </c>
      <c r="W48" s="22">
        <f ca="1">+GETPIVOTDATA("XBT4",'binhtrung (2016)'!$A$3,"MA_HT","DNG","MA_QH","SKN")</f>
        <v>0</v>
      </c>
      <c r="X48" s="22">
        <f ca="1">+GETPIVOTDATA("XBT4",'binhtrung (2016)'!$A$3,"MA_HT","DNG","MA_QH","TMD")</f>
        <v>0</v>
      </c>
      <c r="Y48" s="22">
        <f ca="1">+GETPIVOTDATA("XBT4",'binhtrung (2016)'!$A$3,"MA_HT","DNG","MA_QH","SKC")</f>
        <v>0</v>
      </c>
      <c r="Z48" s="22">
        <f ca="1">+GETPIVOTDATA("XBT4",'binhtrung (2016)'!$A$3,"MA_HT","DNG","MA_QH","SKS")</f>
        <v>0</v>
      </c>
      <c r="AA48" s="52">
        <f ca="1" t="shared" si="21"/>
        <v>0</v>
      </c>
      <c r="AB48" s="22">
        <f ca="1">+GETPIVOTDATA("XBT4",'binhtrung (2016)'!$A$3,"MA_HT","DNG","MA_QH","DGT")</f>
        <v>0</v>
      </c>
      <c r="AC48" s="22">
        <f ca="1">+GETPIVOTDATA("XBT4",'binhtrung (2016)'!$A$3,"MA_HT","DNG","MA_QH","DTL")</f>
        <v>0</v>
      </c>
      <c r="AD48" s="22">
        <f ca="1">+GETPIVOTDATA("XBT4",'binhtrung (2016)'!$A$3,"MA_HT","DNG","MA_QH","DNL")</f>
        <v>0</v>
      </c>
      <c r="AE48" s="22">
        <f ca="1">+GETPIVOTDATA("XBT4",'binhtrung (2016)'!$A$3,"MA_HT","DNG","MA_QH","DBV")</f>
        <v>0</v>
      </c>
      <c r="AF48" s="22">
        <f ca="1">+GETPIVOTDATA("XBT4",'binhtrung (2016)'!$A$3,"MA_HT","DNG","MA_QH","DVH")</f>
        <v>0</v>
      </c>
      <c r="AG48" s="22">
        <f ca="1">+GETPIVOTDATA("XBT4",'binhtrung (2016)'!$A$3,"MA_HT","DNG","MA_QH","DYT")</f>
        <v>0</v>
      </c>
      <c r="AH48" s="22">
        <f ca="1">+GETPIVOTDATA("XBT4",'binhtrung (2016)'!$A$3,"MA_HT","DNG","MA_QH","DGD")</f>
        <v>0</v>
      </c>
      <c r="AI48" s="22">
        <f ca="1">+GETPIVOTDATA("XBT4",'binhtrung (2016)'!$A$3,"MA_HT","DNG","MA_QH","DTT")</f>
        <v>0</v>
      </c>
      <c r="AJ48" s="22">
        <f ca="1">+GETPIVOTDATA("XBT4",'binhtrung (2016)'!$A$3,"MA_HT","DNG","MA_QH","NCK")</f>
        <v>0</v>
      </c>
      <c r="AK48" s="22">
        <f ca="1">+GETPIVOTDATA("XBT4",'binhtrung (2016)'!$A$3,"MA_HT","DNG","MA_QH","DXH")</f>
        <v>0</v>
      </c>
      <c r="AL48" s="22">
        <f ca="1">+GETPIVOTDATA("XBT4",'binhtrung (2016)'!$A$3,"MA_HT","DNG","MA_QH","DCH")</f>
        <v>0</v>
      </c>
      <c r="AM48" s="22">
        <f ca="1">+GETPIVOTDATA("XBT4",'binhtrung (2016)'!$A$3,"MA_HT","DNG","MA_QH","DKG")</f>
        <v>0</v>
      </c>
      <c r="AN48" s="22">
        <f ca="1">+GETPIVOTDATA("XBT4",'binhtrung (2016)'!$A$3,"MA_HT","DNG","MA_QH","DDT")</f>
        <v>0</v>
      </c>
      <c r="AO48" s="22">
        <f ca="1">+GETPIVOTDATA("XBT4",'binhtrung (2016)'!$A$3,"MA_HT","DNG","MA_QH","DDL")</f>
        <v>0</v>
      </c>
      <c r="AP48" s="22">
        <f ca="1">+GETPIVOTDATA("XBT4",'binhtrung (2016)'!$A$3,"MA_HT","DNG","MA_QH","DRA")</f>
        <v>0</v>
      </c>
      <c r="AQ48" s="22">
        <f ca="1">+GETPIVOTDATA("XBT4",'binhtrung (2016)'!$A$3,"MA_HT","DNG","MA_QH","ONT")</f>
        <v>0</v>
      </c>
      <c r="AR48" s="22">
        <f ca="1">+GETPIVOTDATA("XBT4",'binhtrung (2016)'!$A$3,"MA_HT","DNG","MA_QH","ODT")</f>
        <v>0</v>
      </c>
      <c r="AS48" s="22">
        <f ca="1">+GETPIVOTDATA("XBT4",'binhtrung (2016)'!$A$3,"MA_HT","DNG","MA_QH","TSC")</f>
        <v>0</v>
      </c>
      <c r="AT48" s="22">
        <f ca="1">+GETPIVOTDATA("XBT4",'binhtrung (2016)'!$A$3,"MA_HT","DNG","MA_QH","DTS")</f>
        <v>0</v>
      </c>
      <c r="AU48" s="43" t="e">
        <f ca="1">$D48-$BF48</f>
        <v>#REF!</v>
      </c>
      <c r="AV48" s="22">
        <f ca="1">+GETPIVOTDATA("XBT4",'binhtrung (2016)'!$A$3,"MA_HT","DNG","MA_QH","TON")</f>
        <v>0</v>
      </c>
      <c r="AW48" s="22">
        <f ca="1">+GETPIVOTDATA("XBT4",'binhtrung (2016)'!$A$3,"MA_HT","DNG","MA_QH","NTD")</f>
        <v>0</v>
      </c>
      <c r="AX48" s="22">
        <f ca="1">+GETPIVOTDATA("XBT4",'binhtrung (2016)'!$A$3,"MA_HT","DNG","MA_QH","SKX")</f>
        <v>0</v>
      </c>
      <c r="AY48" s="22">
        <f ca="1">+GETPIVOTDATA("XBT4",'binhtrung (2016)'!$A$3,"MA_HT","DNG","MA_QH","DSH")</f>
        <v>0</v>
      </c>
      <c r="AZ48" s="22">
        <f ca="1">+GETPIVOTDATA("XBT4",'binhtrung (2016)'!$A$3,"MA_HT","DNG","MA_QH","DKV")</f>
        <v>0</v>
      </c>
      <c r="BA48" s="89">
        <f ca="1">+GETPIVOTDATA("XBT4",'binhtrung (2016)'!$A$3,"MA_HT","DNG","MA_QH","TIN")</f>
        <v>0</v>
      </c>
      <c r="BB48" s="50">
        <f ca="1">+GETPIVOTDATA("XBT4",'binhtrung (2016)'!$A$3,"MA_HT","DNG","MA_QH","SON")</f>
        <v>0</v>
      </c>
      <c r="BC48" s="50">
        <f ca="1">+GETPIVOTDATA("XBT4",'binhtrung (2016)'!$A$3,"MA_HT","DNG","MA_QH","MNC")</f>
        <v>0</v>
      </c>
      <c r="BD48" s="22">
        <f ca="1">+GETPIVOTDATA("XBT4",'binhtrung (2016)'!$A$3,"MA_HT","DNG","MA_QH","PNK")</f>
        <v>0</v>
      </c>
      <c r="BE48" s="71">
        <f ca="1">+GETPIVOTDATA("XBT4",'binhtrung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+GETPIVOTDATA("XBT4",'binhtrung (2016)'!$A$3,"MA_HT","TON","MA_QH","LUC")</f>
        <v>0</v>
      </c>
      <c r="H49" s="22">
        <f ca="1">+GETPIVOTDATA("XBT4",'binhtrung (2016)'!$A$3,"MA_HT","TON","MA_QH","LUK")</f>
        <v>0</v>
      </c>
      <c r="I49" s="22">
        <f ca="1">+GETPIVOTDATA("XBT4",'binhtrung (2016)'!$A$3,"MA_HT","TON","MA_QH","LUN")</f>
        <v>0</v>
      </c>
      <c r="J49" s="22">
        <f ca="1">+GETPIVOTDATA("XBT4",'binhtrung (2016)'!$A$3,"MA_HT","TON","MA_QH","HNK")</f>
        <v>0</v>
      </c>
      <c r="K49" s="22">
        <f ca="1">+GETPIVOTDATA("XBT4",'binhtrung (2016)'!$A$3,"MA_HT","TON","MA_QH","CLN")</f>
        <v>0</v>
      </c>
      <c r="L49" s="22">
        <f ca="1">+GETPIVOTDATA("XBT4",'binhtrung (2016)'!$A$3,"MA_HT","TON","MA_QH","RSX")</f>
        <v>0</v>
      </c>
      <c r="M49" s="22">
        <f ca="1">+GETPIVOTDATA("XBT4",'binhtrung (2016)'!$A$3,"MA_HT","TON","MA_QH","RPH")</f>
        <v>0</v>
      </c>
      <c r="N49" s="22">
        <f ca="1">+GETPIVOTDATA("XBT4",'binhtrung (2016)'!$A$3,"MA_HT","TON","MA_QH","RDD")</f>
        <v>0</v>
      </c>
      <c r="O49" s="22">
        <f ca="1">+GETPIVOTDATA("XBT4",'binhtrung (2016)'!$A$3,"MA_HT","TON","MA_QH","NTS")</f>
        <v>0</v>
      </c>
      <c r="P49" s="22">
        <f ca="1">+GETPIVOTDATA("XBT4",'binhtrung (2016)'!$A$3,"MA_HT","TON","MA_QH","LMU")</f>
        <v>0</v>
      </c>
      <c r="Q49" s="22">
        <f ca="1">+GETPIVOTDATA("XBT4",'binhtrung (2016)'!$A$3,"MA_HT","TON","MA_QH","NKH")</f>
        <v>0</v>
      </c>
      <c r="R49" s="79">
        <f ca="1">SUM(S49:AA49,AN49:AU49,AW49:BD49)</f>
        <v>0</v>
      </c>
      <c r="S49" s="22">
        <f ca="1">+GETPIVOTDATA("XBT4",'binhtrung (2016)'!$A$3,"MA_HT","TON","MA_QH","CQP")</f>
        <v>0</v>
      </c>
      <c r="T49" s="22">
        <f ca="1">+GETPIVOTDATA("XBT4",'binhtrung (2016)'!$A$3,"MA_HT","TON","MA_QH","CAN")</f>
        <v>0</v>
      </c>
      <c r="U49" s="22">
        <f ca="1">+GETPIVOTDATA("XBT4",'binhtrung (2016)'!$A$3,"MA_HT","TON","MA_QH","SKK")</f>
        <v>0</v>
      </c>
      <c r="V49" s="22">
        <f ca="1">+GETPIVOTDATA("XBT4",'binhtrung (2016)'!$A$3,"MA_HT","TON","MA_QH","SKT")</f>
        <v>0</v>
      </c>
      <c r="W49" s="22">
        <f ca="1">+GETPIVOTDATA("XBT4",'binhtrung (2016)'!$A$3,"MA_HT","TON","MA_QH","SKN")</f>
        <v>0</v>
      </c>
      <c r="X49" s="22">
        <f ca="1">+GETPIVOTDATA("XBT4",'binhtrung (2016)'!$A$3,"MA_HT","TON","MA_QH","TMD")</f>
        <v>0</v>
      </c>
      <c r="Y49" s="22">
        <f ca="1">+GETPIVOTDATA("XBT4",'binhtrung (2016)'!$A$3,"MA_HT","TON","MA_QH","SKC")</f>
        <v>0</v>
      </c>
      <c r="Z49" s="22">
        <f ca="1">+GETPIVOTDATA("XBT4",'binhtrung (2016)'!$A$3,"MA_HT","TON","MA_QH","SKS")</f>
        <v>0</v>
      </c>
      <c r="AA49" s="52">
        <f ca="1" t="shared" si="21"/>
        <v>0</v>
      </c>
      <c r="AB49" s="22">
        <f ca="1">+GETPIVOTDATA("XBT4",'binhtrung (2016)'!$A$3,"MA_HT","TON","MA_QH","DGT")</f>
        <v>0</v>
      </c>
      <c r="AC49" s="22">
        <f ca="1">+GETPIVOTDATA("XBT4",'binhtrung (2016)'!$A$3,"MA_HT","TON","MA_QH","DTL")</f>
        <v>0</v>
      </c>
      <c r="AD49" s="22">
        <f ca="1">+GETPIVOTDATA("XBT4",'binhtrung (2016)'!$A$3,"MA_HT","TON","MA_QH","DNL")</f>
        <v>0</v>
      </c>
      <c r="AE49" s="22">
        <f ca="1">+GETPIVOTDATA("XBT4",'binhtrung (2016)'!$A$3,"MA_HT","TON","MA_QH","DBV")</f>
        <v>0</v>
      </c>
      <c r="AF49" s="22">
        <f ca="1">+GETPIVOTDATA("XBT4",'binhtrung (2016)'!$A$3,"MA_HT","TON","MA_QH","DVH")</f>
        <v>0</v>
      </c>
      <c r="AG49" s="22">
        <f ca="1">+GETPIVOTDATA("XBT4",'binhtrung (2016)'!$A$3,"MA_HT","TON","MA_QH","DYT")</f>
        <v>0</v>
      </c>
      <c r="AH49" s="22">
        <f ca="1">+GETPIVOTDATA("XBT4",'binhtrung (2016)'!$A$3,"MA_HT","TON","MA_QH","DGD")</f>
        <v>0</v>
      </c>
      <c r="AI49" s="22">
        <f ca="1">+GETPIVOTDATA("XBT4",'binhtrung (2016)'!$A$3,"MA_HT","TON","MA_QH","DTT")</f>
        <v>0</v>
      </c>
      <c r="AJ49" s="22">
        <f ca="1">+GETPIVOTDATA("XBT4",'binhtrung (2016)'!$A$3,"MA_HT","TON","MA_QH","NCK")</f>
        <v>0</v>
      </c>
      <c r="AK49" s="22">
        <f ca="1">+GETPIVOTDATA("XBT4",'binhtrung (2016)'!$A$3,"MA_HT","TON","MA_QH","DXH")</f>
        <v>0</v>
      </c>
      <c r="AL49" s="22">
        <f ca="1">+GETPIVOTDATA("XBT4",'binhtrung (2016)'!$A$3,"MA_HT","TON","MA_QH","DCH")</f>
        <v>0</v>
      </c>
      <c r="AM49" s="22">
        <f ca="1">+GETPIVOTDATA("XBT4",'binhtrung (2016)'!$A$3,"MA_HT","TON","MA_QH","DKG")</f>
        <v>0</v>
      </c>
      <c r="AN49" s="22">
        <f ca="1">+GETPIVOTDATA("XBT4",'binhtrung (2016)'!$A$3,"MA_HT","TON","MA_QH","DDT")</f>
        <v>0</v>
      </c>
      <c r="AO49" s="22">
        <f ca="1">+GETPIVOTDATA("XBT4",'binhtrung (2016)'!$A$3,"MA_HT","TON","MA_QH","DDL")</f>
        <v>0</v>
      </c>
      <c r="AP49" s="22">
        <f ca="1">+GETPIVOTDATA("XBT4",'binhtrung (2016)'!$A$3,"MA_HT","TON","MA_QH","DRA")</f>
        <v>0</v>
      </c>
      <c r="AQ49" s="22">
        <f ca="1">+GETPIVOTDATA("XBT4",'binhtrung (2016)'!$A$3,"MA_HT","TON","MA_QH","ONT")</f>
        <v>0</v>
      </c>
      <c r="AR49" s="22">
        <f ca="1">+GETPIVOTDATA("XBT4",'binhtrung (2016)'!$A$3,"MA_HT","TON","MA_QH","ODT")</f>
        <v>0</v>
      </c>
      <c r="AS49" s="22">
        <f ca="1">+GETPIVOTDATA("XBT4",'binhtrung (2016)'!$A$3,"MA_HT","TON","MA_QH","TSC")</f>
        <v>0</v>
      </c>
      <c r="AT49" s="22">
        <f ca="1">+GETPIVOTDATA("XBT4",'binhtrung (2016)'!$A$3,"MA_HT","TON","MA_QH","DTS")</f>
        <v>0</v>
      </c>
      <c r="AU49" s="22">
        <f ca="1">+GETPIVOTDATA("XBT4",'binhtrung (2016)'!$A$3,"MA_HT","TON","MA_QH","DNG")</f>
        <v>0</v>
      </c>
      <c r="AV49" s="43" t="e">
        <f ca="1">$D49-$BF49</f>
        <v>#REF!</v>
      </c>
      <c r="AW49" s="22">
        <f ca="1">+GETPIVOTDATA("XBT4",'binhtrung (2016)'!$A$3,"MA_HT","TON","MA_QH","NTD")</f>
        <v>0</v>
      </c>
      <c r="AX49" s="22">
        <f ca="1">+GETPIVOTDATA("XBT4",'binhtrung (2016)'!$A$3,"MA_HT","TON","MA_QH","SKX")</f>
        <v>0</v>
      </c>
      <c r="AY49" s="22">
        <f ca="1">+GETPIVOTDATA("XBT4",'binhtrung (2016)'!$A$3,"MA_HT","TON","MA_QH","DSH")</f>
        <v>0</v>
      </c>
      <c r="AZ49" s="22">
        <f ca="1">+GETPIVOTDATA("XBT4",'binhtrung (2016)'!$A$3,"MA_HT","TON","MA_QH","DKV")</f>
        <v>0</v>
      </c>
      <c r="BA49" s="89">
        <f ca="1">+GETPIVOTDATA("XBT4",'binhtrung (2016)'!$A$3,"MA_HT","TON","MA_QH","TIN")</f>
        <v>0</v>
      </c>
      <c r="BB49" s="50">
        <f ca="1">+GETPIVOTDATA("XBT4",'binhtrung (2016)'!$A$3,"MA_HT","TON","MA_QH","SON")</f>
        <v>0</v>
      </c>
      <c r="BC49" s="50">
        <f ca="1">+GETPIVOTDATA("XBT4",'binhtrung (2016)'!$A$3,"MA_HT","TON","MA_QH","MNC")</f>
        <v>0</v>
      </c>
      <c r="BD49" s="22">
        <f ca="1">+GETPIVOTDATA("XBT4",'binhtrung (2016)'!$A$3,"MA_HT","TON","MA_QH","PNK")</f>
        <v>0</v>
      </c>
      <c r="BE49" s="71">
        <f ca="1">+GETPIVOTDATA("XBT4",'binhtrung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+GETPIVOTDATA("XBT4",'binhtrung (2016)'!$A$3,"MA_HT","NTD","MA_QH","LUC")</f>
        <v>0</v>
      </c>
      <c r="H50" s="22">
        <f ca="1">+GETPIVOTDATA("XBT4",'binhtrung (2016)'!$A$3,"MA_HT","NTD","MA_QH","LUK")</f>
        <v>0</v>
      </c>
      <c r="I50" s="22">
        <f ca="1">+GETPIVOTDATA("XBT4",'binhtrung (2016)'!$A$3,"MA_HT","NTD","MA_QH","LUN")</f>
        <v>0</v>
      </c>
      <c r="J50" s="22">
        <f ca="1">+GETPIVOTDATA("XBT4",'binhtrung (2016)'!$A$3,"MA_HT","NTD","MA_QH","HNK")</f>
        <v>0</v>
      </c>
      <c r="K50" s="22">
        <f ca="1">+GETPIVOTDATA("XBT4",'binhtrung (2016)'!$A$3,"MA_HT","NTD","MA_QH","CLN")</f>
        <v>0</v>
      </c>
      <c r="L50" s="22">
        <f ca="1">+GETPIVOTDATA("XBT4",'binhtrung (2016)'!$A$3,"MA_HT","NTD","MA_QH","RSX")</f>
        <v>0</v>
      </c>
      <c r="M50" s="22">
        <f ca="1">+GETPIVOTDATA("XBT4",'binhtrung (2016)'!$A$3,"MA_HT","NTD","MA_QH","RPH")</f>
        <v>0</v>
      </c>
      <c r="N50" s="22">
        <f ca="1">+GETPIVOTDATA("XBT4",'binhtrung (2016)'!$A$3,"MA_HT","NTD","MA_QH","RDD")</f>
        <v>0</v>
      </c>
      <c r="O50" s="22">
        <f ca="1">+GETPIVOTDATA("XBT4",'binhtrung (2016)'!$A$3,"MA_HT","NTD","MA_QH","NTS")</f>
        <v>0</v>
      </c>
      <c r="P50" s="22">
        <f ca="1">+GETPIVOTDATA("XBT4",'binhtrung (2016)'!$A$3,"MA_HT","NTD","MA_QH","LMU")</f>
        <v>0</v>
      </c>
      <c r="Q50" s="22">
        <f ca="1">+GETPIVOTDATA("XBT4",'binhtrung (2016)'!$A$3,"MA_HT","NTD","MA_QH","NKH")</f>
        <v>0</v>
      </c>
      <c r="R50" s="79">
        <f ca="1">SUM(S50:AA50,AN50:AV50,AX50:BD50)</f>
        <v>0</v>
      </c>
      <c r="S50" s="22">
        <f ca="1">+GETPIVOTDATA("XBT4",'binhtrung (2016)'!$A$3,"MA_HT","NTD","MA_QH","CQP")</f>
        <v>0</v>
      </c>
      <c r="T50" s="22">
        <f ca="1">+GETPIVOTDATA("XBT4",'binhtrung (2016)'!$A$3,"MA_HT","NTD","MA_QH","CAN")</f>
        <v>0</v>
      </c>
      <c r="U50" s="22">
        <f ca="1">+GETPIVOTDATA("XBT4",'binhtrung (2016)'!$A$3,"MA_HT","NTD","MA_QH","SKK")</f>
        <v>0</v>
      </c>
      <c r="V50" s="22">
        <f ca="1">+GETPIVOTDATA("XBT4",'binhtrung (2016)'!$A$3,"MA_HT","NTD","MA_QH","SKT")</f>
        <v>0</v>
      </c>
      <c r="W50" s="22">
        <f ca="1">+GETPIVOTDATA("XBT4",'binhtrung (2016)'!$A$3,"MA_HT","NTD","MA_QH","SKN")</f>
        <v>0</v>
      </c>
      <c r="X50" s="22">
        <f ca="1">+GETPIVOTDATA("XBT4",'binhtrung (2016)'!$A$3,"MA_HT","NTD","MA_QH","TMD")</f>
        <v>0</v>
      </c>
      <c r="Y50" s="22">
        <f ca="1">+GETPIVOTDATA("XBT4",'binhtrung (2016)'!$A$3,"MA_HT","NTD","MA_QH","SKC")</f>
        <v>0</v>
      </c>
      <c r="Z50" s="22">
        <f ca="1">+GETPIVOTDATA("XBT4",'binhtrung (2016)'!$A$3,"MA_HT","NTD","MA_QH","SKS")</f>
        <v>0</v>
      </c>
      <c r="AA50" s="52">
        <f ca="1" t="shared" si="21"/>
        <v>0</v>
      </c>
      <c r="AB50" s="22">
        <f ca="1">+GETPIVOTDATA("XBT4",'binhtrung (2016)'!$A$3,"MA_HT","NTD","MA_QH","DGT")</f>
        <v>0</v>
      </c>
      <c r="AC50" s="22">
        <f ca="1">+GETPIVOTDATA("XBT4",'binhtrung (2016)'!$A$3,"MA_HT","NTD","MA_QH","DTL")</f>
        <v>0</v>
      </c>
      <c r="AD50" s="22">
        <f ca="1">+GETPIVOTDATA("XBT4",'binhtrung (2016)'!$A$3,"MA_HT","NTD","MA_QH","DNL")</f>
        <v>0</v>
      </c>
      <c r="AE50" s="22">
        <f ca="1">+GETPIVOTDATA("XBT4",'binhtrung (2016)'!$A$3,"MA_HT","NTD","MA_QH","DBV")</f>
        <v>0</v>
      </c>
      <c r="AF50" s="22">
        <f ca="1">+GETPIVOTDATA("XBT4",'binhtrung (2016)'!$A$3,"MA_HT","NTD","MA_QH","DVH")</f>
        <v>0</v>
      </c>
      <c r="AG50" s="22">
        <f ca="1">+GETPIVOTDATA("XBT4",'binhtrung (2016)'!$A$3,"MA_HT","NTD","MA_QH","DYT")</f>
        <v>0</v>
      </c>
      <c r="AH50" s="22">
        <f ca="1">+GETPIVOTDATA("XBT4",'binhtrung (2016)'!$A$3,"MA_HT","NTD","MA_QH","DGD")</f>
        <v>0</v>
      </c>
      <c r="AI50" s="22">
        <f ca="1">+GETPIVOTDATA("XBT4",'binhtrung (2016)'!$A$3,"MA_HT","NTD","MA_QH","DTT")</f>
        <v>0</v>
      </c>
      <c r="AJ50" s="22">
        <f ca="1">+GETPIVOTDATA("XBT4",'binhtrung (2016)'!$A$3,"MA_HT","NTD","MA_QH","NCK")</f>
        <v>0</v>
      </c>
      <c r="AK50" s="22">
        <f ca="1">+GETPIVOTDATA("XBT4",'binhtrung (2016)'!$A$3,"MA_HT","NTD","MA_QH","DXH")</f>
        <v>0</v>
      </c>
      <c r="AL50" s="22">
        <f ca="1">+GETPIVOTDATA("XBT4",'binhtrung (2016)'!$A$3,"MA_HT","NTD","MA_QH","DCH")</f>
        <v>0</v>
      </c>
      <c r="AM50" s="22">
        <f ca="1">+GETPIVOTDATA("XBT4",'binhtrung (2016)'!$A$3,"MA_HT","NTD","MA_QH","DKG")</f>
        <v>0</v>
      </c>
      <c r="AN50" s="22">
        <f ca="1">+GETPIVOTDATA("XBT4",'binhtrung (2016)'!$A$3,"MA_HT","NTD","MA_QH","DDT")</f>
        <v>0</v>
      </c>
      <c r="AO50" s="22">
        <f ca="1">+GETPIVOTDATA("XBT4",'binhtrung (2016)'!$A$3,"MA_HT","NTD","MA_QH","DDL")</f>
        <v>0</v>
      </c>
      <c r="AP50" s="22">
        <f ca="1">+GETPIVOTDATA("XBT4",'binhtrung (2016)'!$A$3,"MA_HT","NTD","MA_QH","DRA")</f>
        <v>0</v>
      </c>
      <c r="AQ50" s="22">
        <f ca="1">+GETPIVOTDATA("XBT4",'binhtrung (2016)'!$A$3,"MA_HT","NTD","MA_QH","ONT")</f>
        <v>0</v>
      </c>
      <c r="AR50" s="22">
        <f ca="1">+GETPIVOTDATA("XBT4",'binhtrung (2016)'!$A$3,"MA_HT","NTD","MA_QH","ODT")</f>
        <v>0</v>
      </c>
      <c r="AS50" s="22">
        <f ca="1">+GETPIVOTDATA("XBT4",'binhtrung (2016)'!$A$3,"MA_HT","NTD","MA_QH","TSC")</f>
        <v>0</v>
      </c>
      <c r="AT50" s="22">
        <f ca="1">+GETPIVOTDATA("XBT4",'binhtrung (2016)'!$A$3,"MA_HT","NTD","MA_QH","DTS")</f>
        <v>0</v>
      </c>
      <c r="AU50" s="22">
        <f ca="1">+GETPIVOTDATA("XBT4",'binhtrung (2016)'!$A$3,"MA_HT","NTD","MA_QH","DNG")</f>
        <v>0</v>
      </c>
      <c r="AV50" s="22">
        <f ca="1">+GETPIVOTDATA("XBT4",'binhtrung (2016)'!$A$3,"MA_HT","NTD","MA_QH","TON")</f>
        <v>0</v>
      </c>
      <c r="AW50" s="43" t="e">
        <f ca="1">$D50-$BF50</f>
        <v>#REF!</v>
      </c>
      <c r="AX50" s="22">
        <f ca="1">+GETPIVOTDATA("XBT4",'binhtrung (2016)'!$A$3,"MA_HT","NTD","MA_QH","SKX")</f>
        <v>0</v>
      </c>
      <c r="AY50" s="22">
        <f ca="1">+GETPIVOTDATA("XBT4",'binhtrung (2016)'!$A$3,"MA_HT","NTD","MA_QH","DSH")</f>
        <v>0</v>
      </c>
      <c r="AZ50" s="22">
        <f ca="1">+GETPIVOTDATA("XBT4",'binhtrung (2016)'!$A$3,"MA_HT","NTD","MA_QH","DKV")</f>
        <v>0</v>
      </c>
      <c r="BA50" s="89">
        <f ca="1">+GETPIVOTDATA("XBT4",'binhtrung (2016)'!$A$3,"MA_HT","NTD","MA_QH","TIN")</f>
        <v>0</v>
      </c>
      <c r="BB50" s="50">
        <f ca="1">+GETPIVOTDATA("XBT4",'binhtrung (2016)'!$A$3,"MA_HT","NTD","MA_QH","SON")</f>
        <v>0</v>
      </c>
      <c r="BC50" s="50">
        <f ca="1">+GETPIVOTDATA("XBT4",'binhtrung (2016)'!$A$3,"MA_HT","NTD","MA_QH","MNC")</f>
        <v>0</v>
      </c>
      <c r="BD50" s="22">
        <f ca="1">+GETPIVOTDATA("XBT4",'binhtrung (2016)'!$A$3,"MA_HT","NTD","MA_QH","PNK")</f>
        <v>0</v>
      </c>
      <c r="BE50" s="71">
        <f ca="1">+GETPIVOTDATA("XBT4",'binhtrung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+GETPIVOTDATA("XBT4",'binhtrung (2016)'!$A$3,"MA_HT","SKX","MA_QH","LUC")</f>
        <v>0</v>
      </c>
      <c r="H51" s="22">
        <f ca="1">+GETPIVOTDATA("XBT4",'binhtrung (2016)'!$A$3,"MA_HT","SKX","MA_QH","LUK")</f>
        <v>0</v>
      </c>
      <c r="I51" s="22">
        <f ca="1">+GETPIVOTDATA("XBT4",'binhtrung (2016)'!$A$3,"MA_HT","SKX","MA_QH","LUN")</f>
        <v>0</v>
      </c>
      <c r="J51" s="22">
        <f ca="1">+GETPIVOTDATA("XBT4",'binhtrung (2016)'!$A$3,"MA_HT","SKX","MA_QH","HNK")</f>
        <v>0</v>
      </c>
      <c r="K51" s="22">
        <f ca="1">+GETPIVOTDATA("XBT4",'binhtrung (2016)'!$A$3,"MA_HT","SKX","MA_QH","CLN")</f>
        <v>0</v>
      </c>
      <c r="L51" s="22">
        <f ca="1">+GETPIVOTDATA("XBT4",'binhtrung (2016)'!$A$3,"MA_HT","SKX","MA_QH","RSX")</f>
        <v>0</v>
      </c>
      <c r="M51" s="22">
        <f ca="1">+GETPIVOTDATA("XBT4",'binhtrung (2016)'!$A$3,"MA_HT","SKX","MA_QH","RPH")</f>
        <v>0</v>
      </c>
      <c r="N51" s="22">
        <f ca="1">+GETPIVOTDATA("XBT4",'binhtrung (2016)'!$A$3,"MA_HT","SKX","MA_QH","RDD")</f>
        <v>0</v>
      </c>
      <c r="O51" s="22">
        <f ca="1">+GETPIVOTDATA("XBT4",'binhtrung (2016)'!$A$3,"MA_HT","SKX","MA_QH","NTS")</f>
        <v>0</v>
      </c>
      <c r="P51" s="22">
        <f ca="1">+GETPIVOTDATA("XBT4",'binhtrung (2016)'!$A$3,"MA_HT","SKX","MA_QH","LMU")</f>
        <v>0</v>
      </c>
      <c r="Q51" s="22">
        <f ca="1">+GETPIVOTDATA("XBT4",'binhtrung (2016)'!$A$3,"MA_HT","SKX","MA_QH","NKH")</f>
        <v>0</v>
      </c>
      <c r="R51" s="79">
        <f ca="1">SUM(S51:AA51,AN51:AW51,AY51:BD51)</f>
        <v>0</v>
      </c>
      <c r="S51" s="22">
        <f ca="1">+GETPIVOTDATA("XBT4",'binhtrung (2016)'!$A$3,"MA_HT","SKX","MA_QH","CQP")</f>
        <v>0</v>
      </c>
      <c r="T51" s="22">
        <f ca="1">+GETPIVOTDATA("XBT4",'binhtrung (2016)'!$A$3,"MA_HT","SKX","MA_QH","CAN")</f>
        <v>0</v>
      </c>
      <c r="U51" s="22">
        <f ca="1">+GETPIVOTDATA("XBT4",'binhtrung (2016)'!$A$3,"MA_HT","SKX","MA_QH","SKK")</f>
        <v>0</v>
      </c>
      <c r="V51" s="22">
        <f ca="1">+GETPIVOTDATA("XBT4",'binhtrung (2016)'!$A$3,"MA_HT","SKX","MA_QH","SKT")</f>
        <v>0</v>
      </c>
      <c r="W51" s="22">
        <f ca="1">+GETPIVOTDATA("XBT4",'binhtrung (2016)'!$A$3,"MA_HT","SKX","MA_QH","SKN")</f>
        <v>0</v>
      </c>
      <c r="X51" s="22">
        <f ca="1">+GETPIVOTDATA("XBT4",'binhtrung (2016)'!$A$3,"MA_HT","SKX","MA_QH","TMD")</f>
        <v>0</v>
      </c>
      <c r="Y51" s="22">
        <f ca="1">+GETPIVOTDATA("XBT4",'binhtrung (2016)'!$A$3,"MA_HT","SKX","MA_QH","SKC")</f>
        <v>0</v>
      </c>
      <c r="Z51" s="22">
        <f ca="1">+GETPIVOTDATA("XBT4",'binhtrung (2016)'!$A$3,"MA_HT","SKX","MA_QH","SKS")</f>
        <v>0</v>
      </c>
      <c r="AA51" s="52">
        <f ca="1" t="shared" si="21"/>
        <v>0</v>
      </c>
      <c r="AB51" s="22">
        <f ca="1">+GETPIVOTDATA("XBT4",'binhtrung (2016)'!$A$3,"MA_HT","SKX","MA_QH","DGT")</f>
        <v>0</v>
      </c>
      <c r="AC51" s="22">
        <f ca="1">+GETPIVOTDATA("XBT4",'binhtrung (2016)'!$A$3,"MA_HT","SKX","MA_QH","DTL")</f>
        <v>0</v>
      </c>
      <c r="AD51" s="22">
        <f ca="1">+GETPIVOTDATA("XBT4",'binhtrung (2016)'!$A$3,"MA_HT","SKX","MA_QH","DNL")</f>
        <v>0</v>
      </c>
      <c r="AE51" s="22">
        <f ca="1">+GETPIVOTDATA("XBT4",'binhtrung (2016)'!$A$3,"MA_HT","SKX","MA_QH","DBV")</f>
        <v>0</v>
      </c>
      <c r="AF51" s="22">
        <f ca="1">+GETPIVOTDATA("XBT4",'binhtrung (2016)'!$A$3,"MA_HT","SKX","MA_QH","DVH")</f>
        <v>0</v>
      </c>
      <c r="AG51" s="22">
        <f ca="1">+GETPIVOTDATA("XBT4",'binhtrung (2016)'!$A$3,"MA_HT","SKX","MA_QH","DYT")</f>
        <v>0</v>
      </c>
      <c r="AH51" s="22">
        <f ca="1">+GETPIVOTDATA("XBT4",'binhtrung (2016)'!$A$3,"MA_HT","SKX","MA_QH","DGD")</f>
        <v>0</v>
      </c>
      <c r="AI51" s="22">
        <f ca="1">+GETPIVOTDATA("XBT4",'binhtrung (2016)'!$A$3,"MA_HT","SKX","MA_QH","DTT")</f>
        <v>0</v>
      </c>
      <c r="AJ51" s="22">
        <f ca="1">+GETPIVOTDATA("XBT4",'binhtrung (2016)'!$A$3,"MA_HT","SKX","MA_QH","NCK")</f>
        <v>0</v>
      </c>
      <c r="AK51" s="22">
        <f ca="1">+GETPIVOTDATA("XBT4",'binhtrung (2016)'!$A$3,"MA_HT","SKX","MA_QH","DXH")</f>
        <v>0</v>
      </c>
      <c r="AL51" s="22">
        <f ca="1">+GETPIVOTDATA("XBT4",'binhtrung (2016)'!$A$3,"MA_HT","SKX","MA_QH","DCH")</f>
        <v>0</v>
      </c>
      <c r="AM51" s="22">
        <f ca="1">+GETPIVOTDATA("XBT4",'binhtrung (2016)'!$A$3,"MA_HT","SKX","MA_QH","DKG")</f>
        <v>0</v>
      </c>
      <c r="AN51" s="22">
        <f ca="1">+GETPIVOTDATA("XBT4",'binhtrung (2016)'!$A$3,"MA_HT","SKX","MA_QH","DDT")</f>
        <v>0</v>
      </c>
      <c r="AO51" s="22">
        <f ca="1">+GETPIVOTDATA("XBT4",'binhtrung (2016)'!$A$3,"MA_HT","SKX","MA_QH","DDL")</f>
        <v>0</v>
      </c>
      <c r="AP51" s="22">
        <f ca="1">+GETPIVOTDATA("XBT4",'binhtrung (2016)'!$A$3,"MA_HT","SKX","MA_QH","DRA")</f>
        <v>0</v>
      </c>
      <c r="AQ51" s="22">
        <f ca="1">+GETPIVOTDATA("XBT4",'binhtrung (2016)'!$A$3,"MA_HT","SKX","MA_QH","ONT")</f>
        <v>0</v>
      </c>
      <c r="AR51" s="22">
        <f ca="1">+GETPIVOTDATA("XBT4",'binhtrung (2016)'!$A$3,"MA_HT","SKX","MA_QH","ODT")</f>
        <v>0</v>
      </c>
      <c r="AS51" s="22">
        <f ca="1">+GETPIVOTDATA("XBT4",'binhtrung (2016)'!$A$3,"MA_HT","SKX","MA_QH","TSC")</f>
        <v>0</v>
      </c>
      <c r="AT51" s="22">
        <f ca="1">+GETPIVOTDATA("XBT4",'binhtrung (2016)'!$A$3,"MA_HT","SKX","MA_QH","DTS")</f>
        <v>0</v>
      </c>
      <c r="AU51" s="22">
        <f ca="1">+GETPIVOTDATA("XBT4",'binhtrung (2016)'!$A$3,"MA_HT","SKX","MA_QH","DNG")</f>
        <v>0</v>
      </c>
      <c r="AV51" s="22">
        <f ca="1">+GETPIVOTDATA("XBT4",'binhtrung (2016)'!$A$3,"MA_HT","SKX","MA_QH","TON")</f>
        <v>0</v>
      </c>
      <c r="AW51" s="22">
        <f ca="1">+GETPIVOTDATA("XBT4",'binhtrung (2016)'!$A$3,"MA_HT","SKX","MA_QH","NTD")</f>
        <v>0</v>
      </c>
      <c r="AX51" s="43" t="e">
        <f ca="1">$D51-$BF51</f>
        <v>#REF!</v>
      </c>
      <c r="AY51" s="22">
        <f ca="1">+GETPIVOTDATA("XBT4",'binhtrung (2016)'!$A$3,"MA_HT","SKX","MA_QH","DSH")</f>
        <v>0</v>
      </c>
      <c r="AZ51" s="22">
        <f ca="1">+GETPIVOTDATA("XBT4",'binhtrung (2016)'!$A$3,"MA_HT","SKX","MA_QH","DKV")</f>
        <v>0</v>
      </c>
      <c r="BA51" s="89">
        <f ca="1">+GETPIVOTDATA("XBT4",'binhtrung (2016)'!$A$3,"MA_HT","SKX","MA_QH","TIN")</f>
        <v>0</v>
      </c>
      <c r="BB51" s="50">
        <f ca="1">+GETPIVOTDATA("XBT4",'binhtrung (2016)'!$A$3,"MA_HT","SKX","MA_QH","SON")</f>
        <v>0</v>
      </c>
      <c r="BC51" s="50">
        <f ca="1">+GETPIVOTDATA("XBT4",'binhtrung (2016)'!$A$3,"MA_HT","SKX","MA_QH","MNC")</f>
        <v>0</v>
      </c>
      <c r="BD51" s="22">
        <f ca="1">+GETPIVOTDATA("XBT4",'binhtrung (2016)'!$A$3,"MA_HT","SKX","MA_QH","PNK")</f>
        <v>0</v>
      </c>
      <c r="BE51" s="71">
        <f ca="1">+GETPIVOTDATA("XBT4",'binhtrung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+GETPIVOTDATA("XBT4",'binhtrung (2016)'!$A$3,"MA_HT","DSH","MA_QH","LUC")</f>
        <v>0</v>
      </c>
      <c r="H52" s="22">
        <f ca="1">+GETPIVOTDATA("XBT4",'binhtrung (2016)'!$A$3,"MA_HT","DSH","MA_QH","LUK")</f>
        <v>0</v>
      </c>
      <c r="I52" s="22">
        <f ca="1">+GETPIVOTDATA("XBT4",'binhtrung (2016)'!$A$3,"MA_HT","DSH","MA_QH","LUN")</f>
        <v>0</v>
      </c>
      <c r="J52" s="22">
        <f ca="1">+GETPIVOTDATA("XBT4",'binhtrung (2016)'!$A$3,"MA_HT","DSH","MA_QH","HNK")</f>
        <v>0</v>
      </c>
      <c r="K52" s="22">
        <f ca="1">+GETPIVOTDATA("XBT4",'binhtrung (2016)'!$A$3,"MA_HT","DSH","MA_QH","CLN")</f>
        <v>0</v>
      </c>
      <c r="L52" s="22">
        <f ca="1">+GETPIVOTDATA("XBT4",'binhtrung (2016)'!$A$3,"MA_HT","DSH","MA_QH","RSX")</f>
        <v>0</v>
      </c>
      <c r="M52" s="22">
        <f ca="1">+GETPIVOTDATA("XBT4",'binhtrung (2016)'!$A$3,"MA_HT","DSH","MA_QH","RPH")</f>
        <v>0</v>
      </c>
      <c r="N52" s="22">
        <f ca="1">+GETPIVOTDATA("XBT4",'binhtrung (2016)'!$A$3,"MA_HT","DSH","MA_QH","RDD")</f>
        <v>0</v>
      </c>
      <c r="O52" s="22">
        <f ca="1">+GETPIVOTDATA("XBT4",'binhtrung (2016)'!$A$3,"MA_HT","DSH","MA_QH","NTS")</f>
        <v>0</v>
      </c>
      <c r="P52" s="22">
        <f ca="1">+GETPIVOTDATA("XBT4",'binhtrung (2016)'!$A$3,"MA_HT","DSH","MA_QH","LMU")</f>
        <v>0</v>
      </c>
      <c r="Q52" s="22">
        <f ca="1">+GETPIVOTDATA("XBT4",'binhtrung (2016)'!$A$3,"MA_HT","DSH","MA_QH","NKH")</f>
        <v>0</v>
      </c>
      <c r="R52" s="79">
        <f ca="1">SUM(S52:AA52,AN52:AX52,AZ52:BD52)</f>
        <v>0</v>
      </c>
      <c r="S52" s="22">
        <f ca="1">+GETPIVOTDATA("XBT4",'binhtrung (2016)'!$A$3,"MA_HT","DSH","MA_QH","CQP")</f>
        <v>0</v>
      </c>
      <c r="T52" s="22">
        <f ca="1">+GETPIVOTDATA("XBT4",'binhtrung (2016)'!$A$3,"MA_HT","DSH","MA_QH","CAN")</f>
        <v>0</v>
      </c>
      <c r="U52" s="22">
        <f ca="1">+GETPIVOTDATA("XBT4",'binhtrung (2016)'!$A$3,"MA_HT","DSH","MA_QH","SKK")</f>
        <v>0</v>
      </c>
      <c r="V52" s="22">
        <f ca="1">+GETPIVOTDATA("XBT4",'binhtrung (2016)'!$A$3,"MA_HT","DSH","MA_QH","SKT")</f>
        <v>0</v>
      </c>
      <c r="W52" s="22">
        <f ca="1">+GETPIVOTDATA("XBT4",'binhtrung (2016)'!$A$3,"MA_HT","DSH","MA_QH","SKN")</f>
        <v>0</v>
      </c>
      <c r="X52" s="22">
        <f ca="1">+GETPIVOTDATA("XBT4",'binhtrung (2016)'!$A$3,"MA_HT","DSH","MA_QH","TMD")</f>
        <v>0</v>
      </c>
      <c r="Y52" s="22">
        <f ca="1">+GETPIVOTDATA("XBT4",'binhtrung (2016)'!$A$3,"MA_HT","DSH","MA_QH","SKC")</f>
        <v>0</v>
      </c>
      <c r="Z52" s="22">
        <f ca="1">+GETPIVOTDATA("XBT4",'binhtrung (2016)'!$A$3,"MA_HT","DSH","MA_QH","SKS")</f>
        <v>0</v>
      </c>
      <c r="AA52" s="52">
        <f ca="1" t="shared" si="21"/>
        <v>0</v>
      </c>
      <c r="AB52" s="22">
        <f ca="1">+GETPIVOTDATA("XBT4",'binhtrung (2016)'!$A$3,"MA_HT","DSH","MA_QH","DGT")</f>
        <v>0</v>
      </c>
      <c r="AC52" s="22">
        <f ca="1">+GETPIVOTDATA("XBT4",'binhtrung (2016)'!$A$3,"MA_HT","DSH","MA_QH","DTL")</f>
        <v>0</v>
      </c>
      <c r="AD52" s="22">
        <f ca="1">+GETPIVOTDATA("XBT4",'binhtrung (2016)'!$A$3,"MA_HT","DSH","MA_QH","DNL")</f>
        <v>0</v>
      </c>
      <c r="AE52" s="22">
        <f ca="1">+GETPIVOTDATA("XBT4",'binhtrung (2016)'!$A$3,"MA_HT","DSH","MA_QH","DBV")</f>
        <v>0</v>
      </c>
      <c r="AF52" s="22">
        <f ca="1">+GETPIVOTDATA("XBT4",'binhtrung (2016)'!$A$3,"MA_HT","DSH","MA_QH","DVH")</f>
        <v>0</v>
      </c>
      <c r="AG52" s="22">
        <f ca="1">+GETPIVOTDATA("XBT4",'binhtrung (2016)'!$A$3,"MA_HT","DSH","MA_QH","DYT")</f>
        <v>0</v>
      </c>
      <c r="AH52" s="22">
        <f ca="1">+GETPIVOTDATA("XBT4",'binhtrung (2016)'!$A$3,"MA_HT","DSH","MA_QH","DGD")</f>
        <v>0</v>
      </c>
      <c r="AI52" s="22">
        <f ca="1">+GETPIVOTDATA("XBT4",'binhtrung (2016)'!$A$3,"MA_HT","DSH","MA_QH","DTT")</f>
        <v>0</v>
      </c>
      <c r="AJ52" s="22">
        <f ca="1">+GETPIVOTDATA("XBT4",'binhtrung (2016)'!$A$3,"MA_HT","DSH","MA_QH","NCK")</f>
        <v>0</v>
      </c>
      <c r="AK52" s="22">
        <f ca="1">+GETPIVOTDATA("XBT4",'binhtrung (2016)'!$A$3,"MA_HT","DSH","MA_QH","DXH")</f>
        <v>0</v>
      </c>
      <c r="AL52" s="22">
        <f ca="1">+GETPIVOTDATA("XBT4",'binhtrung (2016)'!$A$3,"MA_HT","DSH","MA_QH","DCH")</f>
        <v>0</v>
      </c>
      <c r="AM52" s="22">
        <f ca="1">+GETPIVOTDATA("XBT4",'binhtrung (2016)'!$A$3,"MA_HT","DSH","MA_QH","DKG")</f>
        <v>0</v>
      </c>
      <c r="AN52" s="22">
        <f ca="1">+GETPIVOTDATA("XBT4",'binhtrung (2016)'!$A$3,"MA_HT","DSH","MA_QH","DDT")</f>
        <v>0</v>
      </c>
      <c r="AO52" s="22">
        <f ca="1">+GETPIVOTDATA("XBT4",'binhtrung (2016)'!$A$3,"MA_HT","DSH","MA_QH","DDL")</f>
        <v>0</v>
      </c>
      <c r="AP52" s="22">
        <f ca="1">+GETPIVOTDATA("XBT4",'binhtrung (2016)'!$A$3,"MA_HT","DSH","MA_QH","DRA")</f>
        <v>0</v>
      </c>
      <c r="AQ52" s="22">
        <f ca="1">+GETPIVOTDATA("XBT4",'binhtrung (2016)'!$A$3,"MA_HT","DSH","MA_QH","ONT")</f>
        <v>0</v>
      </c>
      <c r="AR52" s="22">
        <f ca="1">+GETPIVOTDATA("XBT4",'binhtrung (2016)'!$A$3,"MA_HT","DSH","MA_QH","ODT")</f>
        <v>0</v>
      </c>
      <c r="AS52" s="22">
        <f ca="1">+GETPIVOTDATA("XBT4",'binhtrung (2016)'!$A$3,"MA_HT","DSH","MA_QH","TSC")</f>
        <v>0</v>
      </c>
      <c r="AT52" s="22">
        <f ca="1">+GETPIVOTDATA("XBT4",'binhtrung (2016)'!$A$3,"MA_HT","DSH","MA_QH","DTS")</f>
        <v>0</v>
      </c>
      <c r="AU52" s="22">
        <f ca="1">+GETPIVOTDATA("XBT4",'binhtrung (2016)'!$A$3,"MA_HT","DSH","MA_QH","DNG")</f>
        <v>0</v>
      </c>
      <c r="AV52" s="22">
        <f ca="1">+GETPIVOTDATA("XBT4",'binhtrung (2016)'!$A$3,"MA_HT","DSH","MA_QH","TON")</f>
        <v>0</v>
      </c>
      <c r="AW52" s="22">
        <f ca="1">+GETPIVOTDATA("XBT4",'binhtrung (2016)'!$A$3,"MA_HT","DSH","MA_QH","NTD")</f>
        <v>0</v>
      </c>
      <c r="AX52" s="22">
        <f ca="1">+GETPIVOTDATA("XBT4",'binhtrung (2016)'!$A$3,"MA_HT","DSH","MA_QH","SKX")</f>
        <v>0</v>
      </c>
      <c r="AY52" s="43" t="e">
        <f ca="1">$D52-$BF52</f>
        <v>#REF!</v>
      </c>
      <c r="AZ52" s="22">
        <f ca="1">+GETPIVOTDATA("XBT4",'binhtrung (2016)'!$A$3,"MA_HT","DSH","MA_QH","DKV")</f>
        <v>0</v>
      </c>
      <c r="BA52" s="89">
        <f ca="1">+GETPIVOTDATA("XBT4",'binhtrung (2016)'!$A$3,"MA_HT","DSH","MA_QH","TIN")</f>
        <v>0</v>
      </c>
      <c r="BB52" s="50">
        <f ca="1">+GETPIVOTDATA("XBT4",'binhtrung (2016)'!$A$3,"MA_HT","DSH","MA_QH","SON")</f>
        <v>0</v>
      </c>
      <c r="BC52" s="50">
        <f ca="1">+GETPIVOTDATA("XBT4",'binhtrung (2016)'!$A$3,"MA_HT","DSH","MA_QH","MNC")</f>
        <v>0</v>
      </c>
      <c r="BD52" s="22">
        <f ca="1">+GETPIVOTDATA("XBT4",'binhtrung (2016)'!$A$3,"MA_HT","DSH","MA_QH","PNK")</f>
        <v>0</v>
      </c>
      <c r="BE52" s="71">
        <f ca="1">+GETPIVOTDATA("XBT4",'binhtrung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+GETPIVOTDATA("XBT4",'binhtrung (2016)'!$A$3,"MA_HT","DKV","MA_QH","LUC")</f>
        <v>0</v>
      </c>
      <c r="H53" s="22">
        <f ca="1">+GETPIVOTDATA("XBT4",'binhtrung (2016)'!$A$3,"MA_HT","DKV","MA_QH","LUK")</f>
        <v>0</v>
      </c>
      <c r="I53" s="22">
        <f ca="1">+GETPIVOTDATA("XBT4",'binhtrung (2016)'!$A$3,"MA_HT","DKV","MA_QH","LUN")</f>
        <v>0</v>
      </c>
      <c r="J53" s="22">
        <f ca="1">+GETPIVOTDATA("XBT4",'binhtrung (2016)'!$A$3,"MA_HT","DKV","MA_QH","HNK")</f>
        <v>0</v>
      </c>
      <c r="K53" s="22">
        <f ca="1">+GETPIVOTDATA("XBT4",'binhtrung (2016)'!$A$3,"MA_HT","DKV","MA_QH","CLN")</f>
        <v>0</v>
      </c>
      <c r="L53" s="22">
        <f ca="1">+GETPIVOTDATA("XBT4",'binhtrung (2016)'!$A$3,"MA_HT","DKV","MA_QH","RSX")</f>
        <v>0</v>
      </c>
      <c r="M53" s="22">
        <f ca="1">+GETPIVOTDATA("XBT4",'binhtrung (2016)'!$A$3,"MA_HT","DKV","MA_QH","RPH")</f>
        <v>0</v>
      </c>
      <c r="N53" s="22">
        <f ca="1">+GETPIVOTDATA("XBT4",'binhtrung (2016)'!$A$3,"MA_HT","DKV","MA_QH","RDD")</f>
        <v>0</v>
      </c>
      <c r="O53" s="22">
        <f ca="1">+GETPIVOTDATA("XBT4",'binhtrung (2016)'!$A$3,"MA_HT","DKV","MA_QH","NTS")</f>
        <v>0</v>
      </c>
      <c r="P53" s="22">
        <f ca="1">+GETPIVOTDATA("XBT4",'binhtrung (2016)'!$A$3,"MA_HT","DKV","MA_QH","LMU")</f>
        <v>0</v>
      </c>
      <c r="Q53" s="22">
        <f ca="1">+GETPIVOTDATA("XBT4",'binhtrung (2016)'!$A$3,"MA_HT","DKV","MA_QH","NKH")</f>
        <v>0</v>
      </c>
      <c r="R53" s="79">
        <f ca="1">SUM(S53:AA53,AN53:AY53,BB53:BD53)</f>
        <v>0</v>
      </c>
      <c r="S53" s="22">
        <f ca="1">+GETPIVOTDATA("XBT4",'binhtrung (2016)'!$A$3,"MA_HT","DKV","MA_QH","CQP")</f>
        <v>0</v>
      </c>
      <c r="T53" s="22">
        <f ca="1">+GETPIVOTDATA("XBT4",'binhtrung (2016)'!$A$3,"MA_HT","DKV","MA_QH","CAN")</f>
        <v>0</v>
      </c>
      <c r="U53" s="22">
        <f ca="1">+GETPIVOTDATA("XBT4",'binhtrung (2016)'!$A$3,"MA_HT","DKV","MA_QH","SKK")</f>
        <v>0</v>
      </c>
      <c r="V53" s="22">
        <f ca="1">+GETPIVOTDATA("XBT4",'binhtrung (2016)'!$A$3,"MA_HT","DKV","MA_QH","SKT")</f>
        <v>0</v>
      </c>
      <c r="W53" s="22">
        <f ca="1">+GETPIVOTDATA("XBT4",'binhtrung (2016)'!$A$3,"MA_HT","DKV","MA_QH","SKN")</f>
        <v>0</v>
      </c>
      <c r="X53" s="22">
        <f ca="1">+GETPIVOTDATA("XBT4",'binhtrung (2016)'!$A$3,"MA_HT","DKV","MA_QH","TMD")</f>
        <v>0</v>
      </c>
      <c r="Y53" s="22">
        <f ca="1">+GETPIVOTDATA("XBT4",'binhtrung (2016)'!$A$3,"MA_HT","DKV","MA_QH","SKC")</f>
        <v>0</v>
      </c>
      <c r="Z53" s="22">
        <f ca="1">+GETPIVOTDATA("XBT4",'binhtrung (2016)'!$A$3,"MA_HT","DKV","MA_QH","SKS")</f>
        <v>0</v>
      </c>
      <c r="AA53" s="52">
        <f ca="1" t="shared" si="21"/>
        <v>0</v>
      </c>
      <c r="AB53" s="22">
        <f ca="1">+GETPIVOTDATA("XBT4",'binhtrung (2016)'!$A$3,"MA_HT","DKV","MA_QH","DGT")</f>
        <v>0</v>
      </c>
      <c r="AC53" s="22">
        <f ca="1">+GETPIVOTDATA("XBT4",'binhtrung (2016)'!$A$3,"MA_HT","DKV","MA_QH","DTL")</f>
        <v>0</v>
      </c>
      <c r="AD53" s="22">
        <f ca="1">+GETPIVOTDATA("XBT4",'binhtrung (2016)'!$A$3,"MA_HT","DKV","MA_QH","DNL")</f>
        <v>0</v>
      </c>
      <c r="AE53" s="22">
        <f ca="1">+GETPIVOTDATA("XBT4",'binhtrung (2016)'!$A$3,"MA_HT","DKV","MA_QH","DBV")</f>
        <v>0</v>
      </c>
      <c r="AF53" s="22">
        <f ca="1">+GETPIVOTDATA("XBT4",'binhtrung (2016)'!$A$3,"MA_HT","DKV","MA_QH","DVH")</f>
        <v>0</v>
      </c>
      <c r="AG53" s="22">
        <f ca="1">+GETPIVOTDATA("XBT4",'binhtrung (2016)'!$A$3,"MA_HT","DKV","MA_QH","DYT")</f>
        <v>0</v>
      </c>
      <c r="AH53" s="22">
        <f ca="1">+GETPIVOTDATA("XBT4",'binhtrung (2016)'!$A$3,"MA_HT","DKV","MA_QH","DGD")</f>
        <v>0</v>
      </c>
      <c r="AI53" s="22">
        <f ca="1">+GETPIVOTDATA("XBT4",'binhtrung (2016)'!$A$3,"MA_HT","DKV","MA_QH","DTT")</f>
        <v>0</v>
      </c>
      <c r="AJ53" s="22">
        <f ca="1">+GETPIVOTDATA("XBT4",'binhtrung (2016)'!$A$3,"MA_HT","DKV","MA_QH","NCK")</f>
        <v>0</v>
      </c>
      <c r="AK53" s="22">
        <f ca="1">+GETPIVOTDATA("XBT4",'binhtrung (2016)'!$A$3,"MA_HT","DKV","MA_QH","DXH")</f>
        <v>0</v>
      </c>
      <c r="AL53" s="22">
        <f ca="1">+GETPIVOTDATA("XBT4",'binhtrung (2016)'!$A$3,"MA_HT","DKV","MA_QH","DCH")</f>
        <v>0</v>
      </c>
      <c r="AM53" s="22">
        <f ca="1">+GETPIVOTDATA("XBT4",'binhtrung (2016)'!$A$3,"MA_HT","DKV","MA_QH","DKG")</f>
        <v>0</v>
      </c>
      <c r="AN53" s="22">
        <f ca="1">+GETPIVOTDATA("XBT4",'binhtrung (2016)'!$A$3,"MA_HT","DKV","MA_QH","DDT")</f>
        <v>0</v>
      </c>
      <c r="AO53" s="22">
        <f ca="1">+GETPIVOTDATA("XBT4",'binhtrung (2016)'!$A$3,"MA_HT","DKV","MA_QH","DDL")</f>
        <v>0</v>
      </c>
      <c r="AP53" s="22">
        <f ca="1">+GETPIVOTDATA("XBT4",'binhtrung (2016)'!$A$3,"MA_HT","DKV","MA_QH","DRA")</f>
        <v>0</v>
      </c>
      <c r="AQ53" s="22">
        <f ca="1">+GETPIVOTDATA("XBT4",'binhtrung (2016)'!$A$3,"MA_HT","DKV","MA_QH","ONT")</f>
        <v>0</v>
      </c>
      <c r="AR53" s="22">
        <f ca="1">+GETPIVOTDATA("XBT4",'binhtrung (2016)'!$A$3,"MA_HT","DKV","MA_QH","ODT")</f>
        <v>0</v>
      </c>
      <c r="AS53" s="22">
        <f ca="1">+GETPIVOTDATA("XBT4",'binhtrung (2016)'!$A$3,"MA_HT","DKV","MA_QH","TSC")</f>
        <v>0</v>
      </c>
      <c r="AT53" s="22">
        <f ca="1">+GETPIVOTDATA("XBT4",'binhtrung (2016)'!$A$3,"MA_HT","DKV","MA_QH","DTS")</f>
        <v>0</v>
      </c>
      <c r="AU53" s="22">
        <f ca="1">+GETPIVOTDATA("XBT4",'binhtrung (2016)'!$A$3,"MA_HT","DKV","MA_QH","DNG")</f>
        <v>0</v>
      </c>
      <c r="AV53" s="22">
        <f ca="1">+GETPIVOTDATA("XBT4",'binhtrung (2016)'!$A$3,"MA_HT","DKV","MA_QH","TON")</f>
        <v>0</v>
      </c>
      <c r="AW53" s="22">
        <f ca="1">+GETPIVOTDATA("XBT4",'binhtrung (2016)'!$A$3,"MA_HT","DKV","MA_QH","NTD")</f>
        <v>0</v>
      </c>
      <c r="AX53" s="22">
        <f ca="1">+GETPIVOTDATA("XBT4",'binhtrung (2016)'!$A$3,"MA_HT","DKV","MA_QH","SKX")</f>
        <v>0</v>
      </c>
      <c r="AY53" s="22">
        <f ca="1">+GETPIVOTDATA("XBT4",'binhtrung (2016)'!$A$3,"MA_HT","DKV","MA_QH","DSH")</f>
        <v>0</v>
      </c>
      <c r="AZ53" s="43" t="e">
        <f ca="1">$D53-$BF53</f>
        <v>#REF!</v>
      </c>
      <c r="BA53" s="89">
        <f ca="1">+GETPIVOTDATA("XBT4",'binhtrung (2016)'!$A$3,"MA_HT","DKV","MA_QH","TIN")</f>
        <v>0</v>
      </c>
      <c r="BB53" s="50">
        <f ca="1">+GETPIVOTDATA("XBT4",'binhtrung (2016)'!$A$3,"MA_HT","DKV","MA_QH","SON")</f>
        <v>0</v>
      </c>
      <c r="BC53" s="50">
        <f ca="1">+GETPIVOTDATA("XBT4",'binhtrung (2016)'!$A$3,"MA_HT","DKV","MA_QH","MNC")</f>
        <v>0</v>
      </c>
      <c r="BD53" s="22">
        <f ca="1">+GETPIVOTDATA("XBT4",'binhtrung (2016)'!$A$3,"MA_HT","DKV","MA_QH","PNK")</f>
        <v>0</v>
      </c>
      <c r="BE53" s="71">
        <f ca="1">+GETPIVOTDATA("XBT4",'binhtrung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+GETPIVOTDATA("XBT4",'binhtrung (2016)'!$A$3,"MA_HT","TIN","MA_QH","LUC")</f>
        <v>0</v>
      </c>
      <c r="H54" s="22">
        <f ca="1">+GETPIVOTDATA("XBT4",'binhtrung (2016)'!$A$3,"MA_HT","TIN","MA_QH","LUK")</f>
        <v>0</v>
      </c>
      <c r="I54" s="22">
        <f ca="1">+GETPIVOTDATA("XBT4",'binhtrung (2016)'!$A$3,"MA_HT","TIN","MA_QH","LUN")</f>
        <v>0</v>
      </c>
      <c r="J54" s="22">
        <f ca="1">+GETPIVOTDATA("XBT4",'binhtrung (2016)'!$A$3,"MA_HT","TIN","MA_QH","HNK")</f>
        <v>0</v>
      </c>
      <c r="K54" s="22">
        <f ca="1">+GETPIVOTDATA("XBT4",'binhtrung (2016)'!$A$3,"MA_HT","TIN","MA_QH","CLN")</f>
        <v>0</v>
      </c>
      <c r="L54" s="22">
        <f ca="1">+GETPIVOTDATA("XBT4",'binhtrung (2016)'!$A$3,"MA_HT","TIN","MA_QH","RSX")</f>
        <v>0</v>
      </c>
      <c r="M54" s="22">
        <f ca="1">+GETPIVOTDATA("XBT4",'binhtrung (2016)'!$A$3,"MA_HT","TIN","MA_QH","RPH")</f>
        <v>0</v>
      </c>
      <c r="N54" s="22">
        <f ca="1">+GETPIVOTDATA("XBT4",'binhtrung (2016)'!$A$3,"MA_HT","TIN","MA_QH","RDD")</f>
        <v>0</v>
      </c>
      <c r="O54" s="22">
        <f ca="1">+GETPIVOTDATA("XBT4",'binhtrung (2016)'!$A$3,"MA_HT","TIN","MA_QH","NTS")</f>
        <v>0</v>
      </c>
      <c r="P54" s="22">
        <f ca="1">+GETPIVOTDATA("XBT4",'binhtrung (2016)'!$A$3,"MA_HT","TIN","MA_QH","LMU")</f>
        <v>0</v>
      </c>
      <c r="Q54" s="22">
        <f ca="1">+GETPIVOTDATA("XBT4",'binhtrung (2016)'!$A$3,"MA_HT","TIN","MA_QH","NKH")</f>
        <v>0</v>
      </c>
      <c r="R54" s="79">
        <f ca="1">SUM(S54:AA54,AN54:AZ54,BB54:BD54)</f>
        <v>0</v>
      </c>
      <c r="S54" s="22">
        <f ca="1">+GETPIVOTDATA("XBT4",'binhtrung (2016)'!$A$3,"MA_HT","TIN","MA_QH","CQP")</f>
        <v>0</v>
      </c>
      <c r="T54" s="22">
        <f ca="1">+GETPIVOTDATA("XBT4",'binhtrung (2016)'!$A$3,"MA_HT","TIN","MA_QH","CAN")</f>
        <v>0</v>
      </c>
      <c r="U54" s="22">
        <f ca="1">+GETPIVOTDATA("XBT4",'binhtrung (2016)'!$A$3,"MA_HT","TIN","MA_QH","SKK")</f>
        <v>0</v>
      </c>
      <c r="V54" s="22">
        <f ca="1">+GETPIVOTDATA("XBT4",'binhtrung (2016)'!$A$3,"MA_HT","TIN","MA_QH","SKT")</f>
        <v>0</v>
      </c>
      <c r="W54" s="22">
        <f ca="1">+GETPIVOTDATA("XBT4",'binhtrung (2016)'!$A$3,"MA_HT","TIN","MA_QH","SKN")</f>
        <v>0</v>
      </c>
      <c r="X54" s="22">
        <f ca="1">+GETPIVOTDATA("XBT4",'binhtrung (2016)'!$A$3,"MA_HT","TIN","MA_QH","TMD")</f>
        <v>0</v>
      </c>
      <c r="Y54" s="22">
        <f ca="1">+GETPIVOTDATA("XBT4",'binhtrung (2016)'!$A$3,"MA_HT","TIN","MA_QH","SKC")</f>
        <v>0</v>
      </c>
      <c r="Z54" s="22">
        <f ca="1">+GETPIVOTDATA("XBT4",'binhtrung (2016)'!$A$3,"MA_HT","TIN","MA_QH","SKS")</f>
        <v>0</v>
      </c>
      <c r="AA54" s="52">
        <f ca="1" t="shared" si="21"/>
        <v>0</v>
      </c>
      <c r="AB54" s="22">
        <f ca="1">+GETPIVOTDATA("XBT4",'binhtrung (2016)'!$A$3,"MA_HT","TIN","MA_QH","DGT")</f>
        <v>0</v>
      </c>
      <c r="AC54" s="22">
        <f ca="1">+GETPIVOTDATA("XBT4",'binhtrung (2016)'!$A$3,"MA_HT","TIN","MA_QH","DTL")</f>
        <v>0</v>
      </c>
      <c r="AD54" s="22">
        <f ca="1">+GETPIVOTDATA("XBT4",'binhtrung (2016)'!$A$3,"MA_HT","TIN","MA_QH","DNL")</f>
        <v>0</v>
      </c>
      <c r="AE54" s="22">
        <f ca="1">+GETPIVOTDATA("XBT4",'binhtrung (2016)'!$A$3,"MA_HT","TIN","MA_QH","DBV")</f>
        <v>0</v>
      </c>
      <c r="AF54" s="22">
        <f ca="1">+GETPIVOTDATA("XBT4",'binhtrung (2016)'!$A$3,"MA_HT","TIN","MA_QH","DVH")</f>
        <v>0</v>
      </c>
      <c r="AG54" s="22">
        <f ca="1">+GETPIVOTDATA("XBT4",'binhtrung (2016)'!$A$3,"MA_HT","TIN","MA_QH","DYT")</f>
        <v>0</v>
      </c>
      <c r="AH54" s="22">
        <f ca="1">+GETPIVOTDATA("XBT4",'binhtrung (2016)'!$A$3,"MA_HT","TIN","MA_QH","DGD")</f>
        <v>0</v>
      </c>
      <c r="AI54" s="22">
        <f ca="1">+GETPIVOTDATA("XBT4",'binhtrung (2016)'!$A$3,"MA_HT","TIN","MA_QH","DTT")</f>
        <v>0</v>
      </c>
      <c r="AJ54" s="22">
        <f ca="1">+GETPIVOTDATA("XBT4",'binhtrung (2016)'!$A$3,"MA_HT","TIN","MA_QH","NCK")</f>
        <v>0</v>
      </c>
      <c r="AK54" s="22">
        <f ca="1">+GETPIVOTDATA("XBT4",'binhtrung (2016)'!$A$3,"MA_HT","TIN","MA_QH","DXH")</f>
        <v>0</v>
      </c>
      <c r="AL54" s="22">
        <f ca="1">+GETPIVOTDATA("XBT4",'binhtrung (2016)'!$A$3,"MA_HT","TIN","MA_QH","DCH")</f>
        <v>0</v>
      </c>
      <c r="AM54" s="22">
        <f ca="1">+GETPIVOTDATA("XBT4",'binhtrung (2016)'!$A$3,"MA_HT","TIN","MA_QH","DKG")</f>
        <v>0</v>
      </c>
      <c r="AN54" s="22">
        <f ca="1">+GETPIVOTDATA("XBT4",'binhtrung (2016)'!$A$3,"MA_HT","TIN","MA_QH","DDT")</f>
        <v>0</v>
      </c>
      <c r="AO54" s="22">
        <f ca="1">+GETPIVOTDATA("XBT4",'binhtrung (2016)'!$A$3,"MA_HT","TIN","MA_QH","DDL")</f>
        <v>0</v>
      </c>
      <c r="AP54" s="22">
        <f ca="1">+GETPIVOTDATA("XBT4",'binhtrung (2016)'!$A$3,"MA_HT","TIN","MA_QH","DRA")</f>
        <v>0</v>
      </c>
      <c r="AQ54" s="22">
        <f ca="1">+GETPIVOTDATA("XBT4",'binhtrung (2016)'!$A$3,"MA_HT","TIN","MA_QH","ONT")</f>
        <v>0</v>
      </c>
      <c r="AR54" s="22">
        <f ca="1">+GETPIVOTDATA("XBT4",'binhtrung (2016)'!$A$3,"MA_HT","TIN","MA_QH","ODT")</f>
        <v>0</v>
      </c>
      <c r="AS54" s="22">
        <f ca="1">+GETPIVOTDATA("XBT4",'binhtrung (2016)'!$A$3,"MA_HT","TIN","MA_QH","TSC")</f>
        <v>0</v>
      </c>
      <c r="AT54" s="22">
        <f ca="1">+GETPIVOTDATA("XBT4",'binhtrung (2016)'!$A$3,"MA_HT","TIN","MA_QH","DTS")</f>
        <v>0</v>
      </c>
      <c r="AU54" s="22">
        <f ca="1">+GETPIVOTDATA("XBT4",'binhtrung (2016)'!$A$3,"MA_HT","TIN","MA_QH","DNG")</f>
        <v>0</v>
      </c>
      <c r="AV54" s="22">
        <f ca="1">+GETPIVOTDATA("XBT4",'binhtrung (2016)'!$A$3,"MA_HT","TIN","MA_QH","TON")</f>
        <v>0</v>
      </c>
      <c r="AW54" s="22">
        <f ca="1">+GETPIVOTDATA("XBT4",'binhtrung (2016)'!$A$3,"MA_HT","TIN","MA_QH","NTD")</f>
        <v>0</v>
      </c>
      <c r="AX54" s="22">
        <f ca="1">+GETPIVOTDATA("XBT4",'binhtrung (2016)'!$A$3,"MA_HT","TIN","MA_QH","SKX")</f>
        <v>0</v>
      </c>
      <c r="AY54" s="22">
        <f ca="1">+GETPIVOTDATA("XBT4",'binhtrung (2016)'!$A$3,"MA_HT","TIN","MA_QH","DSH")</f>
        <v>0</v>
      </c>
      <c r="AZ54" s="22">
        <f ca="1">+GETPIVOTDATA("XBT4",'binhtrung (2016)'!$A$3,"MA_HT","TIN","MA_QH","DKV")</f>
        <v>0</v>
      </c>
      <c r="BA54" s="43" t="e">
        <f ca="1">$D54-$BF54</f>
        <v>#REF!</v>
      </c>
      <c r="BB54" s="22">
        <f ca="1">+GETPIVOTDATA("XBT4",'binhtrung (2016)'!$A$3,"MA_HT","TIN","MA_QH","SON")</f>
        <v>0</v>
      </c>
      <c r="BC54" s="22">
        <f ca="1">+GETPIVOTDATA("XBT4",'binhtrung (2016)'!$A$3,"MA_HT","TIN","MA_QH","MNC")</f>
        <v>0</v>
      </c>
      <c r="BD54" s="22">
        <f ca="1">+GETPIVOTDATA("XBT4",'binhtrung (2016)'!$A$3,"MA_HT","TIN","MA_QH","PNK")</f>
        <v>0</v>
      </c>
      <c r="BE54" s="71">
        <f ca="1">+GETPIVOTDATA("XBT4",'binhtrung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+GETPIVOTDATA("XBT4",'binhtrung (2016)'!$A$3,"MA_HT","SON","MA_QH","LUC")</f>
        <v>0</v>
      </c>
      <c r="H55" s="22">
        <f ca="1">+GETPIVOTDATA("XBT4",'binhtrung (2016)'!$A$3,"MA_HT","SON","MA_QH","LUK")</f>
        <v>0</v>
      </c>
      <c r="I55" s="22">
        <f ca="1">+GETPIVOTDATA("XBT4",'binhtrung (2016)'!$A$3,"MA_HT","SON","MA_QH","LUN")</f>
        <v>0</v>
      </c>
      <c r="J55" s="22">
        <f ca="1">+GETPIVOTDATA("XBT4",'binhtrung (2016)'!$A$3,"MA_HT","SON","MA_QH","HNK")</f>
        <v>0</v>
      </c>
      <c r="K55" s="22">
        <f ca="1">+GETPIVOTDATA("XBT4",'binhtrung (2016)'!$A$3,"MA_HT","SON","MA_QH","CLN")</f>
        <v>0</v>
      </c>
      <c r="L55" s="22">
        <f ca="1">+GETPIVOTDATA("XBT4",'binhtrung (2016)'!$A$3,"MA_HT","SON","MA_QH","RSX")</f>
        <v>0</v>
      </c>
      <c r="M55" s="22">
        <f ca="1">+GETPIVOTDATA("XBT4",'binhtrung (2016)'!$A$3,"MA_HT","SON","MA_QH","RPH")</f>
        <v>0</v>
      </c>
      <c r="N55" s="22">
        <f ca="1">+GETPIVOTDATA("XBT4",'binhtrung (2016)'!$A$3,"MA_HT","SON","MA_QH","RDD")</f>
        <v>0</v>
      </c>
      <c r="O55" s="22">
        <f ca="1">+GETPIVOTDATA("XBT4",'binhtrung (2016)'!$A$3,"MA_HT","SON","MA_QH","NTS")</f>
        <v>0</v>
      </c>
      <c r="P55" s="22">
        <f ca="1">+GETPIVOTDATA("XBT4",'binhtrung (2016)'!$A$3,"MA_HT","SON","MA_QH","LMU")</f>
        <v>0</v>
      </c>
      <c r="Q55" s="22">
        <f ca="1">+GETPIVOTDATA("XBT4",'binhtrung (2016)'!$A$3,"MA_HT","SON","MA_QH","NKH")</f>
        <v>0</v>
      </c>
      <c r="R55" s="79">
        <f ca="1">SUM(S55:AA55,AN55:AZ55,BC55:BD55)</f>
        <v>0</v>
      </c>
      <c r="S55" s="22">
        <f ca="1">+GETPIVOTDATA("XBT4",'binhtrung (2016)'!$A$3,"MA_HT","SON","MA_QH","CQP")</f>
        <v>0</v>
      </c>
      <c r="T55" s="22">
        <f ca="1">+GETPIVOTDATA("XBT4",'binhtrung (2016)'!$A$3,"MA_HT","SON","MA_QH","CAN")</f>
        <v>0</v>
      </c>
      <c r="U55" s="22">
        <f ca="1">+GETPIVOTDATA("XBT4",'binhtrung (2016)'!$A$3,"MA_HT","SON","MA_QH","SKK")</f>
        <v>0</v>
      </c>
      <c r="V55" s="22">
        <f ca="1">+GETPIVOTDATA("XBT4",'binhtrung (2016)'!$A$3,"MA_HT","SON","MA_QH","SKT")</f>
        <v>0</v>
      </c>
      <c r="W55" s="22">
        <f ca="1">+GETPIVOTDATA("XBT4",'binhtrung (2016)'!$A$3,"MA_HT","SON","MA_QH","SKN")</f>
        <v>0</v>
      </c>
      <c r="X55" s="22">
        <f ca="1">+GETPIVOTDATA("XBT4",'binhtrung (2016)'!$A$3,"MA_HT","SON","MA_QH","TMD")</f>
        <v>0</v>
      </c>
      <c r="Y55" s="22">
        <f ca="1">+GETPIVOTDATA("XBT4",'binhtrung (2016)'!$A$3,"MA_HT","SON","MA_QH","SKC")</f>
        <v>0</v>
      </c>
      <c r="Z55" s="22">
        <f ca="1">+GETPIVOTDATA("XBT4",'binhtrung (2016)'!$A$3,"MA_HT","SON","MA_QH","SKS")</f>
        <v>0</v>
      </c>
      <c r="AA55" s="52">
        <f ca="1" t="shared" si="21"/>
        <v>0</v>
      </c>
      <c r="AB55" s="22">
        <f ca="1">+GETPIVOTDATA("XBT4",'binhtrung (2016)'!$A$3,"MA_HT","SON","MA_QH","DGT")</f>
        <v>0</v>
      </c>
      <c r="AC55" s="22">
        <f ca="1">+GETPIVOTDATA("XBT4",'binhtrung (2016)'!$A$3,"MA_HT","SON","MA_QH","DTL")</f>
        <v>0</v>
      </c>
      <c r="AD55" s="22">
        <f ca="1">+GETPIVOTDATA("XBT4",'binhtrung (2016)'!$A$3,"MA_HT","SON","MA_QH","DNL")</f>
        <v>0</v>
      </c>
      <c r="AE55" s="22">
        <f ca="1">+GETPIVOTDATA("XBT4",'binhtrung (2016)'!$A$3,"MA_HT","SON","MA_QH","DBV")</f>
        <v>0</v>
      </c>
      <c r="AF55" s="22">
        <f ca="1">+GETPIVOTDATA("XBT4",'binhtrung (2016)'!$A$3,"MA_HT","SON","MA_QH","DVH")</f>
        <v>0</v>
      </c>
      <c r="AG55" s="22">
        <f ca="1">+GETPIVOTDATA("XBT4",'binhtrung (2016)'!$A$3,"MA_HT","SON","MA_QH","DYT")</f>
        <v>0</v>
      </c>
      <c r="AH55" s="22">
        <f ca="1">+GETPIVOTDATA("XBT4",'binhtrung (2016)'!$A$3,"MA_HT","SON","MA_QH","DGD")</f>
        <v>0</v>
      </c>
      <c r="AI55" s="22">
        <f ca="1">+GETPIVOTDATA("XBT4",'binhtrung (2016)'!$A$3,"MA_HT","SON","MA_QH","DTT")</f>
        <v>0</v>
      </c>
      <c r="AJ55" s="22">
        <f ca="1">+GETPIVOTDATA("XBT4",'binhtrung (2016)'!$A$3,"MA_HT","SON","MA_QH","NCK")</f>
        <v>0</v>
      </c>
      <c r="AK55" s="22">
        <f ca="1">+GETPIVOTDATA("XBT4",'binhtrung (2016)'!$A$3,"MA_HT","SON","MA_QH","DXH")</f>
        <v>0</v>
      </c>
      <c r="AL55" s="22">
        <f ca="1">+GETPIVOTDATA("XBT4",'binhtrung (2016)'!$A$3,"MA_HT","SON","MA_QH","DCH")</f>
        <v>0</v>
      </c>
      <c r="AM55" s="22">
        <f ca="1">+GETPIVOTDATA("XBT4",'binhtrung (2016)'!$A$3,"MA_HT","SON","MA_QH","DKG")</f>
        <v>0</v>
      </c>
      <c r="AN55" s="22">
        <f ca="1">+GETPIVOTDATA("XBT4",'binhtrung (2016)'!$A$3,"MA_HT","SON","MA_QH","DDT")</f>
        <v>0</v>
      </c>
      <c r="AO55" s="22">
        <f ca="1">+GETPIVOTDATA("XBT4",'binhtrung (2016)'!$A$3,"MA_HT","SON","MA_QH","DDL")</f>
        <v>0</v>
      </c>
      <c r="AP55" s="22">
        <f ca="1">+GETPIVOTDATA("XBT4",'binhtrung (2016)'!$A$3,"MA_HT","SON","MA_QH","DRA")</f>
        <v>0</v>
      </c>
      <c r="AQ55" s="22">
        <f ca="1">+GETPIVOTDATA("XBT4",'binhtrung (2016)'!$A$3,"MA_HT","SON","MA_QH","ONT")</f>
        <v>0</v>
      </c>
      <c r="AR55" s="22">
        <f ca="1">+GETPIVOTDATA("XBT4",'binhtrung (2016)'!$A$3,"MA_HT","SON","MA_QH","ODT")</f>
        <v>0</v>
      </c>
      <c r="AS55" s="22">
        <f ca="1">+GETPIVOTDATA("XBT4",'binhtrung (2016)'!$A$3,"MA_HT","SON","MA_QH","TSC")</f>
        <v>0</v>
      </c>
      <c r="AT55" s="22">
        <f ca="1">+GETPIVOTDATA("XBT4",'binhtrung (2016)'!$A$3,"MA_HT","SON","MA_QH","DTS")</f>
        <v>0</v>
      </c>
      <c r="AU55" s="22">
        <f ca="1">+GETPIVOTDATA("XBT4",'binhtrung (2016)'!$A$3,"MA_HT","SON","MA_QH","DNG")</f>
        <v>0</v>
      </c>
      <c r="AV55" s="22">
        <f ca="1">+GETPIVOTDATA("XBT4",'binhtrung (2016)'!$A$3,"MA_HT","SON","MA_QH","TON")</f>
        <v>0</v>
      </c>
      <c r="AW55" s="22">
        <f ca="1">+GETPIVOTDATA("XBT4",'binhtrung (2016)'!$A$3,"MA_HT","SON","MA_QH","NTD")</f>
        <v>0</v>
      </c>
      <c r="AX55" s="22">
        <f ca="1">+GETPIVOTDATA("XBT4",'binhtrung (2016)'!$A$3,"MA_HT","SON","MA_QH","SKX")</f>
        <v>0</v>
      </c>
      <c r="AY55" s="22">
        <f ca="1">+GETPIVOTDATA("XBT4",'binhtrung (2016)'!$A$3,"MA_HT","SON","MA_QH","DSH")</f>
        <v>0</v>
      </c>
      <c r="AZ55" s="22">
        <f ca="1">+GETPIVOTDATA("XBT4",'binhtrung (2016)'!$A$3,"MA_HT","SON","MA_QH","DKV")</f>
        <v>0</v>
      </c>
      <c r="BA55" s="89">
        <f ca="1">+GETPIVOTDATA("XBT4",'binhtrung (2016)'!$A$3,"MA_HT","SON","MA_QH","TIN")</f>
        <v>0</v>
      </c>
      <c r="BB55" s="43" t="e">
        <f ca="1">$D55-$BF55</f>
        <v>#REF!</v>
      </c>
      <c r="BC55" s="50">
        <f ca="1">+GETPIVOTDATA("XBT4",'binhtrung (2016)'!$A$3,"MA_HT","SON","MA_QH","MNC")</f>
        <v>0</v>
      </c>
      <c r="BD55" s="22">
        <f ca="1">+GETPIVOTDATA("XBT4",'binhtrung (2016)'!$A$3,"MA_HT","SON","MA_QH","PNK")</f>
        <v>0</v>
      </c>
      <c r="BE55" s="71">
        <f ca="1">+GETPIVOTDATA("XBT4",'binhtrung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+GETPIVOTDATA("XBT4",'binhtrung (2016)'!$A$3,"MA_HT","MNC","MA_QH","LUC")</f>
        <v>0</v>
      </c>
      <c r="H56" s="22">
        <f ca="1">+GETPIVOTDATA("XBT4",'binhtrung (2016)'!$A$3,"MA_HT","MNC","MA_QH","LUK")</f>
        <v>0</v>
      </c>
      <c r="I56" s="22">
        <f ca="1">+GETPIVOTDATA("XBT4",'binhtrung (2016)'!$A$3,"MA_HT","MNC","MA_QH","LUN")</f>
        <v>0</v>
      </c>
      <c r="J56" s="22">
        <f ca="1">+GETPIVOTDATA("XBT4",'binhtrung (2016)'!$A$3,"MA_HT","MNC","MA_QH","HNK")</f>
        <v>0</v>
      </c>
      <c r="K56" s="22">
        <f ca="1">+GETPIVOTDATA("XBT4",'binhtrung (2016)'!$A$3,"MA_HT","MNC","MA_QH","CLN")</f>
        <v>0</v>
      </c>
      <c r="L56" s="22">
        <f ca="1">+GETPIVOTDATA("XBT4",'binhtrung (2016)'!$A$3,"MA_HT","MNC","MA_QH","RSX")</f>
        <v>0</v>
      </c>
      <c r="M56" s="22">
        <f ca="1">+GETPIVOTDATA("XBT4",'binhtrung (2016)'!$A$3,"MA_HT","MNC","MA_QH","RPH")</f>
        <v>0</v>
      </c>
      <c r="N56" s="22">
        <f ca="1">+GETPIVOTDATA("XBT4",'binhtrung (2016)'!$A$3,"MA_HT","MNC","MA_QH","RDD")</f>
        <v>0</v>
      </c>
      <c r="O56" s="22">
        <f ca="1">+GETPIVOTDATA("XBT4",'binhtrung (2016)'!$A$3,"MA_HT","MNC","MA_QH","NTS")</f>
        <v>0</v>
      </c>
      <c r="P56" s="22">
        <f ca="1">+GETPIVOTDATA("XBT4",'binhtrung (2016)'!$A$3,"MA_HT","MNC","MA_QH","LMU")</f>
        <v>0</v>
      </c>
      <c r="Q56" s="22">
        <f ca="1">+GETPIVOTDATA("XBT4",'binhtrung (2016)'!$A$3,"MA_HT","MNC","MA_QH","NKH")</f>
        <v>0</v>
      </c>
      <c r="R56" s="79">
        <f ca="1">SUM(S56:AA56,AN56:BB56,BD56)</f>
        <v>0</v>
      </c>
      <c r="S56" s="22">
        <f ca="1">+GETPIVOTDATA("XBT4",'binhtrung (2016)'!$A$3,"MA_HT","MNC","MA_QH","CQP")</f>
        <v>0</v>
      </c>
      <c r="T56" s="22">
        <f ca="1">+GETPIVOTDATA("XBT4",'binhtrung (2016)'!$A$3,"MA_HT","MNC","MA_QH","CAN")</f>
        <v>0</v>
      </c>
      <c r="U56" s="22">
        <f ca="1">+GETPIVOTDATA("XBT4",'binhtrung (2016)'!$A$3,"MA_HT","MNC","MA_QH","SKK")</f>
        <v>0</v>
      </c>
      <c r="V56" s="22">
        <f ca="1">+GETPIVOTDATA("XBT4",'binhtrung (2016)'!$A$3,"MA_HT","MNC","MA_QH","SKT")</f>
        <v>0</v>
      </c>
      <c r="W56" s="22">
        <f ca="1">+GETPIVOTDATA("XBT4",'binhtrung (2016)'!$A$3,"MA_HT","MNC","MA_QH","SKN")</f>
        <v>0</v>
      </c>
      <c r="X56" s="22">
        <f ca="1">+GETPIVOTDATA("XBT4",'binhtrung (2016)'!$A$3,"MA_HT","MNC","MA_QH","TMD")</f>
        <v>0</v>
      </c>
      <c r="Y56" s="22">
        <f ca="1">+GETPIVOTDATA("XBT4",'binhtrung (2016)'!$A$3,"MA_HT","MNC","MA_QH","SKC")</f>
        <v>0</v>
      </c>
      <c r="Z56" s="22">
        <f ca="1">+GETPIVOTDATA("XBT4",'binhtrung (2016)'!$A$3,"MA_HT","MNC","MA_QH","SKS")</f>
        <v>0</v>
      </c>
      <c r="AA56" s="52">
        <f ca="1" t="shared" si="21"/>
        <v>0</v>
      </c>
      <c r="AB56" s="22">
        <f ca="1">+GETPIVOTDATA("XBT4",'binhtrung (2016)'!$A$3,"MA_HT","MNC","MA_QH","DGT")</f>
        <v>0</v>
      </c>
      <c r="AC56" s="22">
        <f ca="1">+GETPIVOTDATA("XBT4",'binhtrung (2016)'!$A$3,"MA_HT","MNC","MA_QH","DTL")</f>
        <v>0</v>
      </c>
      <c r="AD56" s="22">
        <f ca="1">+GETPIVOTDATA("XBT4",'binhtrung (2016)'!$A$3,"MA_HT","MNC","MA_QH","DNL")</f>
        <v>0</v>
      </c>
      <c r="AE56" s="22">
        <f ca="1">+GETPIVOTDATA("XBT4",'binhtrung (2016)'!$A$3,"MA_HT","MNC","MA_QH","DBV")</f>
        <v>0</v>
      </c>
      <c r="AF56" s="22">
        <f ca="1">+GETPIVOTDATA("XBT4",'binhtrung (2016)'!$A$3,"MA_HT","MNC","MA_QH","DVH")</f>
        <v>0</v>
      </c>
      <c r="AG56" s="22">
        <f ca="1">+GETPIVOTDATA("XBT4",'binhtrung (2016)'!$A$3,"MA_HT","MNC","MA_QH","DYT")</f>
        <v>0</v>
      </c>
      <c r="AH56" s="22">
        <f ca="1">+GETPIVOTDATA("XBT4",'binhtrung (2016)'!$A$3,"MA_HT","MNC","MA_QH","DGD")</f>
        <v>0</v>
      </c>
      <c r="AI56" s="22">
        <f ca="1">+GETPIVOTDATA("XBT4",'binhtrung (2016)'!$A$3,"MA_HT","MNC","MA_QH","DTT")</f>
        <v>0</v>
      </c>
      <c r="AJ56" s="22">
        <f ca="1">+GETPIVOTDATA("XBT4",'binhtrung (2016)'!$A$3,"MA_HT","MNC","MA_QH","NCK")</f>
        <v>0</v>
      </c>
      <c r="AK56" s="22">
        <f ca="1">+GETPIVOTDATA("XBT4",'binhtrung (2016)'!$A$3,"MA_HT","MNC","MA_QH","DXH")</f>
        <v>0</v>
      </c>
      <c r="AL56" s="22">
        <f ca="1">+GETPIVOTDATA("XBT4",'binhtrung (2016)'!$A$3,"MA_HT","MNC","MA_QH","DCH")</f>
        <v>0</v>
      </c>
      <c r="AM56" s="22">
        <f ca="1">+GETPIVOTDATA("XBT4",'binhtrung (2016)'!$A$3,"MA_HT","MNC","MA_QH","DKG")</f>
        <v>0</v>
      </c>
      <c r="AN56" s="22">
        <f ca="1">+GETPIVOTDATA("XBT4",'binhtrung (2016)'!$A$3,"MA_HT","MNC","MA_QH","DDT")</f>
        <v>0</v>
      </c>
      <c r="AO56" s="22">
        <f ca="1">+GETPIVOTDATA("XBT4",'binhtrung (2016)'!$A$3,"MA_HT","MNC","MA_QH","DDL")</f>
        <v>0</v>
      </c>
      <c r="AP56" s="22">
        <f ca="1">+GETPIVOTDATA("XBT4",'binhtrung (2016)'!$A$3,"MA_HT","MNC","MA_QH","DRA")</f>
        <v>0</v>
      </c>
      <c r="AQ56" s="22">
        <f ca="1">+GETPIVOTDATA("XBT4",'binhtrung (2016)'!$A$3,"MA_HT","MNC","MA_QH","ONT")</f>
        <v>0</v>
      </c>
      <c r="AR56" s="22">
        <f ca="1">+GETPIVOTDATA("XBT4",'binhtrung (2016)'!$A$3,"MA_HT","MNC","MA_QH","ODT")</f>
        <v>0</v>
      </c>
      <c r="AS56" s="22">
        <f ca="1">+GETPIVOTDATA("XBT4",'binhtrung (2016)'!$A$3,"MA_HT","MNC","MA_QH","TSC")</f>
        <v>0</v>
      </c>
      <c r="AT56" s="22">
        <f ca="1">+GETPIVOTDATA("XBT4",'binhtrung (2016)'!$A$3,"MA_HT","MNC","MA_QH","DTS")</f>
        <v>0</v>
      </c>
      <c r="AU56" s="22">
        <f ca="1">+GETPIVOTDATA("XBT4",'binhtrung (2016)'!$A$3,"MA_HT","MNC","MA_QH","DNG")</f>
        <v>0</v>
      </c>
      <c r="AV56" s="22">
        <f ca="1">+GETPIVOTDATA("XBT4",'binhtrung (2016)'!$A$3,"MA_HT","MNC","MA_QH","TON")</f>
        <v>0</v>
      </c>
      <c r="AW56" s="22">
        <f ca="1">+GETPIVOTDATA("XBT4",'binhtrung (2016)'!$A$3,"MA_HT","MNC","MA_QH","NTD")</f>
        <v>0</v>
      </c>
      <c r="AX56" s="22">
        <f ca="1">+GETPIVOTDATA("XBT4",'binhtrung (2016)'!$A$3,"MA_HT","MNC","MA_QH","SKX")</f>
        <v>0</v>
      </c>
      <c r="AY56" s="22">
        <f ca="1">+GETPIVOTDATA("XBT4",'binhtrung (2016)'!$A$3,"MA_HT","MNC","MA_QH","DSH")</f>
        <v>0</v>
      </c>
      <c r="AZ56" s="22">
        <f ca="1">+GETPIVOTDATA("XBT4",'binhtrung (2016)'!$A$3,"MA_HT","MNC","MA_QH","DKV")</f>
        <v>0</v>
      </c>
      <c r="BA56" s="89">
        <f ca="1">+GETPIVOTDATA("XBT4",'binhtrung (2016)'!$A$3,"MA_HT","MNC","MA_QH","TIN")</f>
        <v>0</v>
      </c>
      <c r="BB56" s="50">
        <f ca="1">+GETPIVOTDATA("XBT4",'binhtrung (2016)'!$A$3,"MA_HT","MNC","MA_QH","SON")</f>
        <v>0</v>
      </c>
      <c r="BC56" s="43" t="e">
        <f ca="1">$D56-$BF56</f>
        <v>#REF!</v>
      </c>
      <c r="BD56" s="22">
        <f ca="1">+GETPIVOTDATA("XBT4",'binhtrung (2016)'!$A$3,"MA_HT","MNC","MA_QH","PNK")</f>
        <v>0</v>
      </c>
      <c r="BE56" s="71">
        <f ca="1">+GETPIVOTDATA("XBT4",'binhtrung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+GETPIVOTDATA("XBT4",'binhtrung (2016)'!$A$3,"MA_HT","PNK","MA_QH","LUC")</f>
        <v>0</v>
      </c>
      <c r="H57" s="22">
        <f ca="1">+GETPIVOTDATA("XBT4",'binhtrung (2016)'!$A$3,"MA_HT","PNK","MA_QH","LUK")</f>
        <v>0</v>
      </c>
      <c r="I57" s="22">
        <f ca="1">+GETPIVOTDATA("XBT4",'binhtrung (2016)'!$A$3,"MA_HT","PNK","MA_QH","LUN")</f>
        <v>0</v>
      </c>
      <c r="J57" s="22">
        <f ca="1">+GETPIVOTDATA("XBT4",'binhtrung (2016)'!$A$3,"MA_HT","PNK","MA_QH","HNK")</f>
        <v>0</v>
      </c>
      <c r="K57" s="22">
        <f ca="1">+GETPIVOTDATA("XBT4",'binhtrung (2016)'!$A$3,"MA_HT","PNK","MA_QH","CLN")</f>
        <v>0</v>
      </c>
      <c r="L57" s="22">
        <f ca="1">+GETPIVOTDATA("XBT4",'binhtrung (2016)'!$A$3,"MA_HT","PNK","MA_QH","RSX")</f>
        <v>0</v>
      </c>
      <c r="M57" s="22">
        <f ca="1">+GETPIVOTDATA("XBT4",'binhtrung (2016)'!$A$3,"MA_HT","PNK","MA_QH","RPH")</f>
        <v>0</v>
      </c>
      <c r="N57" s="22">
        <f ca="1">+GETPIVOTDATA("XBT4",'binhtrung (2016)'!$A$3,"MA_HT","PNK","MA_QH","RDD")</f>
        <v>0</v>
      </c>
      <c r="O57" s="22">
        <f ca="1">+GETPIVOTDATA("XBT4",'binhtrung (2016)'!$A$3,"MA_HT","PNK","MA_QH","NTS")</f>
        <v>0</v>
      </c>
      <c r="P57" s="22">
        <f ca="1">+GETPIVOTDATA("XBT4",'binhtrung (2016)'!$A$3,"MA_HT","PNK","MA_QH","LMU")</f>
        <v>0</v>
      </c>
      <c r="Q57" s="22">
        <f ca="1">+GETPIVOTDATA("XBT4",'binhtrung (2016)'!$A$3,"MA_HT","PNK","MA_QH","NKH")</f>
        <v>0</v>
      </c>
      <c r="R57" s="79">
        <f ca="1">SUM(S57:AA57,AN57:BC57)</f>
        <v>0</v>
      </c>
      <c r="S57" s="22">
        <f ca="1">+GETPIVOTDATA("XBT4",'binhtrung (2016)'!$A$3,"MA_HT","PNK","MA_QH","CQP")</f>
        <v>0</v>
      </c>
      <c r="T57" s="22">
        <f ca="1">+GETPIVOTDATA("XBT4",'binhtrung (2016)'!$A$3,"MA_HT","PNK","MA_QH","CAN")</f>
        <v>0</v>
      </c>
      <c r="U57" s="22">
        <f ca="1">+GETPIVOTDATA("XBT4",'binhtrung (2016)'!$A$3,"MA_HT","PNK","MA_QH","SKK")</f>
        <v>0</v>
      </c>
      <c r="V57" s="22">
        <f ca="1">+GETPIVOTDATA("XBT4",'binhtrung (2016)'!$A$3,"MA_HT","PNK","MA_QH","SKT")</f>
        <v>0</v>
      </c>
      <c r="W57" s="22">
        <f ca="1">+GETPIVOTDATA("XBT4",'binhtrung (2016)'!$A$3,"MA_HT","PNK","MA_QH","SKN")</f>
        <v>0</v>
      </c>
      <c r="X57" s="22">
        <f ca="1">+GETPIVOTDATA("XBT4",'binhtrung (2016)'!$A$3,"MA_HT","PNK","MA_QH","TMD")</f>
        <v>0</v>
      </c>
      <c r="Y57" s="22">
        <f ca="1">+GETPIVOTDATA("XBT4",'binhtrung (2016)'!$A$3,"MA_HT","PNK","MA_QH","SKC")</f>
        <v>0</v>
      </c>
      <c r="Z57" s="22">
        <f ca="1">+GETPIVOTDATA("XBT4",'binhtrung (2016)'!$A$3,"MA_HT","PNK","MA_QH","SKS")</f>
        <v>0</v>
      </c>
      <c r="AA57" s="52">
        <f ca="1" t="shared" si="21"/>
        <v>0</v>
      </c>
      <c r="AB57" s="22">
        <f ca="1">+GETPIVOTDATA("XBT4",'binhtrung (2016)'!$A$3,"MA_HT","PNK","MA_QH","DGT")</f>
        <v>0</v>
      </c>
      <c r="AC57" s="22">
        <f ca="1">+GETPIVOTDATA("XBT4",'binhtrung (2016)'!$A$3,"MA_HT","PNK","MA_QH","DTL")</f>
        <v>0</v>
      </c>
      <c r="AD57" s="22">
        <f ca="1">+GETPIVOTDATA("XBT4",'binhtrung (2016)'!$A$3,"MA_HT","PNK","MA_QH","DNL")</f>
        <v>0</v>
      </c>
      <c r="AE57" s="22">
        <f ca="1">+GETPIVOTDATA("XBT4",'binhtrung (2016)'!$A$3,"MA_HT","PNK","MA_QH","DBV")</f>
        <v>0</v>
      </c>
      <c r="AF57" s="22">
        <f ca="1">+GETPIVOTDATA("XBT4",'binhtrung (2016)'!$A$3,"MA_HT","PNK","MA_QH","DVH")</f>
        <v>0</v>
      </c>
      <c r="AG57" s="22">
        <f ca="1">+GETPIVOTDATA("XBT4",'binhtrung (2016)'!$A$3,"MA_HT","PNK","MA_QH","DYT")</f>
        <v>0</v>
      </c>
      <c r="AH57" s="22">
        <f ca="1">+GETPIVOTDATA("XBT4",'binhtrung (2016)'!$A$3,"MA_HT","PNK","MA_QH","DGD")</f>
        <v>0</v>
      </c>
      <c r="AI57" s="22">
        <f ca="1">+GETPIVOTDATA("XBT4",'binhtrung (2016)'!$A$3,"MA_HT","PNK","MA_QH","DTT")</f>
        <v>0</v>
      </c>
      <c r="AJ57" s="22">
        <f ca="1">+GETPIVOTDATA("XBT4",'binhtrung (2016)'!$A$3,"MA_HT","PNK","MA_QH","NCK")</f>
        <v>0</v>
      </c>
      <c r="AK57" s="22">
        <f ca="1">+GETPIVOTDATA("XBT4",'binhtrung (2016)'!$A$3,"MA_HT","PNK","MA_QH","DXH")</f>
        <v>0</v>
      </c>
      <c r="AL57" s="22">
        <f ca="1">+GETPIVOTDATA("XBT4",'binhtrung (2016)'!$A$3,"MA_HT","PNK","MA_QH","DCH")</f>
        <v>0</v>
      </c>
      <c r="AM57" s="22">
        <f ca="1">+GETPIVOTDATA("XBT4",'binhtrung (2016)'!$A$3,"MA_HT","PNK","MA_QH","DKG")</f>
        <v>0</v>
      </c>
      <c r="AN57" s="22">
        <f ca="1">+GETPIVOTDATA("XBT4",'binhtrung (2016)'!$A$3,"MA_HT","PNK","MA_QH","DDT")</f>
        <v>0</v>
      </c>
      <c r="AO57" s="22">
        <f ca="1">+GETPIVOTDATA("XBT4",'binhtrung (2016)'!$A$3,"MA_HT","PNK","MA_QH","DDL")</f>
        <v>0</v>
      </c>
      <c r="AP57" s="22">
        <f ca="1">+GETPIVOTDATA("XBT4",'binhtrung (2016)'!$A$3,"MA_HT","PNK","MA_QH","DRA")</f>
        <v>0</v>
      </c>
      <c r="AQ57" s="22">
        <f ca="1">+GETPIVOTDATA("XBT4",'binhtrung (2016)'!$A$3,"MA_HT","PNK","MA_QH","ONT")</f>
        <v>0</v>
      </c>
      <c r="AR57" s="22">
        <f ca="1">+GETPIVOTDATA("XBT4",'binhtrung (2016)'!$A$3,"MA_HT","PNK","MA_QH","ODT")</f>
        <v>0</v>
      </c>
      <c r="AS57" s="22">
        <f ca="1">+GETPIVOTDATA("XBT4",'binhtrung (2016)'!$A$3,"MA_HT","PNK","MA_QH","TSC")</f>
        <v>0</v>
      </c>
      <c r="AT57" s="22">
        <f ca="1">+GETPIVOTDATA("XBT4",'binhtrung (2016)'!$A$3,"MA_HT","PNK","MA_QH","DTS")</f>
        <v>0</v>
      </c>
      <c r="AU57" s="22">
        <f ca="1">+GETPIVOTDATA("XBT4",'binhtrung (2016)'!$A$3,"MA_HT","PNK","MA_QH","DNG")</f>
        <v>0</v>
      </c>
      <c r="AV57" s="22">
        <f ca="1">+GETPIVOTDATA("XBT4",'binhtrung (2016)'!$A$3,"MA_HT","PNK","MA_QH","TON")</f>
        <v>0</v>
      </c>
      <c r="AW57" s="22">
        <f ca="1">+GETPIVOTDATA("XBT4",'binhtrung (2016)'!$A$3,"MA_HT","PNK","MA_QH","NTD")</f>
        <v>0</v>
      </c>
      <c r="AX57" s="22">
        <f ca="1">+GETPIVOTDATA("XBT4",'binhtrung (2016)'!$A$3,"MA_HT","PNK","MA_QH","SKX")</f>
        <v>0</v>
      </c>
      <c r="AY57" s="22">
        <f ca="1">+GETPIVOTDATA("XBT4",'binhtrung (2016)'!$A$3,"MA_HT","PNK","MA_QH","DSH")</f>
        <v>0</v>
      </c>
      <c r="AZ57" s="22">
        <f ca="1">+GETPIVOTDATA("XBT4",'binhtrung (2016)'!$A$3,"MA_HT","PNK","MA_QH","DKV")</f>
        <v>0</v>
      </c>
      <c r="BA57" s="89">
        <f ca="1">+GETPIVOTDATA("XBT4",'binhtrung (2016)'!$A$3,"MA_HT","PNK","MA_QH","TIN")</f>
        <v>0</v>
      </c>
      <c r="BB57" s="50">
        <f ca="1">+GETPIVOTDATA("XBT4",'binhtrung (2016)'!$A$3,"MA_HT","PNK","MA_QH","SON")</f>
        <v>0</v>
      </c>
      <c r="BC57" s="50">
        <f ca="1">+GETPIVOTDATA("XBT4",'binhtrung (2016)'!$A$3,"MA_HT","PNK","MA_QH","MNC")</f>
        <v>0</v>
      </c>
      <c r="BD57" s="43" t="e">
        <f ca="1">$D57-$BF57</f>
        <v>#REF!</v>
      </c>
      <c r="BE57" s="71">
        <f ca="1">+GETPIVOTDATA("XBT4",'binhtrung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+GETPIVOTDATA("XBT4",'binhtrung (2016)'!$A$3,"MA_HT","CSD","MA_QH","LUC")</f>
        <v>0</v>
      </c>
      <c r="H58" s="71">
        <f ca="1">+GETPIVOTDATA("XBT4",'binhtrung (2016)'!$A$3,"MA_HT","CSD","MA_QH","LUK")</f>
        <v>0</v>
      </c>
      <c r="I58" s="71">
        <f ca="1">+GETPIVOTDATA("XBT4",'binhtrung (2016)'!$A$3,"MA_HT","CSD","MA_QH","LUN")</f>
        <v>0</v>
      </c>
      <c r="J58" s="71">
        <f ca="1">+GETPIVOTDATA("XBT4",'binhtrung (2016)'!$A$3,"MA_HT","CSD","MA_QH","HNK")</f>
        <v>0</v>
      </c>
      <c r="K58" s="71">
        <f ca="1">+GETPIVOTDATA("XBT4",'binhtrung (2016)'!$A$3,"MA_HT","CSD","MA_QH","CLN")</f>
        <v>0</v>
      </c>
      <c r="L58" s="71">
        <f ca="1">+GETPIVOTDATA("XBT4",'binhtrung (2016)'!$A$3,"MA_HT","CSD","MA_QH","RSX")</f>
        <v>0</v>
      </c>
      <c r="M58" s="71">
        <f ca="1">+GETPIVOTDATA("XBT4",'binhtrung (2016)'!$A$3,"MA_HT","CSD","MA_QH","RPH")</f>
        <v>0</v>
      </c>
      <c r="N58" s="71">
        <f ca="1">+GETPIVOTDATA("XBT4",'binhtrung (2016)'!$A$3,"MA_HT","CSD","MA_QH","RDD")</f>
        <v>0</v>
      </c>
      <c r="O58" s="71">
        <f ca="1">+GETPIVOTDATA("XBT4",'binhtrung (2016)'!$A$3,"MA_HT","CSD","MA_QH","NTS")</f>
        <v>0</v>
      </c>
      <c r="P58" s="71">
        <f ca="1">+GETPIVOTDATA("XBT4",'binhtrung (2016)'!$A$3,"MA_HT","CSD","MA_QH","LMU")</f>
        <v>0</v>
      </c>
      <c r="Q58" s="71">
        <f ca="1">+GETPIVOTDATA("XBT4",'binhtrung (2016)'!$A$3,"MA_HT","CSD","MA_QH","NKH")</f>
        <v>0</v>
      </c>
      <c r="R58" s="79">
        <f ca="1">SUM(S58:AA58,AN58:BD58)</f>
        <v>0</v>
      </c>
      <c r="S58" s="80">
        <f ca="1">+GETPIVOTDATA("XBT4",'binhtrung (2016)'!$A$3,"MA_HT","CSD","MA_QH","CQP")</f>
        <v>0</v>
      </c>
      <c r="T58" s="80">
        <f ca="1">+GETPIVOTDATA("XBT4",'binhtrung (2016)'!$A$3,"MA_HT","CSD","MA_QH","CAN")</f>
        <v>0</v>
      </c>
      <c r="U58" s="71">
        <f ca="1">+GETPIVOTDATA("XBT4",'binhtrung (2016)'!$A$3,"MA_HT","CSD","MA_QH","SKK")</f>
        <v>0</v>
      </c>
      <c r="V58" s="71">
        <f ca="1">+GETPIVOTDATA("XBT4",'binhtrung (2016)'!$A$3,"MA_HT","CSD","MA_QH","SKT")</f>
        <v>0</v>
      </c>
      <c r="W58" s="71">
        <f ca="1">+GETPIVOTDATA("XBT4",'binhtrung (2016)'!$A$3,"MA_HT","CSD","MA_QH","SKN")</f>
        <v>0</v>
      </c>
      <c r="X58" s="71">
        <f ca="1">+GETPIVOTDATA("XBT4",'binhtrung (2016)'!$A$3,"MA_HT","CSD","MA_QH","TMD")</f>
        <v>0</v>
      </c>
      <c r="Y58" s="71">
        <f ca="1">+GETPIVOTDATA("XBT4",'binhtrung (2016)'!$A$3,"MA_HT","CSD","MA_QH","SKC")</f>
        <v>0</v>
      </c>
      <c r="Z58" s="71">
        <f ca="1">+GETPIVOTDATA("XBT4",'binhtrung (2016)'!$A$3,"MA_HT","CSD","MA_QH","SKS")</f>
        <v>0</v>
      </c>
      <c r="AA58" s="52">
        <f ca="1" t="shared" si="21"/>
        <v>0</v>
      </c>
      <c r="AB58" s="80">
        <f ca="1">+GETPIVOTDATA("XBT4",'binhtrung (2016)'!$A$3,"MA_HT","CSD","MA_QH","DGT")</f>
        <v>0</v>
      </c>
      <c r="AC58" s="80">
        <f ca="1">+GETPIVOTDATA("XBT4",'binhtrung (2016)'!$A$3,"MA_HT","CSD","MA_QH","DTL")</f>
        <v>0</v>
      </c>
      <c r="AD58" s="80">
        <f ca="1">+GETPIVOTDATA("XBT4",'binhtrung (2016)'!$A$3,"MA_HT","CSD","MA_QH","DNL")</f>
        <v>0</v>
      </c>
      <c r="AE58" s="80">
        <f ca="1">+GETPIVOTDATA("XBT4",'binhtrung (2016)'!$A$3,"MA_HT","CSD","MA_QH","DBV")</f>
        <v>0</v>
      </c>
      <c r="AF58" s="80">
        <f ca="1">+GETPIVOTDATA("XBT4",'binhtrung (2016)'!$A$3,"MA_HT","CSD","MA_QH","DVH")</f>
        <v>0</v>
      </c>
      <c r="AG58" s="80">
        <f ca="1">+GETPIVOTDATA("XBT4",'binhtrung (2016)'!$A$3,"MA_HT","CSD","MA_QH","DYT")</f>
        <v>0</v>
      </c>
      <c r="AH58" s="80">
        <f ca="1">+GETPIVOTDATA("XBT4",'binhtrung (2016)'!$A$3,"MA_HT","CSD","MA_QH","DGD")</f>
        <v>0</v>
      </c>
      <c r="AI58" s="80">
        <f ca="1">+GETPIVOTDATA("XBT4",'binhtrung (2016)'!$A$3,"MA_HT","CSD","MA_QH","DTT")</f>
        <v>0</v>
      </c>
      <c r="AJ58" s="80">
        <f ca="1">+GETPIVOTDATA("XBT4",'binhtrung (2016)'!$A$3,"MA_HT","CSD","MA_QH","NCK")</f>
        <v>0</v>
      </c>
      <c r="AK58" s="80">
        <f ca="1">+GETPIVOTDATA("XBT4",'binhtrung (2016)'!$A$3,"MA_HT","CSD","MA_QH","DXH")</f>
        <v>0</v>
      </c>
      <c r="AL58" s="80">
        <f ca="1">+GETPIVOTDATA("XBT4",'binhtrung (2016)'!$A$3,"MA_HT","CSD","MA_QH","DCH")</f>
        <v>0</v>
      </c>
      <c r="AM58" s="80">
        <f ca="1">+GETPIVOTDATA("XBT4",'binhtrung (2016)'!$A$3,"MA_HT","CSD","MA_QH","DKG")</f>
        <v>0</v>
      </c>
      <c r="AN58" s="71">
        <f ca="1">+GETPIVOTDATA("XBT4",'binhtrung (2016)'!$A$3,"MA_HT","CSD","MA_QH","DDT")</f>
        <v>0</v>
      </c>
      <c r="AO58" s="71">
        <f ca="1">+GETPIVOTDATA("XBT4",'binhtrung (2016)'!$A$3,"MA_HT","CSD","MA_QH","DDL")</f>
        <v>0</v>
      </c>
      <c r="AP58" s="71">
        <f ca="1">+GETPIVOTDATA("XBT4",'binhtrung (2016)'!$A$3,"MA_HT","CSD","MA_QH","DRA")</f>
        <v>0</v>
      </c>
      <c r="AQ58" s="71">
        <f ca="1">+GETPIVOTDATA("XBT4",'binhtrung (2016)'!$A$3,"MA_HT","CSD","MA_QH","ONT")</f>
        <v>0</v>
      </c>
      <c r="AR58" s="71">
        <f ca="1">+GETPIVOTDATA("XBT4",'binhtrung (2016)'!$A$3,"MA_HT","CSD","MA_QH","ODT")</f>
        <v>0</v>
      </c>
      <c r="AS58" s="71">
        <f ca="1">+GETPIVOTDATA("XBT4",'binhtrung (2016)'!$A$3,"MA_HT","CSD","MA_QH","TSC")</f>
        <v>0</v>
      </c>
      <c r="AT58" s="71">
        <f ca="1">+GETPIVOTDATA("XBT4",'binhtrung (2016)'!$A$3,"MA_HT","CSD","MA_QH","DTS")</f>
        <v>0</v>
      </c>
      <c r="AU58" s="71">
        <f ca="1">+GETPIVOTDATA("XBT4",'binhtrung (2016)'!$A$3,"MA_HT","CSD","MA_QH","DNG")</f>
        <v>0</v>
      </c>
      <c r="AV58" s="71">
        <f ca="1">+GETPIVOTDATA("XBT4",'binhtrung (2016)'!$A$3,"MA_HT","CSD","MA_QH","TON")</f>
        <v>0</v>
      </c>
      <c r="AW58" s="71">
        <f ca="1">+GETPIVOTDATA("XBT4",'binhtrung (2016)'!$A$3,"MA_HT","CSD","MA_QH","NTD")</f>
        <v>0</v>
      </c>
      <c r="AX58" s="71">
        <f ca="1">+GETPIVOTDATA("XBT4",'binhtrung (2016)'!$A$3,"MA_HT","CSD","MA_QH","SKX")</f>
        <v>0</v>
      </c>
      <c r="AY58" s="71">
        <f ca="1">+GETPIVOTDATA("XBT4",'binhtrung (2016)'!$A$3,"MA_HT","CSD","MA_QH","DSH")</f>
        <v>0</v>
      </c>
      <c r="AZ58" s="71">
        <f ca="1">+GETPIVOTDATA("XBT4",'binhtrung (2016)'!$A$3,"MA_HT","CSD","MA_QH","DKV")</f>
        <v>0</v>
      </c>
      <c r="BA58" s="89">
        <f ca="1">+GETPIVOTDATA("XBT4",'binhtrung (2016)'!$A$3,"MA_HT","CSD","MA_QH","TIN")</f>
        <v>0</v>
      </c>
      <c r="BB58" s="80">
        <f ca="1">+GETPIVOTDATA("XBT4",'binhtrung (2016)'!$A$3,"MA_HT","CSD","MA_QH","SON")</f>
        <v>0</v>
      </c>
      <c r="BC58" s="80">
        <f ca="1">+GETPIVOTDATA("XBT4",'binhtrung (2016)'!$A$3,"MA_HT","CSD","MA_QH","MNC")</f>
        <v>0</v>
      </c>
      <c r="BD58" s="71">
        <f ca="1">+GETPIVOTDATA("XBT4",'binhtrung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4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+GETPIVOTDATA("XCB4",'cubi (2016)'!$A$3,"MA_HT","LUC","MA_QH","LUK")</f>
        <v>0</v>
      </c>
      <c r="I8" s="50">
        <f ca="1">+GETPIVOTDATA("XCB4",'cubi (2016)'!$A$3,"MA_HT","LUC","MA_QH","LUN")</f>
        <v>0</v>
      </c>
      <c r="J8" s="50">
        <f ca="1">+GETPIVOTDATA("XCB4",'cubi (2016)'!$A$3,"MA_HT","LUC","MA_QH","HNK")</f>
        <v>0</v>
      </c>
      <c r="K8" s="50">
        <f ca="1">+GETPIVOTDATA("XCB4",'cubi (2016)'!$A$3,"MA_HT","LUC","MA_QH","CLN")</f>
        <v>0</v>
      </c>
      <c r="L8" s="50">
        <f ca="1">+GETPIVOTDATA("XCB4",'cubi (2016)'!$A$3,"MA_HT","LUC","MA_QH","RSX")</f>
        <v>0</v>
      </c>
      <c r="M8" s="50">
        <f ca="1">+GETPIVOTDATA("XCB4",'cubi (2016)'!$A$3,"MA_HT","LUC","MA_QH","RPH")</f>
        <v>0</v>
      </c>
      <c r="N8" s="50">
        <f ca="1">+GETPIVOTDATA("XCB4",'cubi (2016)'!$A$3,"MA_HT","LUC","MA_QH","RDD")</f>
        <v>0</v>
      </c>
      <c r="O8" s="50">
        <f ca="1">+GETPIVOTDATA("XCB4",'cubi (2016)'!$A$3,"MA_HT","LUC","MA_QH","NTS")</f>
        <v>0</v>
      </c>
      <c r="P8" s="50">
        <f ca="1">+GETPIVOTDATA("XCB4",'cubi (2016)'!$A$3,"MA_HT","LUC","MA_QH","LMU")</f>
        <v>0</v>
      </c>
      <c r="Q8" s="50">
        <f ca="1">+GETPIVOTDATA("XCB4",'cubi (2016)'!$A$3,"MA_HT","LUC","MA_QH","NKH")</f>
        <v>0</v>
      </c>
      <c r="R8" s="48">
        <f ca="1" t="shared" si="2"/>
        <v>0</v>
      </c>
      <c r="S8" s="50">
        <f ca="1">+GETPIVOTDATA("XCB4",'cubi (2016)'!$A$3,"MA_HT","LUC","MA_QH","CQP")</f>
        <v>0</v>
      </c>
      <c r="T8" s="50">
        <f ca="1">+GETPIVOTDATA("XCB4",'cubi (2016)'!$A$3,"MA_HT","LUC","MA_QH","CAN")</f>
        <v>0</v>
      </c>
      <c r="U8" s="50">
        <f ca="1">+GETPIVOTDATA("XCB4",'cubi (2016)'!$A$3,"MA_HT","LUC","MA_QH","SKK")</f>
        <v>0</v>
      </c>
      <c r="V8" s="50">
        <f ca="1">+GETPIVOTDATA("XCB4",'cubi (2016)'!$A$3,"MA_HT","LUC","MA_QH","SKT")</f>
        <v>0</v>
      </c>
      <c r="W8" s="50">
        <f ca="1">+GETPIVOTDATA("XCB4",'cubi (2016)'!$A$3,"MA_HT","LUC","MA_QH","SKN")</f>
        <v>0</v>
      </c>
      <c r="X8" s="50">
        <f ca="1">+GETPIVOTDATA("XCB4",'cubi (2016)'!$A$3,"MA_HT","LUC","MA_QH","TMD")</f>
        <v>0</v>
      </c>
      <c r="Y8" s="50">
        <f ca="1">+GETPIVOTDATA("XCB4",'cubi (2016)'!$A$3,"MA_HT","LUC","MA_QH","SKC")</f>
        <v>0</v>
      </c>
      <c r="Z8" s="50">
        <f ca="1">+GETPIVOTDATA("XCB4",'cubi (2016)'!$A$3,"MA_HT","LUC","MA_QH","SKS")</f>
        <v>0</v>
      </c>
      <c r="AA8" s="52">
        <f ca="1" t="shared" si="4"/>
        <v>0</v>
      </c>
      <c r="AB8" s="50">
        <f ca="1">+GETPIVOTDATA("XCB4",'cubi (2016)'!$A$3,"MA_HT","LUC","MA_QH","DGT")</f>
        <v>0</v>
      </c>
      <c r="AC8" s="50">
        <f ca="1">+GETPIVOTDATA("XCB4",'cubi (2016)'!$A$3,"MA_HT","LUC","MA_QH","DTL")</f>
        <v>0</v>
      </c>
      <c r="AD8" s="50">
        <f ca="1">+GETPIVOTDATA("XCB4",'cubi (2016)'!$A$3,"MA_HT","LUC","MA_QH","DNL")</f>
        <v>0</v>
      </c>
      <c r="AE8" s="50">
        <f ca="1">+GETPIVOTDATA("XCB4",'cubi (2016)'!$A$3,"MA_HT","LUC","MA_QH","DBV")</f>
        <v>0</v>
      </c>
      <c r="AF8" s="50">
        <f ca="1">+GETPIVOTDATA("XCB4",'cubi (2016)'!$A$3,"MA_HT","LUC","MA_QH","DVH")</f>
        <v>0</v>
      </c>
      <c r="AG8" s="50">
        <f ca="1">+GETPIVOTDATA("XCB4",'cubi (2016)'!$A$3,"MA_HT","LUC","MA_QH","DYT")</f>
        <v>0</v>
      </c>
      <c r="AH8" s="50">
        <f ca="1">+GETPIVOTDATA("XCB4",'cubi (2016)'!$A$3,"MA_HT","LUC","MA_QH","DGD")</f>
        <v>0</v>
      </c>
      <c r="AI8" s="50">
        <f ca="1">+GETPIVOTDATA("XCB4",'cubi (2016)'!$A$3,"MA_HT","LUC","MA_QH","DTT")</f>
        <v>0</v>
      </c>
      <c r="AJ8" s="50">
        <f ca="1">+GETPIVOTDATA("XCB4",'cubi (2016)'!$A$3,"MA_HT","LUC","MA_QH","NCK")</f>
        <v>0</v>
      </c>
      <c r="AK8" s="50">
        <f ca="1">+GETPIVOTDATA("XCB4",'cubi (2016)'!$A$3,"MA_HT","LUC","MA_QH","DXH")</f>
        <v>0</v>
      </c>
      <c r="AL8" s="50">
        <f ca="1">+GETPIVOTDATA("XCB4",'cubi (2016)'!$A$3,"MA_HT","LUC","MA_QH","DCH")</f>
        <v>0</v>
      </c>
      <c r="AM8" s="50">
        <f ca="1">+GETPIVOTDATA("XCB4",'cubi (2016)'!$A$3,"MA_HT","LUC","MA_QH","DKG")</f>
        <v>0</v>
      </c>
      <c r="AN8" s="50">
        <f ca="1">+GETPIVOTDATA("XCB4",'cubi (2016)'!$A$3,"MA_HT","LUC","MA_QH","DDT")</f>
        <v>0</v>
      </c>
      <c r="AO8" s="50">
        <f ca="1">+GETPIVOTDATA("XCB4",'cubi (2016)'!$A$3,"MA_HT","LUC","MA_QH","DDL")</f>
        <v>0</v>
      </c>
      <c r="AP8" s="50">
        <f ca="1">+GETPIVOTDATA("XCB4",'cubi (2016)'!$A$3,"MA_HT","LUC","MA_QH","DRA")</f>
        <v>0</v>
      </c>
      <c r="AQ8" s="50">
        <f ca="1">+GETPIVOTDATA("XCB4",'cubi (2016)'!$A$3,"MA_HT","LUC","MA_QH","ONT")</f>
        <v>0</v>
      </c>
      <c r="AR8" s="50">
        <f ca="1">+GETPIVOTDATA("XCB4",'cubi (2016)'!$A$3,"MA_HT","LUC","MA_QH","ODT")</f>
        <v>0</v>
      </c>
      <c r="AS8" s="50">
        <f ca="1">+GETPIVOTDATA("XCB4",'cubi (2016)'!$A$3,"MA_HT","LUC","MA_QH","TSC")</f>
        <v>0</v>
      </c>
      <c r="AT8" s="50">
        <f ca="1">+GETPIVOTDATA("XCB4",'cubi (2016)'!$A$3,"MA_HT","LUC","MA_QH","DTS")</f>
        <v>0</v>
      </c>
      <c r="AU8" s="50">
        <f ca="1">+GETPIVOTDATA("XCB4",'cubi (2016)'!$A$3,"MA_HT","LUC","MA_QH","DNG")</f>
        <v>0</v>
      </c>
      <c r="AV8" s="50">
        <f ca="1">+GETPIVOTDATA("XCB4",'cubi (2016)'!$A$3,"MA_HT","LUC","MA_QH","TON")</f>
        <v>0</v>
      </c>
      <c r="AW8" s="50">
        <f ca="1">+GETPIVOTDATA("XCB4",'cubi (2016)'!$A$3,"MA_HT","LUC","MA_QH","NTD")</f>
        <v>0</v>
      </c>
      <c r="AX8" s="50">
        <f ca="1">+GETPIVOTDATA("XCB4",'cubi (2016)'!$A$3,"MA_HT","LUC","MA_QH","SKX")</f>
        <v>0</v>
      </c>
      <c r="AY8" s="50">
        <f ca="1">+GETPIVOTDATA("XCB4",'cubi (2016)'!$A$3,"MA_HT","LUC","MA_QH","DSH")</f>
        <v>0</v>
      </c>
      <c r="AZ8" s="50">
        <f ca="1">+GETPIVOTDATA("XCB4",'cubi (2016)'!$A$3,"MA_HT","LUC","MA_QH","DKV")</f>
        <v>0</v>
      </c>
      <c r="BA8" s="88">
        <f ca="1">+GETPIVOTDATA("XCB4",'cubi (2016)'!$A$3,"MA_HT","LUC","MA_QH","TIN")</f>
        <v>0</v>
      </c>
      <c r="BB8" s="50">
        <f ca="1">+GETPIVOTDATA("XCB4",'cubi (2016)'!$A$3,"MA_HT","LUC","MA_QH","SON")</f>
        <v>0</v>
      </c>
      <c r="BC8" s="50">
        <f ca="1">+GETPIVOTDATA("XCB4",'cubi (2016)'!$A$3,"MA_HT","LUC","MA_QH","MNC")</f>
        <v>0</v>
      </c>
      <c r="BD8" s="50">
        <f ca="1">+GETPIVOTDATA("XCB4",'cubi (2016)'!$A$3,"MA_HT","LUC","MA_QH","PNK")</f>
        <v>0</v>
      </c>
      <c r="BE8" s="80">
        <f ca="1">+GETPIVOTDATA("XCB4",'cubi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+GETPIVOTDATA("XCB4",'cubi (2016)'!$A$3,"MA_HT","LUK","MA_QH","LUC")</f>
        <v>0</v>
      </c>
      <c r="H9" s="49" t="e">
        <f ca="1">$D9-$BF9</f>
        <v>#REF!</v>
      </c>
      <c r="I9" s="50">
        <f ca="1">+GETPIVOTDATA("XCB4",'cubi (2016)'!$A$3,"MA_HT","LUK","MA_QH","LUN")</f>
        <v>0</v>
      </c>
      <c r="J9" s="50">
        <f ca="1">+GETPIVOTDATA("XCB4",'cubi (2016)'!$A$3,"MA_HT","LUK","MA_QH","HNK")</f>
        <v>0</v>
      </c>
      <c r="K9" s="50">
        <f ca="1">+GETPIVOTDATA("XCB4",'cubi (2016)'!$A$3,"MA_HT","LUK","MA_QH","CLN")</f>
        <v>0</v>
      </c>
      <c r="L9" s="50">
        <f ca="1">+GETPIVOTDATA("XCB4",'cubi (2016)'!$A$3,"MA_HT","LUK","MA_QH","RSX")</f>
        <v>0</v>
      </c>
      <c r="M9" s="50">
        <f ca="1">+GETPIVOTDATA("XCB4",'cubi (2016)'!$A$3,"MA_HT","LUK","MA_QH","RPH")</f>
        <v>0</v>
      </c>
      <c r="N9" s="50">
        <f ca="1">+GETPIVOTDATA("XCB4",'cubi (2016)'!$A$3,"MA_HT","LUK","MA_QH","RDD")</f>
        <v>0</v>
      </c>
      <c r="O9" s="50">
        <f ca="1">+GETPIVOTDATA("XCB4",'cubi (2016)'!$A$3,"MA_HT","LUK","MA_QH","NTS")</f>
        <v>0</v>
      </c>
      <c r="P9" s="50">
        <f ca="1">+GETPIVOTDATA("XCB4",'cubi (2016)'!$A$3,"MA_HT","LUK","MA_QH","LMU")</f>
        <v>0</v>
      </c>
      <c r="Q9" s="50">
        <f ca="1">+GETPIVOTDATA("XCB4",'cubi (2016)'!$A$3,"MA_HT","LUK","MA_QH","NKH")</f>
        <v>0</v>
      </c>
      <c r="R9" s="48">
        <f ca="1" t="shared" si="2"/>
        <v>0</v>
      </c>
      <c r="S9" s="50">
        <f ca="1">+GETPIVOTDATA("XCB4",'cubi (2016)'!$A$3,"MA_HT","LUK","MA_QH","CQP")</f>
        <v>0</v>
      </c>
      <c r="T9" s="50">
        <f ca="1">+GETPIVOTDATA("XCB4",'cubi (2016)'!$A$3,"MA_HT","LUK","MA_QH","CAN")</f>
        <v>0</v>
      </c>
      <c r="U9" s="50">
        <f ca="1">+GETPIVOTDATA("XCB4",'cubi (2016)'!$A$3,"MA_HT","LUK","MA_QH","SKK")</f>
        <v>0</v>
      </c>
      <c r="V9" s="50">
        <f ca="1">+GETPIVOTDATA("XCB4",'cubi (2016)'!$A$3,"MA_HT","LUK","MA_QH","SKT")</f>
        <v>0</v>
      </c>
      <c r="W9" s="50">
        <f ca="1">+GETPIVOTDATA("XCB4",'cubi (2016)'!$A$3,"MA_HT","LUK","MA_QH","SKN")</f>
        <v>0</v>
      </c>
      <c r="X9" s="50">
        <f ca="1">+GETPIVOTDATA("XCB4",'cubi (2016)'!$A$3,"MA_HT","LUK","MA_QH","TMD")</f>
        <v>0</v>
      </c>
      <c r="Y9" s="50">
        <f ca="1">+GETPIVOTDATA("XCB4",'cubi (2016)'!$A$3,"MA_HT","LUK","MA_QH","SKC")</f>
        <v>0</v>
      </c>
      <c r="Z9" s="50">
        <f ca="1">+GETPIVOTDATA("XCB4",'cubi (2016)'!$A$3,"MA_HT","LUK","MA_QH","SKS")</f>
        <v>0</v>
      </c>
      <c r="AA9" s="52">
        <f ca="1" t="shared" si="4"/>
        <v>0</v>
      </c>
      <c r="AB9" s="50">
        <f ca="1">+GETPIVOTDATA("XCB4",'cubi (2016)'!$A$3,"MA_HT","LUK","MA_QH","DGT")</f>
        <v>0</v>
      </c>
      <c r="AC9" s="50">
        <f ca="1">+GETPIVOTDATA("XCB4",'cubi (2016)'!$A$3,"MA_HT","LUK","MA_QH","DTL")</f>
        <v>0</v>
      </c>
      <c r="AD9" s="50">
        <f ca="1">+GETPIVOTDATA("XCB4",'cubi (2016)'!$A$3,"MA_HT","LUK","MA_QH","DNL")</f>
        <v>0</v>
      </c>
      <c r="AE9" s="50">
        <f ca="1">+GETPIVOTDATA("XCB4",'cubi (2016)'!$A$3,"MA_HT","LUK","MA_QH","DBV")</f>
        <v>0</v>
      </c>
      <c r="AF9" s="50">
        <f ca="1">+GETPIVOTDATA("XCB4",'cubi (2016)'!$A$3,"MA_HT","LUK","MA_QH","DVH")</f>
        <v>0</v>
      </c>
      <c r="AG9" s="50">
        <f ca="1">+GETPIVOTDATA("XCB4",'cubi (2016)'!$A$3,"MA_HT","LUK","MA_QH","DYT")</f>
        <v>0</v>
      </c>
      <c r="AH9" s="50">
        <f ca="1">+GETPIVOTDATA("XCB4",'cubi (2016)'!$A$3,"MA_HT","LUK","MA_QH","DGD")</f>
        <v>0</v>
      </c>
      <c r="AI9" s="50">
        <f ca="1">+GETPIVOTDATA("XCB4",'cubi (2016)'!$A$3,"MA_HT","LUK","MA_QH","DTT")</f>
        <v>0</v>
      </c>
      <c r="AJ9" s="50">
        <f ca="1">+GETPIVOTDATA("XCB4",'cubi (2016)'!$A$3,"MA_HT","LUK","MA_QH","NCK")</f>
        <v>0</v>
      </c>
      <c r="AK9" s="50">
        <f ca="1">+GETPIVOTDATA("XCB4",'cubi (2016)'!$A$3,"MA_HT","LUK","MA_QH","DXH")</f>
        <v>0</v>
      </c>
      <c r="AL9" s="50">
        <f ca="1">+GETPIVOTDATA("XCB4",'cubi (2016)'!$A$3,"MA_HT","LUK","MA_QH","DCH")</f>
        <v>0</v>
      </c>
      <c r="AM9" s="50">
        <f ca="1">+GETPIVOTDATA("XCB4",'cubi (2016)'!$A$3,"MA_HT","LUK","MA_QH","DKG")</f>
        <v>0</v>
      </c>
      <c r="AN9" s="50">
        <f ca="1">+GETPIVOTDATA("XCB4",'cubi (2016)'!$A$3,"MA_HT","LUK","MA_QH","DDT")</f>
        <v>0</v>
      </c>
      <c r="AO9" s="50">
        <f ca="1">+GETPIVOTDATA("XCB4",'cubi (2016)'!$A$3,"MA_HT","LUK","MA_QH","DDL")</f>
        <v>0</v>
      </c>
      <c r="AP9" s="50">
        <f ca="1">+GETPIVOTDATA("XCB4",'cubi (2016)'!$A$3,"MA_HT","LUK","MA_QH","DRA")</f>
        <v>0</v>
      </c>
      <c r="AQ9" s="50">
        <f ca="1">+GETPIVOTDATA("XCB4",'cubi (2016)'!$A$3,"MA_HT","LUK","MA_QH","ONT")</f>
        <v>0</v>
      </c>
      <c r="AR9" s="50">
        <f ca="1">+GETPIVOTDATA("XCB4",'cubi (2016)'!$A$3,"MA_HT","LUK","MA_QH","ODT")</f>
        <v>0</v>
      </c>
      <c r="AS9" s="50">
        <f ca="1">+GETPIVOTDATA("XCB4",'cubi (2016)'!$A$3,"MA_HT","LUK","MA_QH","TSC")</f>
        <v>0</v>
      </c>
      <c r="AT9" s="50">
        <f ca="1">+GETPIVOTDATA("XCB4",'cubi (2016)'!$A$3,"MA_HT","LUK","MA_QH","DTS")</f>
        <v>0</v>
      </c>
      <c r="AU9" s="50">
        <f ca="1">+GETPIVOTDATA("XCB4",'cubi (2016)'!$A$3,"MA_HT","LUK","MA_QH","DNG")</f>
        <v>0</v>
      </c>
      <c r="AV9" s="50">
        <f ca="1">+GETPIVOTDATA("XCB4",'cubi (2016)'!$A$3,"MA_HT","LUK","MA_QH","TON")</f>
        <v>0</v>
      </c>
      <c r="AW9" s="50">
        <f ca="1">+GETPIVOTDATA("XCB4",'cubi (2016)'!$A$3,"MA_HT","LUK","MA_QH","NTD")</f>
        <v>0</v>
      </c>
      <c r="AX9" s="50">
        <f ca="1">+GETPIVOTDATA("XCB4",'cubi (2016)'!$A$3,"MA_HT","LUK","MA_QH","SKX")</f>
        <v>0</v>
      </c>
      <c r="AY9" s="50">
        <f ca="1">+GETPIVOTDATA("XCB4",'cubi (2016)'!$A$3,"MA_HT","LUK","MA_QH","DSH")</f>
        <v>0</v>
      </c>
      <c r="AZ9" s="50">
        <f ca="1">+GETPIVOTDATA("XCB4",'cubi (2016)'!$A$3,"MA_HT","LUK","MA_QH","DKV")</f>
        <v>0</v>
      </c>
      <c r="BA9" s="88">
        <f ca="1">+GETPIVOTDATA("XCB4",'cubi (2016)'!$A$3,"MA_HT","LUK","MA_QH","TIN")</f>
        <v>0</v>
      </c>
      <c r="BB9" s="50">
        <f ca="1">+GETPIVOTDATA("XCB4",'cubi (2016)'!$A$3,"MA_HT","LUK","MA_QH","SON")</f>
        <v>0</v>
      </c>
      <c r="BC9" s="50">
        <f ca="1">+GETPIVOTDATA("XCB4",'cubi (2016)'!$A$3,"MA_HT","LUK","MA_QH","MNC")</f>
        <v>0</v>
      </c>
      <c r="BD9" s="50">
        <f ca="1">+GETPIVOTDATA("XCB4",'cubi (2016)'!$A$3,"MA_HT","LUK","MA_QH","PNK")</f>
        <v>0</v>
      </c>
      <c r="BE9" s="80">
        <f ca="1">+GETPIVOTDATA("XCB4",'cubi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+GETPIVOTDATA("XCB4",'cubi (2016)'!$A$3,"MA_HT","LUN","MA_QH","LUC")</f>
        <v>0</v>
      </c>
      <c r="H10" s="50">
        <f ca="1">+GETPIVOTDATA("XCB4",'cubi (2016)'!$A$3,"MA_HT","LUN","MA_QH","LUK")</f>
        <v>0</v>
      </c>
      <c r="I10" s="49" t="e">
        <f ca="1">$D10-$BF10</f>
        <v>#REF!</v>
      </c>
      <c r="J10" s="50">
        <f ca="1">+GETPIVOTDATA("XCB4",'cubi (2016)'!$A$3,"MA_HT","LUN","MA_QH","HNK")</f>
        <v>0</v>
      </c>
      <c r="K10" s="50">
        <f ca="1">+GETPIVOTDATA("XCB4",'cubi (2016)'!$A$3,"MA_HT","LUN","MA_QH","CLN")</f>
        <v>0</v>
      </c>
      <c r="L10" s="50">
        <f ca="1">+GETPIVOTDATA("XCB4",'cubi (2016)'!$A$3,"MA_HT","LUN","MA_QH","RSX")</f>
        <v>0</v>
      </c>
      <c r="M10" s="50">
        <f ca="1">+GETPIVOTDATA("XCB4",'cubi (2016)'!$A$3,"MA_HT","LUN","MA_QH","RPH")</f>
        <v>0</v>
      </c>
      <c r="N10" s="50">
        <f ca="1">+GETPIVOTDATA("XCB4",'cubi (2016)'!$A$3,"MA_HT","LUN","MA_QH","RDD")</f>
        <v>0</v>
      </c>
      <c r="O10" s="50">
        <f ca="1">+GETPIVOTDATA("XCB4",'cubi (2016)'!$A$3,"MA_HT","LUN","MA_QH","NTS")</f>
        <v>0</v>
      </c>
      <c r="P10" s="50">
        <f ca="1">+GETPIVOTDATA("XCB4",'cubi (2016)'!$A$3,"MA_HT","LUN","MA_QH","LMU")</f>
        <v>0</v>
      </c>
      <c r="Q10" s="50">
        <f ca="1">+GETPIVOTDATA("XCB4",'cubi (2016)'!$A$3,"MA_HT","LUN","MA_QH","NKH")</f>
        <v>0</v>
      </c>
      <c r="R10" s="48">
        <f ca="1" t="shared" si="2"/>
        <v>0</v>
      </c>
      <c r="S10" s="50">
        <f ca="1">+GETPIVOTDATA("XCB4",'cubi (2016)'!$A$3,"MA_HT","LUN","MA_QH","CQP")</f>
        <v>0</v>
      </c>
      <c r="T10" s="50">
        <f ca="1">+GETPIVOTDATA("XCB4",'cubi (2016)'!$A$3,"MA_HT","LUN","MA_QH","CAN")</f>
        <v>0</v>
      </c>
      <c r="U10" s="50">
        <f ca="1">+GETPIVOTDATA("XCB4",'cubi (2016)'!$A$3,"MA_HT","LUN","MA_QH","SKK")</f>
        <v>0</v>
      </c>
      <c r="V10" s="50">
        <f ca="1">+GETPIVOTDATA("XCB4",'cubi (2016)'!$A$3,"MA_HT","LUN","MA_QH","SKT")</f>
        <v>0</v>
      </c>
      <c r="W10" s="50">
        <f ca="1">+GETPIVOTDATA("XCB4",'cubi (2016)'!$A$3,"MA_HT","LUN","MA_QH","SKN")</f>
        <v>0</v>
      </c>
      <c r="X10" s="50">
        <f ca="1">+GETPIVOTDATA("XCB4",'cubi (2016)'!$A$3,"MA_HT","LUN","MA_QH","TMD")</f>
        <v>0</v>
      </c>
      <c r="Y10" s="50">
        <f ca="1">+GETPIVOTDATA("XCB4",'cubi (2016)'!$A$3,"MA_HT","LUN","MA_QH","SKC")</f>
        <v>0</v>
      </c>
      <c r="Z10" s="50">
        <f ca="1">+GETPIVOTDATA("XCB4",'cubi (2016)'!$A$3,"MA_HT","LUN","MA_QH","SKS")</f>
        <v>0</v>
      </c>
      <c r="AA10" s="52">
        <f ca="1" t="shared" si="4"/>
        <v>0</v>
      </c>
      <c r="AB10" s="50">
        <f ca="1">+GETPIVOTDATA("XCB4",'cubi (2016)'!$A$3,"MA_HT","LUN","MA_QH","DGT")</f>
        <v>0</v>
      </c>
      <c r="AC10" s="50">
        <f ca="1">+GETPIVOTDATA("XCB4",'cubi (2016)'!$A$3,"MA_HT","LUN","MA_QH","DTL")</f>
        <v>0</v>
      </c>
      <c r="AD10" s="50">
        <f ca="1">+GETPIVOTDATA("XCB4",'cubi (2016)'!$A$3,"MA_HT","LUN","MA_QH","DNL")</f>
        <v>0</v>
      </c>
      <c r="AE10" s="50">
        <f ca="1">+GETPIVOTDATA("XCB4",'cubi (2016)'!$A$3,"MA_HT","LUN","MA_QH","DBV")</f>
        <v>0</v>
      </c>
      <c r="AF10" s="50">
        <f ca="1">+GETPIVOTDATA("XCB4",'cubi (2016)'!$A$3,"MA_HT","LUN","MA_QH","DVH")</f>
        <v>0</v>
      </c>
      <c r="AG10" s="50">
        <f ca="1">+GETPIVOTDATA("XCB4",'cubi (2016)'!$A$3,"MA_HT","LUN","MA_QH","DYT")</f>
        <v>0</v>
      </c>
      <c r="AH10" s="50">
        <f ca="1">+GETPIVOTDATA("XCB4",'cubi (2016)'!$A$3,"MA_HT","LUN","MA_QH","DGD")</f>
        <v>0</v>
      </c>
      <c r="AI10" s="50">
        <f ca="1">+GETPIVOTDATA("XCB4",'cubi (2016)'!$A$3,"MA_HT","LUN","MA_QH","DTT")</f>
        <v>0</v>
      </c>
      <c r="AJ10" s="50">
        <f ca="1">+GETPIVOTDATA("XCB4",'cubi (2016)'!$A$3,"MA_HT","LUN","MA_QH","NCK")</f>
        <v>0</v>
      </c>
      <c r="AK10" s="50">
        <f ca="1">+GETPIVOTDATA("XCB4",'cubi (2016)'!$A$3,"MA_HT","LUN","MA_QH","DXH")</f>
        <v>0</v>
      </c>
      <c r="AL10" s="50">
        <f ca="1">+GETPIVOTDATA("XCB4",'cubi (2016)'!$A$3,"MA_HT","LUN","MA_QH","DCH")</f>
        <v>0</v>
      </c>
      <c r="AM10" s="50">
        <f ca="1">+GETPIVOTDATA("XCB4",'cubi (2016)'!$A$3,"MA_HT","LUN","MA_QH","DKG")</f>
        <v>0</v>
      </c>
      <c r="AN10" s="50">
        <f ca="1">+GETPIVOTDATA("XCB4",'cubi (2016)'!$A$3,"MA_HT","LUN","MA_QH","DDT")</f>
        <v>0</v>
      </c>
      <c r="AO10" s="50">
        <f ca="1">+GETPIVOTDATA("XCB4",'cubi (2016)'!$A$3,"MA_HT","LUN","MA_QH","DDL")</f>
        <v>0</v>
      </c>
      <c r="AP10" s="50">
        <f ca="1">+GETPIVOTDATA("XCB4",'cubi (2016)'!$A$3,"MA_HT","LUN","MA_QH","DRA")</f>
        <v>0</v>
      </c>
      <c r="AQ10" s="50">
        <f ca="1">+GETPIVOTDATA("XCB4",'cubi (2016)'!$A$3,"MA_HT","LUN","MA_QH","ONT")</f>
        <v>0</v>
      </c>
      <c r="AR10" s="50">
        <f ca="1">+GETPIVOTDATA("XCB4",'cubi (2016)'!$A$3,"MA_HT","LUN","MA_QH","ODT")</f>
        <v>0</v>
      </c>
      <c r="AS10" s="50">
        <f ca="1">+GETPIVOTDATA("XCB4",'cubi (2016)'!$A$3,"MA_HT","LUN","MA_QH","TSC")</f>
        <v>0</v>
      </c>
      <c r="AT10" s="50">
        <f ca="1">+GETPIVOTDATA("XCB4",'cubi (2016)'!$A$3,"MA_HT","LUN","MA_QH","DTS")</f>
        <v>0</v>
      </c>
      <c r="AU10" s="50">
        <f ca="1">+GETPIVOTDATA("XCB4",'cubi (2016)'!$A$3,"MA_HT","LUN","MA_QH","DNG")</f>
        <v>0</v>
      </c>
      <c r="AV10" s="50">
        <f ca="1">+GETPIVOTDATA("XCB4",'cubi (2016)'!$A$3,"MA_HT","LUN","MA_QH","TON")</f>
        <v>0</v>
      </c>
      <c r="AW10" s="50">
        <f ca="1">+GETPIVOTDATA("XCB4",'cubi (2016)'!$A$3,"MA_HT","LUN","MA_QH","NTD")</f>
        <v>0</v>
      </c>
      <c r="AX10" s="50">
        <f ca="1">+GETPIVOTDATA("XCB4",'cubi (2016)'!$A$3,"MA_HT","LUN","MA_QH","SKX")</f>
        <v>0</v>
      </c>
      <c r="AY10" s="50">
        <f ca="1">+GETPIVOTDATA("XCB4",'cubi (2016)'!$A$3,"MA_HT","LUN","MA_QH","DSH")</f>
        <v>0</v>
      </c>
      <c r="AZ10" s="50">
        <f ca="1">+GETPIVOTDATA("XCB4",'cubi (2016)'!$A$3,"MA_HT","LUN","MA_QH","DKV")</f>
        <v>0</v>
      </c>
      <c r="BA10" s="88">
        <f ca="1">+GETPIVOTDATA("XCB4",'cubi (2016)'!$A$3,"MA_HT","LUN","MA_QH","TIN")</f>
        <v>0</v>
      </c>
      <c r="BB10" s="50">
        <f ca="1">+GETPIVOTDATA("XCB4",'cubi (2016)'!$A$3,"MA_HT","LUN","MA_QH","SON")</f>
        <v>0</v>
      </c>
      <c r="BC10" s="50">
        <f ca="1">+GETPIVOTDATA("XCB4",'cubi (2016)'!$A$3,"MA_HT","LUN","MA_QH","MNC")</f>
        <v>0</v>
      </c>
      <c r="BD10" s="50">
        <f ca="1">+GETPIVOTDATA("XCB4",'cubi (2016)'!$A$3,"MA_HT","LUN","MA_QH","PNK")</f>
        <v>0</v>
      </c>
      <c r="BE10" s="80">
        <f ca="1">+GETPIVOTDATA("XCB4",'cubi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+GETPIVOTDATA("XCB4",'cubi (2016)'!$A$3,"MA_HT","HNK","MA_QH","LUC")</f>
        <v>0</v>
      </c>
      <c r="H11" s="22">
        <f ca="1">+GETPIVOTDATA("XCB4",'cubi (2016)'!$A$3,"MA_HT","HNK","MA_QH","LUK")</f>
        <v>0</v>
      </c>
      <c r="I11" s="22">
        <f ca="1">+GETPIVOTDATA("XCB4",'cubi (2016)'!$A$3,"MA_HT","HNK","MA_QH","LUN")</f>
        <v>0</v>
      </c>
      <c r="J11" s="43" t="e">
        <f ca="1">$D11-$BF11</f>
        <v>#REF!</v>
      </c>
      <c r="K11" s="22">
        <f ca="1">+GETPIVOTDATA("XCB4",'cubi (2016)'!$A$3,"MA_HT","HNK","MA_QH","CLN")</f>
        <v>0</v>
      </c>
      <c r="L11" s="22">
        <f ca="1">+GETPIVOTDATA("XCB4",'cubi (2016)'!$A$3,"MA_HT","HNK","MA_QH","RSX")</f>
        <v>0</v>
      </c>
      <c r="M11" s="22">
        <f ca="1">+GETPIVOTDATA("XCB4",'cubi (2016)'!$A$3,"MA_HT","HNK","MA_QH","RPH")</f>
        <v>0</v>
      </c>
      <c r="N11" s="22">
        <f ca="1">+GETPIVOTDATA("XCB4",'cubi (2016)'!$A$3,"MA_HT","HNK","MA_QH","RDD")</f>
        <v>0</v>
      </c>
      <c r="O11" s="22">
        <f ca="1">+GETPIVOTDATA("XCB4",'cubi (2016)'!$A$3,"MA_HT","HNK","MA_QH","NTS")</f>
        <v>0</v>
      </c>
      <c r="P11" s="22">
        <f ca="1">+GETPIVOTDATA("XCB4",'cubi (2016)'!$A$3,"MA_HT","HNK","MA_QH","LMU")</f>
        <v>0</v>
      </c>
      <c r="Q11" s="22">
        <f ca="1">+GETPIVOTDATA("XCB4",'cubi (2016)'!$A$3,"MA_HT","HNK","MA_QH","NKH")</f>
        <v>0</v>
      </c>
      <c r="R11" s="42">
        <f ca="1" t="shared" si="2"/>
        <v>0</v>
      </c>
      <c r="S11" s="22">
        <f ca="1">+GETPIVOTDATA("XCB4",'cubi (2016)'!$A$3,"MA_HT","HNK","MA_QH","CQP")</f>
        <v>0</v>
      </c>
      <c r="T11" s="22">
        <f ca="1">+GETPIVOTDATA("XCB4",'cubi (2016)'!$A$3,"MA_HT","HNK","MA_QH","CAN")</f>
        <v>0</v>
      </c>
      <c r="U11" s="22">
        <f ca="1">+GETPIVOTDATA("XCB4",'cubi (2016)'!$A$3,"MA_HT","HNK","MA_QH","SKK")</f>
        <v>0</v>
      </c>
      <c r="V11" s="22">
        <f ca="1">+GETPIVOTDATA("XCB4",'cubi (2016)'!$A$3,"MA_HT","HNK","MA_QH","SKT")</f>
        <v>0</v>
      </c>
      <c r="W11" s="22">
        <f ca="1">+GETPIVOTDATA("XCB4",'cubi (2016)'!$A$3,"MA_HT","HNK","MA_QH","SKN")</f>
        <v>0</v>
      </c>
      <c r="X11" s="22">
        <f ca="1">+GETPIVOTDATA("XCB4",'cubi (2016)'!$A$3,"MA_HT","HNK","MA_QH","TMD")</f>
        <v>0</v>
      </c>
      <c r="Y11" s="22">
        <f ca="1">+GETPIVOTDATA("XCB4",'cubi (2016)'!$A$3,"MA_HT","HNK","MA_QH","SKC")</f>
        <v>0</v>
      </c>
      <c r="Z11" s="22">
        <f ca="1">+GETPIVOTDATA("XCB4",'cubi (2016)'!$A$3,"MA_HT","HNK","MA_QH","SKS")</f>
        <v>0</v>
      </c>
      <c r="AA11" s="52">
        <f ca="1" t="shared" si="4"/>
        <v>0</v>
      </c>
      <c r="AB11" s="22">
        <f ca="1">+GETPIVOTDATA("XCB4",'cubi (2016)'!$A$3,"MA_HT","HNK","MA_QH","DGT")</f>
        <v>0</v>
      </c>
      <c r="AC11" s="22">
        <f ca="1">+GETPIVOTDATA("XCB4",'cubi (2016)'!$A$3,"MA_HT","HNK","MA_QH","DTL")</f>
        <v>0</v>
      </c>
      <c r="AD11" s="22">
        <f ca="1">+GETPIVOTDATA("XCB4",'cubi (2016)'!$A$3,"MA_HT","HNK","MA_QH","DNL")</f>
        <v>0</v>
      </c>
      <c r="AE11" s="22">
        <f ca="1">+GETPIVOTDATA("XCB4",'cubi (2016)'!$A$3,"MA_HT","HNK","MA_QH","DBV")</f>
        <v>0</v>
      </c>
      <c r="AF11" s="22">
        <f ca="1">+GETPIVOTDATA("XCB4",'cubi (2016)'!$A$3,"MA_HT","HNK","MA_QH","DVH")</f>
        <v>0</v>
      </c>
      <c r="AG11" s="22">
        <f ca="1">+GETPIVOTDATA("XCB4",'cubi (2016)'!$A$3,"MA_HT","HNK","MA_QH","DYT")</f>
        <v>0</v>
      </c>
      <c r="AH11" s="22">
        <f ca="1">+GETPIVOTDATA("XCB4",'cubi (2016)'!$A$3,"MA_HT","HNK","MA_QH","DGD")</f>
        <v>0</v>
      </c>
      <c r="AI11" s="22">
        <f ca="1">+GETPIVOTDATA("XCB4",'cubi (2016)'!$A$3,"MA_HT","HNK","MA_QH","DTT")</f>
        <v>0</v>
      </c>
      <c r="AJ11" s="22">
        <f ca="1">+GETPIVOTDATA("XCB4",'cubi (2016)'!$A$3,"MA_HT","HNK","MA_QH","NCK")</f>
        <v>0</v>
      </c>
      <c r="AK11" s="22">
        <f ca="1">+GETPIVOTDATA("XCB4",'cubi (2016)'!$A$3,"MA_HT","HNK","MA_QH","DXH")</f>
        <v>0</v>
      </c>
      <c r="AL11" s="22">
        <f ca="1">+GETPIVOTDATA("XCB4",'cubi (2016)'!$A$3,"MA_HT","HNK","MA_QH","DCH")</f>
        <v>0</v>
      </c>
      <c r="AM11" s="22">
        <f ca="1">+GETPIVOTDATA("XCB4",'cubi (2016)'!$A$3,"MA_HT","HNK","MA_QH","DKG")</f>
        <v>0</v>
      </c>
      <c r="AN11" s="22">
        <f ca="1">+GETPIVOTDATA("XCB4",'cubi (2016)'!$A$3,"MA_HT","HNK","MA_QH","DDT")</f>
        <v>0</v>
      </c>
      <c r="AO11" s="22">
        <f ca="1">+GETPIVOTDATA("XCB4",'cubi (2016)'!$A$3,"MA_HT","HNK","MA_QH","DDL")</f>
        <v>0</v>
      </c>
      <c r="AP11" s="22">
        <f ca="1">+GETPIVOTDATA("XCB4",'cubi (2016)'!$A$3,"MA_HT","HNK","MA_QH","DRA")</f>
        <v>0</v>
      </c>
      <c r="AQ11" s="22">
        <f ca="1">+GETPIVOTDATA("XCB4",'cubi (2016)'!$A$3,"MA_HT","HNK","MA_QH","ONT")</f>
        <v>0</v>
      </c>
      <c r="AR11" s="22">
        <f ca="1">+GETPIVOTDATA("XCB4",'cubi (2016)'!$A$3,"MA_HT","HNK","MA_QH","ODT")</f>
        <v>0</v>
      </c>
      <c r="AS11" s="22">
        <f ca="1">+GETPIVOTDATA("XCB4",'cubi (2016)'!$A$3,"MA_HT","HNK","MA_QH","TSC")</f>
        <v>0</v>
      </c>
      <c r="AT11" s="22">
        <f ca="1">+GETPIVOTDATA("XCB4",'cubi (2016)'!$A$3,"MA_HT","HNK","MA_QH","DTS")</f>
        <v>0</v>
      </c>
      <c r="AU11" s="22">
        <f ca="1">+GETPIVOTDATA("XCB4",'cubi (2016)'!$A$3,"MA_HT","HNK","MA_QH","DNG")</f>
        <v>0</v>
      </c>
      <c r="AV11" s="22">
        <f ca="1">+GETPIVOTDATA("XCB4",'cubi (2016)'!$A$3,"MA_HT","HNK","MA_QH","TON")</f>
        <v>0</v>
      </c>
      <c r="AW11" s="22">
        <f ca="1">+GETPIVOTDATA("XCB4",'cubi (2016)'!$A$3,"MA_HT","HNK","MA_QH","NTD")</f>
        <v>0</v>
      </c>
      <c r="AX11" s="22">
        <f ca="1">+GETPIVOTDATA("XCB4",'cubi (2016)'!$A$3,"MA_HT","HNK","MA_QH","SKX")</f>
        <v>0</v>
      </c>
      <c r="AY11" s="22">
        <f ca="1">+GETPIVOTDATA("XCB4",'cubi (2016)'!$A$3,"MA_HT","HNK","MA_QH","DSH")</f>
        <v>0</v>
      </c>
      <c r="AZ11" s="22">
        <f ca="1">+GETPIVOTDATA("XCB4",'cubi (2016)'!$A$3,"MA_HT","HNK","MA_QH","DKV")</f>
        <v>0</v>
      </c>
      <c r="BA11" s="89">
        <f ca="1">+GETPIVOTDATA("XCB4",'cubi (2016)'!$A$3,"MA_HT","HNK","MA_QH","TIN")</f>
        <v>0</v>
      </c>
      <c r="BB11" s="50">
        <f ca="1">+GETPIVOTDATA("XCB4",'cubi (2016)'!$A$3,"MA_HT","HNK","MA_QH","SON")</f>
        <v>0</v>
      </c>
      <c r="BC11" s="50">
        <f ca="1">+GETPIVOTDATA("XCB4",'cubi (2016)'!$A$3,"MA_HT","HNK","MA_QH","MNC")</f>
        <v>0</v>
      </c>
      <c r="BD11" s="22">
        <f ca="1">+GETPIVOTDATA("XCB4",'cubi (2016)'!$A$3,"MA_HT","HNK","MA_QH","PNK")</f>
        <v>0</v>
      </c>
      <c r="BE11" s="71">
        <f ca="1">+GETPIVOTDATA("XCB4",'cubi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+GETPIVOTDATA("XCB4",'cubi (2016)'!$A$3,"MA_HT","CLN","MA_QH","LUC")</f>
        <v>0</v>
      </c>
      <c r="H12" s="22">
        <f ca="1">+GETPIVOTDATA("XCB4",'cubi (2016)'!$A$3,"MA_HT","CLN","MA_QH","LUK")</f>
        <v>0</v>
      </c>
      <c r="I12" s="22">
        <f ca="1">+GETPIVOTDATA("XCB4",'cubi (2016)'!$A$3,"MA_HT","CLN","MA_QH","LUN")</f>
        <v>0</v>
      </c>
      <c r="J12" s="22">
        <f ca="1">+GETPIVOTDATA("XCB4",'cubi (2016)'!$A$3,"MA_HT","CLN","MA_QH","HNK")</f>
        <v>0</v>
      </c>
      <c r="K12" s="43" t="e">
        <f ca="1">$D12-$BF12</f>
        <v>#REF!</v>
      </c>
      <c r="L12" s="22">
        <f ca="1">+GETPIVOTDATA("XCB4",'cubi (2016)'!$A$3,"MA_HT","CLN","MA_QH","RSX")</f>
        <v>0</v>
      </c>
      <c r="M12" s="22">
        <f ca="1">+GETPIVOTDATA("XCB4",'cubi (2016)'!$A$3,"MA_HT","CLN","MA_QH","RPH")</f>
        <v>0</v>
      </c>
      <c r="N12" s="22">
        <f ca="1">+GETPIVOTDATA("XCB4",'cubi (2016)'!$A$3,"MA_HT","CLN","MA_QH","RDD")</f>
        <v>0</v>
      </c>
      <c r="O12" s="22">
        <f ca="1">+GETPIVOTDATA("XCB4",'cubi (2016)'!$A$3,"MA_HT","CLN","MA_QH","NTS")</f>
        <v>0</v>
      </c>
      <c r="P12" s="22">
        <f ca="1">+GETPIVOTDATA("XCB4",'cubi (2016)'!$A$3,"MA_HT","CLN","MA_QH","LMU")</f>
        <v>0</v>
      </c>
      <c r="Q12" s="22">
        <f ca="1">+GETPIVOTDATA("XCB4",'cubi (2016)'!$A$3,"MA_HT","CLN","MA_QH","NKH")</f>
        <v>0</v>
      </c>
      <c r="R12" s="42">
        <f ca="1" t="shared" si="2"/>
        <v>0</v>
      </c>
      <c r="S12" s="22">
        <f ca="1">+GETPIVOTDATA("XCB4",'cubi (2016)'!$A$3,"MA_HT","CLN","MA_QH","CQP")</f>
        <v>0</v>
      </c>
      <c r="T12" s="22">
        <f ca="1">+GETPIVOTDATA("XCB4",'cubi (2016)'!$A$3,"MA_HT","CLN","MA_QH","CAN")</f>
        <v>0</v>
      </c>
      <c r="U12" s="22">
        <f ca="1">+GETPIVOTDATA("XCB4",'cubi (2016)'!$A$3,"MA_HT","CLN","MA_QH","SKK")</f>
        <v>0</v>
      </c>
      <c r="V12" s="22">
        <f ca="1">+GETPIVOTDATA("XCB4",'cubi (2016)'!$A$3,"MA_HT","CLN","MA_QH","SKT")</f>
        <v>0</v>
      </c>
      <c r="W12" s="22">
        <f ca="1">+GETPIVOTDATA("XCB4",'cubi (2016)'!$A$3,"MA_HT","CLN","MA_QH","SKN")</f>
        <v>0</v>
      </c>
      <c r="X12" s="22">
        <f ca="1">+GETPIVOTDATA("XCB4",'cubi (2016)'!$A$3,"MA_HT","CLN","MA_QH","TMD")</f>
        <v>0</v>
      </c>
      <c r="Y12" s="22">
        <f ca="1">+GETPIVOTDATA("XCB4",'cubi (2016)'!$A$3,"MA_HT","CLN","MA_QH","SKC")</f>
        <v>0</v>
      </c>
      <c r="Z12" s="22">
        <f ca="1">+GETPIVOTDATA("XCB4",'cubi (2016)'!$A$3,"MA_HT","CLN","MA_QH","SKS")</f>
        <v>0</v>
      </c>
      <c r="AA12" s="52">
        <f ca="1" t="shared" si="4"/>
        <v>0</v>
      </c>
      <c r="AB12" s="22">
        <f ca="1">+GETPIVOTDATA("XCB4",'cubi (2016)'!$A$3,"MA_HT","CLN","MA_QH","DGT")</f>
        <v>0</v>
      </c>
      <c r="AC12" s="22">
        <f ca="1">+GETPIVOTDATA("XCB4",'cubi (2016)'!$A$3,"MA_HT","CLN","MA_QH","DTL")</f>
        <v>0</v>
      </c>
      <c r="AD12" s="22">
        <f ca="1">+GETPIVOTDATA("XCB4",'cubi (2016)'!$A$3,"MA_HT","CLN","MA_QH","DNL")</f>
        <v>0</v>
      </c>
      <c r="AE12" s="22">
        <f ca="1">+GETPIVOTDATA("XCB4",'cubi (2016)'!$A$3,"MA_HT","CLN","MA_QH","DBV")</f>
        <v>0</v>
      </c>
      <c r="AF12" s="22">
        <f ca="1">+GETPIVOTDATA("XCB4",'cubi (2016)'!$A$3,"MA_HT","CLN","MA_QH","DVH")</f>
        <v>0</v>
      </c>
      <c r="AG12" s="22">
        <f ca="1">+GETPIVOTDATA("XCB4",'cubi (2016)'!$A$3,"MA_HT","CLN","MA_QH","DYT")</f>
        <v>0</v>
      </c>
      <c r="AH12" s="22">
        <f ca="1">+GETPIVOTDATA("XCB4",'cubi (2016)'!$A$3,"MA_HT","CLN","MA_QH","DGD")</f>
        <v>0</v>
      </c>
      <c r="AI12" s="22">
        <f ca="1">+GETPIVOTDATA("XCB4",'cubi (2016)'!$A$3,"MA_HT","CLN","MA_QH","DTT")</f>
        <v>0</v>
      </c>
      <c r="AJ12" s="22">
        <f ca="1">+GETPIVOTDATA("XCB4",'cubi (2016)'!$A$3,"MA_HT","CLN","MA_QH","NCK")</f>
        <v>0</v>
      </c>
      <c r="AK12" s="22">
        <f ca="1">+GETPIVOTDATA("XCB4",'cubi (2016)'!$A$3,"MA_HT","CLN","MA_QH","DXH")</f>
        <v>0</v>
      </c>
      <c r="AL12" s="22">
        <f ca="1">+GETPIVOTDATA("XCB4",'cubi (2016)'!$A$3,"MA_HT","CLN","MA_QH","DCH")</f>
        <v>0</v>
      </c>
      <c r="AM12" s="22">
        <f ca="1">+GETPIVOTDATA("XCB4",'cubi (2016)'!$A$3,"MA_HT","CLN","MA_QH","DKG")</f>
        <v>0</v>
      </c>
      <c r="AN12" s="22">
        <f ca="1">+GETPIVOTDATA("XCB4",'cubi (2016)'!$A$3,"MA_HT","CLN","MA_QH","DDT")</f>
        <v>0</v>
      </c>
      <c r="AO12" s="22">
        <f ca="1">+GETPIVOTDATA("XCB4",'cubi (2016)'!$A$3,"MA_HT","CLN","MA_QH","DDL")</f>
        <v>0</v>
      </c>
      <c r="AP12" s="22">
        <f ca="1">+GETPIVOTDATA("XCB4",'cubi (2016)'!$A$3,"MA_HT","CLN","MA_QH","DRA")</f>
        <v>0</v>
      </c>
      <c r="AQ12" s="22">
        <f ca="1">+GETPIVOTDATA("XCB4",'cubi (2016)'!$A$3,"MA_HT","CLN","MA_QH","ONT")</f>
        <v>0</v>
      </c>
      <c r="AR12" s="22">
        <f ca="1">+GETPIVOTDATA("XCB4",'cubi (2016)'!$A$3,"MA_HT","CLN","MA_QH","ODT")</f>
        <v>0</v>
      </c>
      <c r="AS12" s="22">
        <f ca="1">+GETPIVOTDATA("XCB4",'cubi (2016)'!$A$3,"MA_HT","CLN","MA_QH","TSC")</f>
        <v>0</v>
      </c>
      <c r="AT12" s="22">
        <f ca="1">+GETPIVOTDATA("XCB4",'cubi (2016)'!$A$3,"MA_HT","CLN","MA_QH","DTS")</f>
        <v>0</v>
      </c>
      <c r="AU12" s="22">
        <f ca="1">+GETPIVOTDATA("XCB4",'cubi (2016)'!$A$3,"MA_HT","CLN","MA_QH","DNG")</f>
        <v>0</v>
      </c>
      <c r="AV12" s="22">
        <f ca="1">+GETPIVOTDATA("XCB4",'cubi (2016)'!$A$3,"MA_HT","CLN","MA_QH","TON")</f>
        <v>0</v>
      </c>
      <c r="AW12" s="22">
        <f ca="1">+GETPIVOTDATA("XCB4",'cubi (2016)'!$A$3,"MA_HT","CLN","MA_QH","NTD")</f>
        <v>0</v>
      </c>
      <c r="AX12" s="22">
        <f ca="1">+GETPIVOTDATA("XCB4",'cubi (2016)'!$A$3,"MA_HT","CLN","MA_QH","SKX")</f>
        <v>0</v>
      </c>
      <c r="AY12" s="22">
        <f ca="1">+GETPIVOTDATA("XCB4",'cubi (2016)'!$A$3,"MA_HT","CLN","MA_QH","DSH")</f>
        <v>0</v>
      </c>
      <c r="AZ12" s="22">
        <f ca="1">+GETPIVOTDATA("XCB4",'cubi (2016)'!$A$3,"MA_HT","CLN","MA_QH","DKV")</f>
        <v>0</v>
      </c>
      <c r="BA12" s="89">
        <f ca="1">+GETPIVOTDATA("XCB4",'cubi (2016)'!$A$3,"MA_HT","CLN","MA_QH","TIN")</f>
        <v>0</v>
      </c>
      <c r="BB12" s="50">
        <f ca="1">+GETPIVOTDATA("XCB4",'cubi (2016)'!$A$3,"MA_HT","CLN","MA_QH","SON")</f>
        <v>0</v>
      </c>
      <c r="BC12" s="50">
        <f ca="1">+GETPIVOTDATA("XCB4",'cubi (2016)'!$A$3,"MA_HT","CLN","MA_QH","MNC")</f>
        <v>0</v>
      </c>
      <c r="BD12" s="22">
        <f ca="1">+GETPIVOTDATA("XCB4",'cubi (2016)'!$A$3,"MA_HT","CLN","MA_QH","PNK")</f>
        <v>0</v>
      </c>
      <c r="BE12" s="71">
        <f ca="1">+GETPIVOTDATA("XCB4",'cubi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+GETPIVOTDATA("XCB4",'cubi (2016)'!$A$3,"MA_HT","RSX","MA_QH","LUC")</f>
        <v>0</v>
      </c>
      <c r="H13" s="22">
        <f ca="1">+GETPIVOTDATA("XCB4",'cubi (2016)'!$A$3,"MA_HT","RSX","MA_QH","LUK")</f>
        <v>0</v>
      </c>
      <c r="I13" s="22">
        <f ca="1">+GETPIVOTDATA("XCB4",'cubi (2016)'!$A$3,"MA_HT","RSX","MA_QH","LUN")</f>
        <v>0</v>
      </c>
      <c r="J13" s="22">
        <f ca="1">+GETPIVOTDATA("XCB4",'cubi (2016)'!$A$3,"MA_HT","RSX","MA_QH","HNK")</f>
        <v>0</v>
      </c>
      <c r="K13" s="22">
        <f ca="1">+GETPIVOTDATA("XCB4",'cubi (2016)'!$A$3,"MA_HT","RSX","MA_QH","CLN")</f>
        <v>0</v>
      </c>
      <c r="L13" s="43" t="e">
        <f ca="1">$D13-$BF13</f>
        <v>#REF!</v>
      </c>
      <c r="M13" s="22">
        <f ca="1">+GETPIVOTDATA("XCB4",'cubi (2016)'!$A$3,"MA_HT","RSX","MA_QH","RPH")</f>
        <v>0</v>
      </c>
      <c r="N13" s="22">
        <f ca="1">+GETPIVOTDATA("XCB4",'cubi (2016)'!$A$3,"MA_HT","RSX","MA_QH","RDD")</f>
        <v>0</v>
      </c>
      <c r="O13" s="22">
        <f ca="1">+GETPIVOTDATA("XCB4",'cubi (2016)'!$A$3,"MA_HT","RSX","MA_QH","NTS")</f>
        <v>0</v>
      </c>
      <c r="P13" s="22">
        <f ca="1">+GETPIVOTDATA("XCB4",'cubi (2016)'!$A$3,"MA_HT","RSX","MA_QH","LMU")</f>
        <v>0</v>
      </c>
      <c r="Q13" s="22">
        <f ca="1">+GETPIVOTDATA("XCB4",'cubi (2016)'!$A$3,"MA_HT","RSX","MA_QH","NKH")</f>
        <v>0</v>
      </c>
      <c r="R13" s="42">
        <f ca="1" t="shared" si="2"/>
        <v>0</v>
      </c>
      <c r="S13" s="22">
        <f ca="1">+GETPIVOTDATA("XCB4",'cubi (2016)'!$A$3,"MA_HT","RSX","MA_QH","CQP")</f>
        <v>0</v>
      </c>
      <c r="T13" s="22">
        <f ca="1">+GETPIVOTDATA("XCB4",'cubi (2016)'!$A$3,"MA_HT","RSX","MA_QH","CAN")</f>
        <v>0</v>
      </c>
      <c r="U13" s="22">
        <f ca="1">+GETPIVOTDATA("XCB4",'cubi (2016)'!$A$3,"MA_HT","RSX","MA_QH","SKK")</f>
        <v>0</v>
      </c>
      <c r="V13" s="22">
        <f ca="1">+GETPIVOTDATA("XCB4",'cubi (2016)'!$A$3,"MA_HT","RSX","MA_QH","SKT")</f>
        <v>0</v>
      </c>
      <c r="W13" s="22">
        <f ca="1">+GETPIVOTDATA("XCB4",'cubi (2016)'!$A$3,"MA_HT","RSX","MA_QH","SKN")</f>
        <v>0</v>
      </c>
      <c r="X13" s="22">
        <f ca="1">+GETPIVOTDATA("XCB4",'cubi (2016)'!$A$3,"MA_HT","RSX","MA_QH","TMD")</f>
        <v>0</v>
      </c>
      <c r="Y13" s="22">
        <f ca="1">+GETPIVOTDATA("XCB4",'cubi (2016)'!$A$3,"MA_HT","RSX","MA_QH","SKC")</f>
        <v>0</v>
      </c>
      <c r="Z13" s="22">
        <f ca="1">+GETPIVOTDATA("XCB4",'cubi (2016)'!$A$3,"MA_HT","RSX","MA_QH","SKS")</f>
        <v>0</v>
      </c>
      <c r="AA13" s="52">
        <f ca="1" t="shared" si="4"/>
        <v>0</v>
      </c>
      <c r="AB13" s="22">
        <f ca="1">+GETPIVOTDATA("XCB4",'cubi (2016)'!$A$3,"MA_HT","RSX","MA_QH","DGT")</f>
        <v>0</v>
      </c>
      <c r="AC13" s="22">
        <f ca="1">+GETPIVOTDATA("XCB4",'cubi (2016)'!$A$3,"MA_HT","RSX","MA_QH","DTL")</f>
        <v>0</v>
      </c>
      <c r="AD13" s="22">
        <f ca="1">+GETPIVOTDATA("XCB4",'cubi (2016)'!$A$3,"MA_HT","RSX","MA_QH","DNL")</f>
        <v>0</v>
      </c>
      <c r="AE13" s="22">
        <f ca="1">+GETPIVOTDATA("XCB4",'cubi (2016)'!$A$3,"MA_HT","RSX","MA_QH","DBV")</f>
        <v>0</v>
      </c>
      <c r="AF13" s="22">
        <f ca="1">+GETPIVOTDATA("XCB4",'cubi (2016)'!$A$3,"MA_HT","RSX","MA_QH","DVH")</f>
        <v>0</v>
      </c>
      <c r="AG13" s="22">
        <f ca="1">+GETPIVOTDATA("XCB4",'cubi (2016)'!$A$3,"MA_HT","RSX","MA_QH","DYT")</f>
        <v>0</v>
      </c>
      <c r="AH13" s="22">
        <f ca="1">+GETPIVOTDATA("XCB4",'cubi (2016)'!$A$3,"MA_HT","RSX","MA_QH","DGD")</f>
        <v>0</v>
      </c>
      <c r="AI13" s="22">
        <f ca="1">+GETPIVOTDATA("XCB4",'cubi (2016)'!$A$3,"MA_HT","RSX","MA_QH","DTT")</f>
        <v>0</v>
      </c>
      <c r="AJ13" s="22">
        <f ca="1">+GETPIVOTDATA("XCB4",'cubi (2016)'!$A$3,"MA_HT","RSX","MA_QH","NCK")</f>
        <v>0</v>
      </c>
      <c r="AK13" s="22">
        <f ca="1">+GETPIVOTDATA("XCB4",'cubi (2016)'!$A$3,"MA_HT","RSX","MA_QH","DXH")</f>
        <v>0</v>
      </c>
      <c r="AL13" s="22">
        <f ca="1">+GETPIVOTDATA("XCB4",'cubi (2016)'!$A$3,"MA_HT","RSX","MA_QH","DCH")</f>
        <v>0</v>
      </c>
      <c r="AM13" s="22">
        <f ca="1">+GETPIVOTDATA("XCB4",'cubi (2016)'!$A$3,"MA_HT","RSX","MA_QH","DKG")</f>
        <v>0</v>
      </c>
      <c r="AN13" s="22">
        <f ca="1">+GETPIVOTDATA("XCB4",'cubi (2016)'!$A$3,"MA_HT","RSX","MA_QH","DDT")</f>
        <v>0</v>
      </c>
      <c r="AO13" s="22">
        <f ca="1">+GETPIVOTDATA("XCB4",'cubi (2016)'!$A$3,"MA_HT","RSX","MA_QH","DDL")</f>
        <v>0</v>
      </c>
      <c r="AP13" s="22">
        <f ca="1">+GETPIVOTDATA("XCB4",'cubi (2016)'!$A$3,"MA_HT","RSX","MA_QH","DRA")</f>
        <v>0</v>
      </c>
      <c r="AQ13" s="22">
        <f ca="1">+GETPIVOTDATA("XCB4",'cubi (2016)'!$A$3,"MA_HT","RSX","MA_QH","ONT")</f>
        <v>0</v>
      </c>
      <c r="AR13" s="22">
        <f ca="1">+GETPIVOTDATA("XCB4",'cubi (2016)'!$A$3,"MA_HT","RSX","MA_QH","ODT")</f>
        <v>0</v>
      </c>
      <c r="AS13" s="22">
        <f ca="1">+GETPIVOTDATA("XCB4",'cubi (2016)'!$A$3,"MA_HT","RSX","MA_QH","TSC")</f>
        <v>0</v>
      </c>
      <c r="AT13" s="22">
        <f ca="1">+GETPIVOTDATA("XCB4",'cubi (2016)'!$A$3,"MA_HT","RSX","MA_QH","DTS")</f>
        <v>0</v>
      </c>
      <c r="AU13" s="22">
        <f ca="1">+GETPIVOTDATA("XCB4",'cubi (2016)'!$A$3,"MA_HT","RSX","MA_QH","DNG")</f>
        <v>0</v>
      </c>
      <c r="AV13" s="22">
        <f ca="1">+GETPIVOTDATA("XCB4",'cubi (2016)'!$A$3,"MA_HT","RSX","MA_QH","TON")</f>
        <v>0</v>
      </c>
      <c r="AW13" s="22">
        <f ca="1">+GETPIVOTDATA("XCB4",'cubi (2016)'!$A$3,"MA_HT","RSX","MA_QH","NTD")</f>
        <v>0</v>
      </c>
      <c r="AX13" s="22">
        <f ca="1">+GETPIVOTDATA("XCB4",'cubi (2016)'!$A$3,"MA_HT","RSX","MA_QH","SKX")</f>
        <v>0</v>
      </c>
      <c r="AY13" s="22">
        <f ca="1">+GETPIVOTDATA("XCB4",'cubi (2016)'!$A$3,"MA_HT","RSX","MA_QH","DSH")</f>
        <v>0</v>
      </c>
      <c r="AZ13" s="22">
        <f ca="1">+GETPIVOTDATA("XCB4",'cubi (2016)'!$A$3,"MA_HT","RSX","MA_QH","DKV")</f>
        <v>0</v>
      </c>
      <c r="BA13" s="89">
        <f ca="1">+GETPIVOTDATA("XCB4",'cubi (2016)'!$A$3,"MA_HT","RSX","MA_QH","TIN")</f>
        <v>0</v>
      </c>
      <c r="BB13" s="50">
        <f ca="1">+GETPIVOTDATA("XCB4",'cubi (2016)'!$A$3,"MA_HT","RSX","MA_QH","SON")</f>
        <v>0</v>
      </c>
      <c r="BC13" s="50">
        <f ca="1">+GETPIVOTDATA("XCB4",'cubi (2016)'!$A$3,"MA_HT","RSX","MA_QH","MNC")</f>
        <v>0</v>
      </c>
      <c r="BD13" s="22">
        <f ca="1">+GETPIVOTDATA("XCB4",'cubi (2016)'!$A$3,"MA_HT","RSX","MA_QH","PNK")</f>
        <v>0</v>
      </c>
      <c r="BE13" s="71">
        <f ca="1">+GETPIVOTDATA("XCB4",'cubi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+GETPIVOTDATA("XCB4",'cubi (2016)'!$A$3,"MA_HT","RPH","MA_QH","LUC")</f>
        <v>0</v>
      </c>
      <c r="H14" s="22">
        <f ca="1">+GETPIVOTDATA("XCB4",'cubi (2016)'!$A$3,"MA_HT","RPH","MA_QH","LUK")</f>
        <v>0</v>
      </c>
      <c r="I14" s="22">
        <f ca="1">+GETPIVOTDATA("XCB4",'cubi (2016)'!$A$3,"MA_HT","RPH","MA_QH","LUN")</f>
        <v>0</v>
      </c>
      <c r="J14" s="22">
        <f ca="1">+GETPIVOTDATA("XCB4",'cubi (2016)'!$A$3,"MA_HT","RPH","MA_QH","HNK")</f>
        <v>0</v>
      </c>
      <c r="K14" s="22">
        <f ca="1">+GETPIVOTDATA("XCB4",'cubi (2016)'!$A$3,"MA_HT","RPH","MA_QH","CLN")</f>
        <v>0</v>
      </c>
      <c r="L14" s="22">
        <f ca="1">+GETPIVOTDATA("XCB4",'cubi (2016)'!$A$3,"MA_HT","RPH","MA_QH","RSX")</f>
        <v>0</v>
      </c>
      <c r="M14" s="43" t="e">
        <f ca="1">$D14-$BF14</f>
        <v>#REF!</v>
      </c>
      <c r="N14" s="22">
        <f ca="1">+GETPIVOTDATA("XCB4",'cubi (2016)'!$A$3,"MA_HT","RPH","MA_QH","RDD")</f>
        <v>0</v>
      </c>
      <c r="O14" s="22">
        <f ca="1">+GETPIVOTDATA("XCB4",'cubi (2016)'!$A$3,"MA_HT","RPH","MA_QH","NTS")</f>
        <v>0</v>
      </c>
      <c r="P14" s="22">
        <f ca="1">+GETPIVOTDATA("XCB4",'cubi (2016)'!$A$3,"MA_HT","RPH","MA_QH","LMU")</f>
        <v>0</v>
      </c>
      <c r="Q14" s="22">
        <f ca="1">+GETPIVOTDATA("XCB4",'cubi (2016)'!$A$3,"MA_HT","RPH","MA_QH","NKH")</f>
        <v>0</v>
      </c>
      <c r="R14" s="42">
        <f ca="1" t="shared" si="2"/>
        <v>0</v>
      </c>
      <c r="S14" s="22">
        <f ca="1">+GETPIVOTDATA("XCB4",'cubi (2016)'!$A$3,"MA_HT","RPH","MA_QH","CQP")</f>
        <v>0</v>
      </c>
      <c r="T14" s="22">
        <f ca="1">+GETPIVOTDATA("XCB4",'cubi (2016)'!$A$3,"MA_HT","RPH","MA_QH","CAN")</f>
        <v>0</v>
      </c>
      <c r="U14" s="22">
        <f ca="1">+GETPIVOTDATA("XCB4",'cubi (2016)'!$A$3,"MA_HT","RPH","MA_QH","SKK")</f>
        <v>0</v>
      </c>
      <c r="V14" s="22">
        <f ca="1">+GETPIVOTDATA("XCB4",'cubi (2016)'!$A$3,"MA_HT","RPH","MA_QH","SKT")</f>
        <v>0</v>
      </c>
      <c r="W14" s="22">
        <f ca="1">+GETPIVOTDATA("XCB4",'cubi (2016)'!$A$3,"MA_HT","RPH","MA_QH","SKN")</f>
        <v>0</v>
      </c>
      <c r="X14" s="22">
        <f ca="1">+GETPIVOTDATA("XCB4",'cubi (2016)'!$A$3,"MA_HT","RPH","MA_QH","TMD")</f>
        <v>0</v>
      </c>
      <c r="Y14" s="22">
        <f ca="1">+GETPIVOTDATA("XCB4",'cubi (2016)'!$A$3,"MA_HT","RPH","MA_QH","SKC")</f>
        <v>0</v>
      </c>
      <c r="Z14" s="22">
        <f ca="1">+GETPIVOTDATA("XCB4",'cubi (2016)'!$A$3,"MA_HT","RPH","MA_QH","SKS")</f>
        <v>0</v>
      </c>
      <c r="AA14" s="52">
        <f ca="1" t="shared" si="4"/>
        <v>0</v>
      </c>
      <c r="AB14" s="22">
        <f ca="1">+GETPIVOTDATA("XCB4",'cubi (2016)'!$A$3,"MA_HT","RPH","MA_QH","DGT")</f>
        <v>0</v>
      </c>
      <c r="AC14" s="22">
        <f ca="1">+GETPIVOTDATA("XCB4",'cubi (2016)'!$A$3,"MA_HT","RPH","MA_QH","DTL")</f>
        <v>0</v>
      </c>
      <c r="AD14" s="22">
        <f ca="1">+GETPIVOTDATA("XCB4",'cubi (2016)'!$A$3,"MA_HT","RPH","MA_QH","DNL")</f>
        <v>0</v>
      </c>
      <c r="AE14" s="22">
        <f ca="1">+GETPIVOTDATA("XCB4",'cubi (2016)'!$A$3,"MA_HT","RPH","MA_QH","DBV")</f>
        <v>0</v>
      </c>
      <c r="AF14" s="22">
        <f ca="1">+GETPIVOTDATA("XCB4",'cubi (2016)'!$A$3,"MA_HT","RPH","MA_QH","DVH")</f>
        <v>0</v>
      </c>
      <c r="AG14" s="22">
        <f ca="1">+GETPIVOTDATA("XCB4",'cubi (2016)'!$A$3,"MA_HT","RPH","MA_QH","DYT")</f>
        <v>0</v>
      </c>
      <c r="AH14" s="22">
        <f ca="1">+GETPIVOTDATA("XCB4",'cubi (2016)'!$A$3,"MA_HT","RPH","MA_QH","DGD")</f>
        <v>0</v>
      </c>
      <c r="AI14" s="22">
        <f ca="1">+GETPIVOTDATA("XCB4",'cubi (2016)'!$A$3,"MA_HT","RPH","MA_QH","DTT")</f>
        <v>0</v>
      </c>
      <c r="AJ14" s="22">
        <f ca="1">+GETPIVOTDATA("XCB4",'cubi (2016)'!$A$3,"MA_HT","RPH","MA_QH","NCK")</f>
        <v>0</v>
      </c>
      <c r="AK14" s="22">
        <f ca="1">+GETPIVOTDATA("XCB4",'cubi (2016)'!$A$3,"MA_HT","RPH","MA_QH","DXH")</f>
        <v>0</v>
      </c>
      <c r="AL14" s="22">
        <f ca="1">+GETPIVOTDATA("XCB4",'cubi (2016)'!$A$3,"MA_HT","RPH","MA_QH","DCH")</f>
        <v>0</v>
      </c>
      <c r="AM14" s="22">
        <f ca="1">+GETPIVOTDATA("XCB4",'cubi (2016)'!$A$3,"MA_HT","RPH","MA_QH","DKG")</f>
        <v>0</v>
      </c>
      <c r="AN14" s="22">
        <f ca="1">+GETPIVOTDATA("XCB4",'cubi (2016)'!$A$3,"MA_HT","RPH","MA_QH","DDT")</f>
        <v>0</v>
      </c>
      <c r="AO14" s="22">
        <f ca="1">+GETPIVOTDATA("XCB4",'cubi (2016)'!$A$3,"MA_HT","RPH","MA_QH","DDL")</f>
        <v>0</v>
      </c>
      <c r="AP14" s="22">
        <f ca="1">+GETPIVOTDATA("XCB4",'cubi (2016)'!$A$3,"MA_HT","RPH","MA_QH","DRA")</f>
        <v>0</v>
      </c>
      <c r="AQ14" s="22">
        <f ca="1">+GETPIVOTDATA("XCB4",'cubi (2016)'!$A$3,"MA_HT","RPH","MA_QH","ONT")</f>
        <v>0</v>
      </c>
      <c r="AR14" s="22">
        <f ca="1">+GETPIVOTDATA("XCB4",'cubi (2016)'!$A$3,"MA_HT","RPH","MA_QH","ODT")</f>
        <v>0</v>
      </c>
      <c r="AS14" s="22">
        <f ca="1">+GETPIVOTDATA("XCB4",'cubi (2016)'!$A$3,"MA_HT","RPH","MA_QH","TSC")</f>
        <v>0</v>
      </c>
      <c r="AT14" s="22">
        <f ca="1">+GETPIVOTDATA("XCB4",'cubi (2016)'!$A$3,"MA_HT","RPH","MA_QH","DTS")</f>
        <v>0</v>
      </c>
      <c r="AU14" s="22">
        <f ca="1">+GETPIVOTDATA("XCB4",'cubi (2016)'!$A$3,"MA_HT","RPH","MA_QH","DNG")</f>
        <v>0</v>
      </c>
      <c r="AV14" s="22">
        <f ca="1">+GETPIVOTDATA("XCB4",'cubi (2016)'!$A$3,"MA_HT","RPH","MA_QH","TON")</f>
        <v>0</v>
      </c>
      <c r="AW14" s="22">
        <f ca="1">+GETPIVOTDATA("XCB4",'cubi (2016)'!$A$3,"MA_HT","RPH","MA_QH","NTD")</f>
        <v>0</v>
      </c>
      <c r="AX14" s="22">
        <f ca="1">+GETPIVOTDATA("XCB4",'cubi (2016)'!$A$3,"MA_HT","RPH","MA_QH","SKX")</f>
        <v>0</v>
      </c>
      <c r="AY14" s="22">
        <f ca="1">+GETPIVOTDATA("XCB4",'cubi (2016)'!$A$3,"MA_HT","RPH","MA_QH","DSH")</f>
        <v>0</v>
      </c>
      <c r="AZ14" s="22">
        <f ca="1">+GETPIVOTDATA("XCB4",'cubi (2016)'!$A$3,"MA_HT","RPH","MA_QH","DKV")</f>
        <v>0</v>
      </c>
      <c r="BA14" s="89">
        <f ca="1">+GETPIVOTDATA("XCB4",'cubi (2016)'!$A$3,"MA_HT","RPH","MA_QH","TIN")</f>
        <v>0</v>
      </c>
      <c r="BB14" s="50">
        <f ca="1">+GETPIVOTDATA("XCB4",'cubi (2016)'!$A$3,"MA_HT","RPH","MA_QH","SON")</f>
        <v>0</v>
      </c>
      <c r="BC14" s="50">
        <f ca="1">+GETPIVOTDATA("XCB4",'cubi (2016)'!$A$3,"MA_HT","RPH","MA_QH","MNC")</f>
        <v>0</v>
      </c>
      <c r="BD14" s="22">
        <f ca="1">+GETPIVOTDATA("XCB4",'cubi (2016)'!$A$3,"MA_HT","RPH","MA_QH","PNK")</f>
        <v>0</v>
      </c>
      <c r="BE14" s="71">
        <f ca="1">+GETPIVOTDATA("XCB4",'cubi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+GETPIVOTDATA("XCB4",'cubi (2016)'!$A$3,"MA_HT","RDD","MA_QH","LUC")</f>
        <v>0</v>
      </c>
      <c r="H15" s="22">
        <f ca="1">+GETPIVOTDATA("XCB4",'cubi (2016)'!$A$3,"MA_HT","RDD","MA_QH","LUK")</f>
        <v>0</v>
      </c>
      <c r="I15" s="22">
        <f ca="1">+GETPIVOTDATA("XCB4",'cubi (2016)'!$A$3,"MA_HT","RDD","MA_QH","LUN")</f>
        <v>0</v>
      </c>
      <c r="J15" s="22">
        <f ca="1">+GETPIVOTDATA("XCB4",'cubi (2016)'!$A$3,"MA_HT","RDD","MA_QH","HNK")</f>
        <v>0</v>
      </c>
      <c r="K15" s="22">
        <f ca="1">+GETPIVOTDATA("XCB4",'cubi (2016)'!$A$3,"MA_HT","RDD","MA_QH","CLN")</f>
        <v>0</v>
      </c>
      <c r="L15" s="22">
        <f ca="1">+GETPIVOTDATA("XCB4",'cubi (2016)'!$A$3,"MA_HT","RDD","MA_QH","RSX")</f>
        <v>0</v>
      </c>
      <c r="M15" s="22">
        <f ca="1">+GETPIVOTDATA("XCB4",'cubi (2016)'!$A$3,"MA_HT","RDD","MA_QH","RPH")</f>
        <v>0</v>
      </c>
      <c r="N15" s="43" t="e">
        <f ca="1">$D15-$BF15</f>
        <v>#REF!</v>
      </c>
      <c r="O15" s="22">
        <f ca="1">+GETPIVOTDATA("XCB4",'cubi (2016)'!$A$3,"MA_HT","RDD","MA_QH","NTS")</f>
        <v>0</v>
      </c>
      <c r="P15" s="22">
        <f ca="1">+GETPIVOTDATA("XCB4",'cubi (2016)'!$A$3,"MA_HT","RDD","MA_QH","LMU")</f>
        <v>0</v>
      </c>
      <c r="Q15" s="22">
        <f ca="1">+GETPIVOTDATA("XCB4",'cubi (2016)'!$A$3,"MA_HT","RDD","MA_QH","NKH")</f>
        <v>0</v>
      </c>
      <c r="R15" s="42">
        <f ca="1" t="shared" si="2"/>
        <v>0</v>
      </c>
      <c r="S15" s="22">
        <f ca="1">+GETPIVOTDATA("XCB4",'cubi (2016)'!$A$3,"MA_HT","RDD","MA_QH","CQP")</f>
        <v>0</v>
      </c>
      <c r="T15" s="22">
        <f ca="1">+GETPIVOTDATA("XCB4",'cubi (2016)'!$A$3,"MA_HT","RDD","MA_QH","CAN")</f>
        <v>0</v>
      </c>
      <c r="U15" s="22">
        <f ca="1">+GETPIVOTDATA("XCB4",'cubi (2016)'!$A$3,"MA_HT","RDD","MA_QH","SKK")</f>
        <v>0</v>
      </c>
      <c r="V15" s="22">
        <f ca="1">+GETPIVOTDATA("XCB4",'cubi (2016)'!$A$3,"MA_HT","RDD","MA_QH","SKT")</f>
        <v>0</v>
      </c>
      <c r="W15" s="22">
        <f ca="1">+GETPIVOTDATA("XCB4",'cubi (2016)'!$A$3,"MA_HT","RDD","MA_QH","SKN")</f>
        <v>0</v>
      </c>
      <c r="X15" s="22">
        <f ca="1">+GETPIVOTDATA("XCB4",'cubi (2016)'!$A$3,"MA_HT","RDD","MA_QH","TMD")</f>
        <v>0</v>
      </c>
      <c r="Y15" s="22">
        <f ca="1">+GETPIVOTDATA("XCB4",'cubi (2016)'!$A$3,"MA_HT","RDD","MA_QH","SKC")</f>
        <v>0</v>
      </c>
      <c r="Z15" s="22">
        <f ca="1">+GETPIVOTDATA("XCB4",'cubi (2016)'!$A$3,"MA_HT","RDD","MA_QH","SKS")</f>
        <v>0</v>
      </c>
      <c r="AA15" s="52">
        <f ca="1" t="shared" si="4"/>
        <v>0</v>
      </c>
      <c r="AB15" s="22">
        <f ca="1">+GETPIVOTDATA("XCB4",'cubi (2016)'!$A$3,"MA_HT","RDD","MA_QH","DGT")</f>
        <v>0</v>
      </c>
      <c r="AC15" s="22">
        <f ca="1">+GETPIVOTDATA("XCB4",'cubi (2016)'!$A$3,"MA_HT","RDD","MA_QH","DTL")</f>
        <v>0</v>
      </c>
      <c r="AD15" s="22">
        <f ca="1">+GETPIVOTDATA("XCB4",'cubi (2016)'!$A$3,"MA_HT","RDD","MA_QH","DNL")</f>
        <v>0</v>
      </c>
      <c r="AE15" s="22">
        <f ca="1">+GETPIVOTDATA("XCB4",'cubi (2016)'!$A$3,"MA_HT","RDD","MA_QH","DBV")</f>
        <v>0</v>
      </c>
      <c r="AF15" s="22">
        <f ca="1">+GETPIVOTDATA("XCB4",'cubi (2016)'!$A$3,"MA_HT","RDD","MA_QH","DVH")</f>
        <v>0</v>
      </c>
      <c r="AG15" s="22">
        <f ca="1">+GETPIVOTDATA("XCB4",'cubi (2016)'!$A$3,"MA_HT","RDD","MA_QH","DYT")</f>
        <v>0</v>
      </c>
      <c r="AH15" s="22">
        <f ca="1">+GETPIVOTDATA("XCB4",'cubi (2016)'!$A$3,"MA_HT","RDD","MA_QH","DGD")</f>
        <v>0</v>
      </c>
      <c r="AI15" s="22">
        <f ca="1">+GETPIVOTDATA("XCB4",'cubi (2016)'!$A$3,"MA_HT","RDD","MA_QH","DTT")</f>
        <v>0</v>
      </c>
      <c r="AJ15" s="22">
        <f ca="1">+GETPIVOTDATA("XCB4",'cubi (2016)'!$A$3,"MA_HT","RDD","MA_QH","NCK")</f>
        <v>0</v>
      </c>
      <c r="AK15" s="22">
        <f ca="1">+GETPIVOTDATA("XCB4",'cubi (2016)'!$A$3,"MA_HT","RDD","MA_QH","DXH")</f>
        <v>0</v>
      </c>
      <c r="AL15" s="22">
        <f ca="1">+GETPIVOTDATA("XCB4",'cubi (2016)'!$A$3,"MA_HT","RDD","MA_QH","DCH")</f>
        <v>0</v>
      </c>
      <c r="AM15" s="22">
        <f ca="1">+GETPIVOTDATA("XCB4",'cubi (2016)'!$A$3,"MA_HT","RDD","MA_QH","DKG")</f>
        <v>0</v>
      </c>
      <c r="AN15" s="22">
        <f ca="1">+GETPIVOTDATA("XCB4",'cubi (2016)'!$A$3,"MA_HT","RDD","MA_QH","DDT")</f>
        <v>0</v>
      </c>
      <c r="AO15" s="22">
        <f ca="1">+GETPIVOTDATA("XCB4",'cubi (2016)'!$A$3,"MA_HT","RDD","MA_QH","DDL")</f>
        <v>0</v>
      </c>
      <c r="AP15" s="22">
        <f ca="1">+GETPIVOTDATA("XCB4",'cubi (2016)'!$A$3,"MA_HT","RDD","MA_QH","DRA")</f>
        <v>0</v>
      </c>
      <c r="AQ15" s="22">
        <f ca="1">+GETPIVOTDATA("XCB4",'cubi (2016)'!$A$3,"MA_HT","RDD","MA_QH","ONT")</f>
        <v>0</v>
      </c>
      <c r="AR15" s="22">
        <f ca="1">+GETPIVOTDATA("XCB4",'cubi (2016)'!$A$3,"MA_HT","RDD","MA_QH","ODT")</f>
        <v>0</v>
      </c>
      <c r="AS15" s="22">
        <f ca="1">+GETPIVOTDATA("XCB4",'cubi (2016)'!$A$3,"MA_HT","RDD","MA_QH","TSC")</f>
        <v>0</v>
      </c>
      <c r="AT15" s="22">
        <f ca="1">+GETPIVOTDATA("XCB4",'cubi (2016)'!$A$3,"MA_HT","RDD","MA_QH","DTS")</f>
        <v>0</v>
      </c>
      <c r="AU15" s="22">
        <f ca="1">+GETPIVOTDATA("XCB4",'cubi (2016)'!$A$3,"MA_HT","RDD","MA_QH","DNG")</f>
        <v>0</v>
      </c>
      <c r="AV15" s="22">
        <f ca="1">+GETPIVOTDATA("XCB4",'cubi (2016)'!$A$3,"MA_HT","RDD","MA_QH","TON")</f>
        <v>0</v>
      </c>
      <c r="AW15" s="22">
        <f ca="1">+GETPIVOTDATA("XCB4",'cubi (2016)'!$A$3,"MA_HT","RDD","MA_QH","NTD")</f>
        <v>0</v>
      </c>
      <c r="AX15" s="22">
        <f ca="1">+GETPIVOTDATA("XCB4",'cubi (2016)'!$A$3,"MA_HT","RDD","MA_QH","SKX")</f>
        <v>0</v>
      </c>
      <c r="AY15" s="22">
        <f ca="1">+GETPIVOTDATA("XCB4",'cubi (2016)'!$A$3,"MA_HT","RDD","MA_QH","DSH")</f>
        <v>0</v>
      </c>
      <c r="AZ15" s="22">
        <f ca="1">+GETPIVOTDATA("XCB4",'cubi (2016)'!$A$3,"MA_HT","RDD","MA_QH","DKV")</f>
        <v>0</v>
      </c>
      <c r="BA15" s="89">
        <f ca="1">+GETPIVOTDATA("XCB4",'cubi (2016)'!$A$3,"MA_HT","RDD","MA_QH","TIN")</f>
        <v>0</v>
      </c>
      <c r="BB15" s="50">
        <f ca="1">+GETPIVOTDATA("XCB4",'cubi (2016)'!$A$3,"MA_HT","RDD","MA_QH","SON")</f>
        <v>0</v>
      </c>
      <c r="BC15" s="50">
        <f ca="1">+GETPIVOTDATA("XCB4",'cubi (2016)'!$A$3,"MA_HT","RDD","MA_QH","MNC")</f>
        <v>0</v>
      </c>
      <c r="BD15" s="22">
        <f ca="1">+GETPIVOTDATA("XCB4",'cubi (2016)'!$A$3,"MA_HT","RDD","MA_QH","PNK")</f>
        <v>0</v>
      </c>
      <c r="BE15" s="71">
        <f ca="1">+GETPIVOTDATA("XCB4",'cubi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+GETPIVOTDATA("XCB4",'cubi (2016)'!$A$3,"MA_HT","NTS","MA_QH","LUC")</f>
        <v>0</v>
      </c>
      <c r="H16" s="22">
        <f ca="1">+GETPIVOTDATA("XCB4",'cubi (2016)'!$A$3,"MA_HT","NTS","MA_QH","LUK")</f>
        <v>0</v>
      </c>
      <c r="I16" s="22">
        <f ca="1">+GETPIVOTDATA("XCB4",'cubi (2016)'!$A$3,"MA_HT","NTS","MA_QH","LUN")</f>
        <v>0</v>
      </c>
      <c r="J16" s="22">
        <f ca="1">+GETPIVOTDATA("XCB4",'cubi (2016)'!$A$3,"MA_HT","NTS","MA_QH","HNK")</f>
        <v>0</v>
      </c>
      <c r="K16" s="22">
        <f ca="1">+GETPIVOTDATA("XCB4",'cubi (2016)'!$A$3,"MA_HT","NTS","MA_QH","CLN")</f>
        <v>0</v>
      </c>
      <c r="L16" s="22">
        <f ca="1">+GETPIVOTDATA("XCB4",'cubi (2016)'!$A$3,"MA_HT","NTS","MA_QH","RSX")</f>
        <v>0</v>
      </c>
      <c r="M16" s="22">
        <f ca="1">+GETPIVOTDATA("XCB4",'cubi (2016)'!$A$3,"MA_HT","NTS","MA_QH","RPH")</f>
        <v>0</v>
      </c>
      <c r="N16" s="22">
        <f ca="1">+GETPIVOTDATA("XCB4",'cubi (2016)'!$A$3,"MA_HT","NTS","MA_QH","RDD")</f>
        <v>0</v>
      </c>
      <c r="O16" s="43" t="e">
        <f ca="1">$D16-$BF16</f>
        <v>#REF!</v>
      </c>
      <c r="P16" s="22">
        <f ca="1">+GETPIVOTDATA("XCB4",'cubi (2016)'!$A$3,"MA_HT","NTS","MA_QH","LMU")</f>
        <v>0</v>
      </c>
      <c r="Q16" s="22">
        <f ca="1">+GETPIVOTDATA("XCB4",'cubi (2016)'!$A$3,"MA_HT","NTS","MA_QH","NKH")</f>
        <v>0</v>
      </c>
      <c r="R16" s="42">
        <f ca="1" t="shared" si="2"/>
        <v>0</v>
      </c>
      <c r="S16" s="22">
        <f ca="1">+GETPIVOTDATA("XCB4",'cubi (2016)'!$A$3,"MA_HT","NTS","MA_QH","CQP")</f>
        <v>0</v>
      </c>
      <c r="T16" s="22">
        <f ca="1">+GETPIVOTDATA("XCB4",'cubi (2016)'!$A$3,"MA_HT","NTS","MA_QH","CAN")</f>
        <v>0</v>
      </c>
      <c r="U16" s="22">
        <f ca="1">+GETPIVOTDATA("XCB4",'cubi (2016)'!$A$3,"MA_HT","NTS","MA_QH","SKK")</f>
        <v>0</v>
      </c>
      <c r="V16" s="22">
        <f ca="1">+GETPIVOTDATA("XCB4",'cubi (2016)'!$A$3,"MA_HT","NTS","MA_QH","SKT")</f>
        <v>0</v>
      </c>
      <c r="W16" s="22">
        <f ca="1">+GETPIVOTDATA("XCB4",'cubi (2016)'!$A$3,"MA_HT","NTS","MA_QH","SKN")</f>
        <v>0</v>
      </c>
      <c r="X16" s="22">
        <f ca="1">+GETPIVOTDATA("XCB4",'cubi (2016)'!$A$3,"MA_HT","NTS","MA_QH","TMD")</f>
        <v>0</v>
      </c>
      <c r="Y16" s="22">
        <f ca="1">+GETPIVOTDATA("XCB4",'cubi (2016)'!$A$3,"MA_HT","NTS","MA_QH","SKC")</f>
        <v>0</v>
      </c>
      <c r="Z16" s="22">
        <f ca="1">+GETPIVOTDATA("XCB4",'cubi (2016)'!$A$3,"MA_HT","NTS","MA_QH","SKS")</f>
        <v>0</v>
      </c>
      <c r="AA16" s="52">
        <f ca="1" t="shared" si="4"/>
        <v>0</v>
      </c>
      <c r="AB16" s="22">
        <f ca="1">+GETPIVOTDATA("XCB4",'cubi (2016)'!$A$3,"MA_HT","NTS","MA_QH","DGT")</f>
        <v>0</v>
      </c>
      <c r="AC16" s="22">
        <f ca="1">+GETPIVOTDATA("XCB4",'cubi (2016)'!$A$3,"MA_HT","NTS","MA_QH","DTL")</f>
        <v>0</v>
      </c>
      <c r="AD16" s="22">
        <f ca="1">+GETPIVOTDATA("XCB4",'cubi (2016)'!$A$3,"MA_HT","NTS","MA_QH","DNL")</f>
        <v>0</v>
      </c>
      <c r="AE16" s="22">
        <f ca="1">+GETPIVOTDATA("XCB4",'cubi (2016)'!$A$3,"MA_HT","NTS","MA_QH","DBV")</f>
        <v>0</v>
      </c>
      <c r="AF16" s="22">
        <f ca="1">+GETPIVOTDATA("XCB4",'cubi (2016)'!$A$3,"MA_HT","NTS","MA_QH","DVH")</f>
        <v>0</v>
      </c>
      <c r="AG16" s="22">
        <f ca="1">+GETPIVOTDATA("XCB4",'cubi (2016)'!$A$3,"MA_HT","NTS","MA_QH","DYT")</f>
        <v>0</v>
      </c>
      <c r="AH16" s="22">
        <f ca="1">+GETPIVOTDATA("XCB4",'cubi (2016)'!$A$3,"MA_HT","NTS","MA_QH","DGD")</f>
        <v>0</v>
      </c>
      <c r="AI16" s="22">
        <f ca="1">+GETPIVOTDATA("XCB4",'cubi (2016)'!$A$3,"MA_HT","NTS","MA_QH","DTT")</f>
        <v>0</v>
      </c>
      <c r="AJ16" s="22">
        <f ca="1">+GETPIVOTDATA("XCB4",'cubi (2016)'!$A$3,"MA_HT","NTS","MA_QH","NCK")</f>
        <v>0</v>
      </c>
      <c r="AK16" s="22">
        <f ca="1">+GETPIVOTDATA("XCB4",'cubi (2016)'!$A$3,"MA_HT","NTS","MA_QH","DXH")</f>
        <v>0</v>
      </c>
      <c r="AL16" s="22">
        <f ca="1">+GETPIVOTDATA("XCB4",'cubi (2016)'!$A$3,"MA_HT","NTS","MA_QH","DCH")</f>
        <v>0</v>
      </c>
      <c r="AM16" s="22">
        <f ca="1">+GETPIVOTDATA("XCB4",'cubi (2016)'!$A$3,"MA_HT","NTS","MA_QH","DKG")</f>
        <v>0</v>
      </c>
      <c r="AN16" s="22">
        <f ca="1">+GETPIVOTDATA("XCB4",'cubi (2016)'!$A$3,"MA_HT","NTS","MA_QH","DDT")</f>
        <v>0</v>
      </c>
      <c r="AO16" s="22">
        <f ca="1">+GETPIVOTDATA("XCB4",'cubi (2016)'!$A$3,"MA_HT","NTS","MA_QH","DDL")</f>
        <v>0</v>
      </c>
      <c r="AP16" s="22">
        <f ca="1">+GETPIVOTDATA("XCB4",'cubi (2016)'!$A$3,"MA_HT","NTS","MA_QH","DRA")</f>
        <v>0</v>
      </c>
      <c r="AQ16" s="22">
        <f ca="1">+GETPIVOTDATA("XCB4",'cubi (2016)'!$A$3,"MA_HT","NTS","MA_QH","ONT")</f>
        <v>0</v>
      </c>
      <c r="AR16" s="22">
        <f ca="1">+GETPIVOTDATA("XCB4",'cubi (2016)'!$A$3,"MA_HT","NTS","MA_QH","ODT")</f>
        <v>0</v>
      </c>
      <c r="AS16" s="22">
        <f ca="1">+GETPIVOTDATA("XCB4",'cubi (2016)'!$A$3,"MA_HT","NTS","MA_QH","TSC")</f>
        <v>0</v>
      </c>
      <c r="AT16" s="22">
        <f ca="1">+GETPIVOTDATA("XCB4",'cubi (2016)'!$A$3,"MA_HT","NTS","MA_QH","DTS")</f>
        <v>0</v>
      </c>
      <c r="AU16" s="22">
        <f ca="1">+GETPIVOTDATA("XCB4",'cubi (2016)'!$A$3,"MA_HT","NTS","MA_QH","DNG")</f>
        <v>0</v>
      </c>
      <c r="AV16" s="22">
        <f ca="1">+GETPIVOTDATA("XCB4",'cubi (2016)'!$A$3,"MA_HT","NTS","MA_QH","TON")</f>
        <v>0</v>
      </c>
      <c r="AW16" s="22">
        <f ca="1">+GETPIVOTDATA("XCB4",'cubi (2016)'!$A$3,"MA_HT","NTS","MA_QH","NTD")</f>
        <v>0</v>
      </c>
      <c r="AX16" s="22">
        <f ca="1">+GETPIVOTDATA("XCB4",'cubi (2016)'!$A$3,"MA_HT","NTS","MA_QH","SKX")</f>
        <v>0</v>
      </c>
      <c r="AY16" s="22">
        <f ca="1">+GETPIVOTDATA("XCB4",'cubi (2016)'!$A$3,"MA_HT","NTS","MA_QH","DSH")</f>
        <v>0</v>
      </c>
      <c r="AZ16" s="22">
        <f ca="1">+GETPIVOTDATA("XCB4",'cubi (2016)'!$A$3,"MA_HT","NTS","MA_QH","DKV")</f>
        <v>0</v>
      </c>
      <c r="BA16" s="89">
        <f ca="1">+GETPIVOTDATA("XCB4",'cubi (2016)'!$A$3,"MA_HT","NTS","MA_QH","TIN")</f>
        <v>0</v>
      </c>
      <c r="BB16" s="50">
        <f ca="1">+GETPIVOTDATA("XCB4",'cubi (2016)'!$A$3,"MA_HT","NTS","MA_QH","SON")</f>
        <v>0</v>
      </c>
      <c r="BC16" s="50">
        <f ca="1">+GETPIVOTDATA("XCB4",'cubi (2016)'!$A$3,"MA_HT","NTS","MA_QH","MNC")</f>
        <v>0</v>
      </c>
      <c r="BD16" s="22">
        <f ca="1">+GETPIVOTDATA("XCB4",'cubi (2016)'!$A$3,"MA_HT","NTS","MA_QH","PNK")</f>
        <v>0</v>
      </c>
      <c r="BE16" s="71">
        <f ca="1">+GETPIVOTDATA("XCB4",'cubi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+GETPIVOTDATA("XCB4",'cubi (2016)'!$A$3,"MA_HT","LMU","MA_QH","LUC")</f>
        <v>0</v>
      </c>
      <c r="H17" s="22">
        <f ca="1">+GETPIVOTDATA("XCB4",'cubi (2016)'!$A$3,"MA_HT","LMU","MA_QH","LUK")</f>
        <v>0</v>
      </c>
      <c r="I17" s="22">
        <f ca="1">+GETPIVOTDATA("XCB4",'cubi (2016)'!$A$3,"MA_HT","LMU","MA_QH","LUN")</f>
        <v>0</v>
      </c>
      <c r="J17" s="22">
        <f ca="1">+GETPIVOTDATA("XCB4",'cubi (2016)'!$A$3,"MA_HT","LMU","MA_QH","HNK")</f>
        <v>0</v>
      </c>
      <c r="K17" s="22">
        <f ca="1">+GETPIVOTDATA("XCB4",'cubi (2016)'!$A$3,"MA_HT","LMU","MA_QH","CLN")</f>
        <v>0</v>
      </c>
      <c r="L17" s="22">
        <f ca="1">+GETPIVOTDATA("XCB4",'cubi (2016)'!$A$3,"MA_HT","LMU","MA_QH","RSX")</f>
        <v>0</v>
      </c>
      <c r="M17" s="22">
        <f ca="1">+GETPIVOTDATA("XCB4",'cubi (2016)'!$A$3,"MA_HT","LMU","MA_QH","RPH")</f>
        <v>0</v>
      </c>
      <c r="N17" s="22">
        <f ca="1">+GETPIVOTDATA("XCB4",'cubi (2016)'!$A$3,"MA_HT","LMU","MA_QH","RDD")</f>
        <v>0</v>
      </c>
      <c r="O17" s="22">
        <f ca="1">+GETPIVOTDATA("XCB4",'cubi (2016)'!$A$3,"MA_HT","LMU","MA_QH","NTS")</f>
        <v>0</v>
      </c>
      <c r="P17" s="43" t="e">
        <f ca="1">$D17-$BF17</f>
        <v>#REF!</v>
      </c>
      <c r="Q17" s="22">
        <f ca="1">+GETPIVOTDATA("XCB4",'cubi (2016)'!$A$3,"MA_HT","LMU","MA_QH","NKH")</f>
        <v>0</v>
      </c>
      <c r="R17" s="42">
        <f ca="1" t="shared" si="2"/>
        <v>0</v>
      </c>
      <c r="S17" s="22">
        <f ca="1">+GETPIVOTDATA("XCB4",'cubi (2016)'!$A$3,"MA_HT","LMU","MA_QH","CQP")</f>
        <v>0</v>
      </c>
      <c r="T17" s="22">
        <f ca="1">+GETPIVOTDATA("XCB4",'cubi (2016)'!$A$3,"MA_HT","LMU","MA_QH","CAN")</f>
        <v>0</v>
      </c>
      <c r="U17" s="22">
        <f ca="1">+GETPIVOTDATA("XCB4",'cubi (2016)'!$A$3,"MA_HT","LMU","MA_QH","SKK")</f>
        <v>0</v>
      </c>
      <c r="V17" s="22">
        <f ca="1">+GETPIVOTDATA("XCB4",'cubi (2016)'!$A$3,"MA_HT","LMU","MA_QH","SKT")</f>
        <v>0</v>
      </c>
      <c r="W17" s="22">
        <f ca="1">+GETPIVOTDATA("XCB4",'cubi (2016)'!$A$3,"MA_HT","LMU","MA_QH","SKN")</f>
        <v>0</v>
      </c>
      <c r="X17" s="22">
        <f ca="1">+GETPIVOTDATA("XCB4",'cubi (2016)'!$A$3,"MA_HT","LMU","MA_QH","TMD")</f>
        <v>0</v>
      </c>
      <c r="Y17" s="22">
        <f ca="1">+GETPIVOTDATA("XCB4",'cubi (2016)'!$A$3,"MA_HT","LMU","MA_QH","SKC")</f>
        <v>0</v>
      </c>
      <c r="Z17" s="22">
        <f ca="1">+GETPIVOTDATA("XCB4",'cubi (2016)'!$A$3,"MA_HT","LMU","MA_QH","SKS")</f>
        <v>0</v>
      </c>
      <c r="AA17" s="52">
        <f ca="1" t="shared" si="4"/>
        <v>0</v>
      </c>
      <c r="AB17" s="22">
        <f ca="1">+GETPIVOTDATA("XCB4",'cubi (2016)'!$A$3,"MA_HT","LMU","MA_QH","DGT")</f>
        <v>0</v>
      </c>
      <c r="AC17" s="22">
        <f ca="1">+GETPIVOTDATA("XCB4",'cubi (2016)'!$A$3,"MA_HT","LMU","MA_QH","DTL")</f>
        <v>0</v>
      </c>
      <c r="AD17" s="22">
        <f ca="1">+GETPIVOTDATA("XCB4",'cubi (2016)'!$A$3,"MA_HT","LMU","MA_QH","DNL")</f>
        <v>0</v>
      </c>
      <c r="AE17" s="22">
        <f ca="1">+GETPIVOTDATA("XCB4",'cubi (2016)'!$A$3,"MA_HT","LMU","MA_QH","DBV")</f>
        <v>0</v>
      </c>
      <c r="AF17" s="22">
        <f ca="1">+GETPIVOTDATA("XCB4",'cubi (2016)'!$A$3,"MA_HT","LMU","MA_QH","DVH")</f>
        <v>0</v>
      </c>
      <c r="AG17" s="22">
        <f ca="1">+GETPIVOTDATA("XCB4",'cubi (2016)'!$A$3,"MA_HT","LMU","MA_QH","DYT")</f>
        <v>0</v>
      </c>
      <c r="AH17" s="22">
        <f ca="1">+GETPIVOTDATA("XCB4",'cubi (2016)'!$A$3,"MA_HT","LMU","MA_QH","DGD")</f>
        <v>0</v>
      </c>
      <c r="AI17" s="22">
        <f ca="1">+GETPIVOTDATA("XCB4",'cubi (2016)'!$A$3,"MA_HT","LMU","MA_QH","DTT")</f>
        <v>0</v>
      </c>
      <c r="AJ17" s="22">
        <f ca="1">+GETPIVOTDATA("XCB4",'cubi (2016)'!$A$3,"MA_HT","LMU","MA_QH","NCK")</f>
        <v>0</v>
      </c>
      <c r="AK17" s="22">
        <f ca="1">+GETPIVOTDATA("XCB4",'cubi (2016)'!$A$3,"MA_HT","LMU","MA_QH","DXH")</f>
        <v>0</v>
      </c>
      <c r="AL17" s="22">
        <f ca="1">+GETPIVOTDATA("XCB4",'cubi (2016)'!$A$3,"MA_HT","LMU","MA_QH","DCH")</f>
        <v>0</v>
      </c>
      <c r="AM17" s="22">
        <f ca="1">+GETPIVOTDATA("XCB4",'cubi (2016)'!$A$3,"MA_HT","LMU","MA_QH","DKG")</f>
        <v>0</v>
      </c>
      <c r="AN17" s="22">
        <f ca="1">+GETPIVOTDATA("XCB4",'cubi (2016)'!$A$3,"MA_HT","LMU","MA_QH","DDT")</f>
        <v>0</v>
      </c>
      <c r="AO17" s="22">
        <f ca="1">+GETPIVOTDATA("XCB4",'cubi (2016)'!$A$3,"MA_HT","LMU","MA_QH","DDL")</f>
        <v>0</v>
      </c>
      <c r="AP17" s="22">
        <f ca="1">+GETPIVOTDATA("XCB4",'cubi (2016)'!$A$3,"MA_HT","LMU","MA_QH","DRA")</f>
        <v>0</v>
      </c>
      <c r="AQ17" s="22">
        <f ca="1">+GETPIVOTDATA("XCB4",'cubi (2016)'!$A$3,"MA_HT","LMU","MA_QH","ONT")</f>
        <v>0</v>
      </c>
      <c r="AR17" s="22">
        <f ca="1">+GETPIVOTDATA("XCB4",'cubi (2016)'!$A$3,"MA_HT","LMU","MA_QH","ODT")</f>
        <v>0</v>
      </c>
      <c r="AS17" s="22">
        <f ca="1">+GETPIVOTDATA("XCB4",'cubi (2016)'!$A$3,"MA_HT","LMU","MA_QH","TSC")</f>
        <v>0</v>
      </c>
      <c r="AT17" s="22">
        <f ca="1">+GETPIVOTDATA("XCB4",'cubi (2016)'!$A$3,"MA_HT","LMU","MA_QH","DTS")</f>
        <v>0</v>
      </c>
      <c r="AU17" s="22">
        <f ca="1">+GETPIVOTDATA("XCB4",'cubi (2016)'!$A$3,"MA_HT","LMU","MA_QH","DNG")</f>
        <v>0</v>
      </c>
      <c r="AV17" s="22">
        <f ca="1">+GETPIVOTDATA("XCB4",'cubi (2016)'!$A$3,"MA_HT","LMU","MA_QH","TON")</f>
        <v>0</v>
      </c>
      <c r="AW17" s="22">
        <f ca="1">+GETPIVOTDATA("XCB4",'cubi (2016)'!$A$3,"MA_HT","LMU","MA_QH","NTD")</f>
        <v>0</v>
      </c>
      <c r="AX17" s="22">
        <f ca="1">+GETPIVOTDATA("XCB4",'cubi (2016)'!$A$3,"MA_HT","LMU","MA_QH","SKX")</f>
        <v>0</v>
      </c>
      <c r="AY17" s="22">
        <f ca="1">+GETPIVOTDATA("XCB4",'cubi (2016)'!$A$3,"MA_HT","LMU","MA_QH","DSH")</f>
        <v>0</v>
      </c>
      <c r="AZ17" s="22">
        <f ca="1">+GETPIVOTDATA("XCB4",'cubi (2016)'!$A$3,"MA_HT","LMU","MA_QH","DKV")</f>
        <v>0</v>
      </c>
      <c r="BA17" s="89">
        <f ca="1">+GETPIVOTDATA("XCB4",'cubi (2016)'!$A$3,"MA_HT","LMU","MA_QH","TIN")</f>
        <v>0</v>
      </c>
      <c r="BB17" s="50">
        <f ca="1">+GETPIVOTDATA("XCB4",'cubi (2016)'!$A$3,"MA_HT","LMU","MA_QH","SON")</f>
        <v>0</v>
      </c>
      <c r="BC17" s="50">
        <f ca="1">+GETPIVOTDATA("XCB4",'cubi (2016)'!$A$3,"MA_HT","LMU","MA_QH","MNC")</f>
        <v>0</v>
      </c>
      <c r="BD17" s="22">
        <f ca="1">+GETPIVOTDATA("XCB4",'cubi (2016)'!$A$3,"MA_HT","LMU","MA_QH","PNK")</f>
        <v>0</v>
      </c>
      <c r="BE17" s="71">
        <f ca="1">+GETPIVOTDATA("XCB4",'cubi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+GETPIVOTDATA("XCB4",'cubi (2016)'!$A$3,"MA_HT","NKH","MA_QH","LUC")</f>
        <v>0</v>
      </c>
      <c r="H18" s="22">
        <f ca="1">+GETPIVOTDATA("XCB4",'cubi (2016)'!$A$3,"MA_HT","NKH","MA_QH","LUK")</f>
        <v>0</v>
      </c>
      <c r="I18" s="22">
        <f ca="1">+GETPIVOTDATA("XCB4",'cubi (2016)'!$A$3,"MA_HT","NKH","MA_QH","LUN")</f>
        <v>0</v>
      </c>
      <c r="J18" s="22">
        <f ca="1">+GETPIVOTDATA("XCB4",'cubi (2016)'!$A$3,"MA_HT","NKH","MA_QH","HNK")</f>
        <v>0</v>
      </c>
      <c r="K18" s="22">
        <f ca="1">+GETPIVOTDATA("XCB4",'cubi (2016)'!$A$3,"MA_HT","NKH","MA_QH","CLN")</f>
        <v>0</v>
      </c>
      <c r="L18" s="22">
        <f ca="1">+GETPIVOTDATA("XCB4",'cubi (2016)'!$A$3,"MA_HT","NKH","MA_QH","RSX")</f>
        <v>0</v>
      </c>
      <c r="M18" s="22">
        <f ca="1">+GETPIVOTDATA("XCB4",'cubi (2016)'!$A$3,"MA_HT","NKH","MA_QH","RPH")</f>
        <v>0</v>
      </c>
      <c r="N18" s="22">
        <f ca="1">+GETPIVOTDATA("XCB4",'cubi (2016)'!$A$3,"MA_HT","NKH","MA_QH","RDD")</f>
        <v>0</v>
      </c>
      <c r="O18" s="22">
        <f ca="1">+GETPIVOTDATA("XCB4",'cubi (2016)'!$A$3,"MA_HT","NKH","MA_QH","NTS")</f>
        <v>0</v>
      </c>
      <c r="P18" s="22">
        <f ca="1">+GETPIVOTDATA("XCB4",'cubi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+GETPIVOTDATA("XCB4",'cubi (2016)'!$A$3,"MA_HT","NKH","MA_QH","CQP")</f>
        <v>0</v>
      </c>
      <c r="T18" s="22">
        <f ca="1">+GETPIVOTDATA("XCB4",'cubi (2016)'!$A$3,"MA_HT","NKH","MA_QH","CAN")</f>
        <v>0</v>
      </c>
      <c r="U18" s="22">
        <f ca="1">+GETPIVOTDATA("XCB4",'cubi (2016)'!$A$3,"MA_HT","NKH","MA_QH","SKK")</f>
        <v>0</v>
      </c>
      <c r="V18" s="22">
        <f ca="1">+GETPIVOTDATA("XCB4",'cubi (2016)'!$A$3,"MA_HT","NKH","MA_QH","SKT")</f>
        <v>0</v>
      </c>
      <c r="W18" s="22">
        <f ca="1">+GETPIVOTDATA("XCB4",'cubi (2016)'!$A$3,"MA_HT","NKH","MA_QH","SKN")</f>
        <v>0</v>
      </c>
      <c r="X18" s="22">
        <f ca="1">+GETPIVOTDATA("XCB4",'cubi (2016)'!$A$3,"MA_HT","NKH","MA_QH","TMD")</f>
        <v>0</v>
      </c>
      <c r="Y18" s="22">
        <f ca="1">+GETPIVOTDATA("XCB4",'cubi (2016)'!$A$3,"MA_HT","NKH","MA_QH","SKC")</f>
        <v>0</v>
      </c>
      <c r="Z18" s="22">
        <f ca="1">+GETPIVOTDATA("XCB4",'cubi (2016)'!$A$3,"MA_HT","NKH","MA_QH","SKS")</f>
        <v>0</v>
      </c>
      <c r="AA18" s="52">
        <f ca="1" t="shared" si="4"/>
        <v>0</v>
      </c>
      <c r="AB18" s="22">
        <f ca="1">+GETPIVOTDATA("XCB4",'cubi (2016)'!$A$3,"MA_HT","NKH","MA_QH","DGT")</f>
        <v>0</v>
      </c>
      <c r="AC18" s="22">
        <f ca="1">+GETPIVOTDATA("XCB4",'cubi (2016)'!$A$3,"MA_HT","NKH","MA_QH","DTL")</f>
        <v>0</v>
      </c>
      <c r="AD18" s="22">
        <f ca="1">+GETPIVOTDATA("XCB4",'cubi (2016)'!$A$3,"MA_HT","NKH","MA_QH","DNL")</f>
        <v>0</v>
      </c>
      <c r="AE18" s="22">
        <f ca="1">+GETPIVOTDATA("XCB4",'cubi (2016)'!$A$3,"MA_HT","NKH","MA_QH","DBV")</f>
        <v>0</v>
      </c>
      <c r="AF18" s="22">
        <f ca="1">+GETPIVOTDATA("XCB4",'cubi (2016)'!$A$3,"MA_HT","NKH","MA_QH","DVH")</f>
        <v>0</v>
      </c>
      <c r="AG18" s="22">
        <f ca="1">+GETPIVOTDATA("XCB4",'cubi (2016)'!$A$3,"MA_HT","NKH","MA_QH","DYT")</f>
        <v>0</v>
      </c>
      <c r="AH18" s="22">
        <f ca="1">+GETPIVOTDATA("XCB4",'cubi (2016)'!$A$3,"MA_HT","NKH","MA_QH","DGD")</f>
        <v>0</v>
      </c>
      <c r="AI18" s="22">
        <f ca="1">+GETPIVOTDATA("XCB4",'cubi (2016)'!$A$3,"MA_HT","NKH","MA_QH","DTT")</f>
        <v>0</v>
      </c>
      <c r="AJ18" s="22">
        <f ca="1">+GETPIVOTDATA("XCB4",'cubi (2016)'!$A$3,"MA_HT","NKH","MA_QH","NCK")</f>
        <v>0</v>
      </c>
      <c r="AK18" s="22">
        <f ca="1">+GETPIVOTDATA("XCB4",'cubi (2016)'!$A$3,"MA_HT","NKH","MA_QH","DXH")</f>
        <v>0</v>
      </c>
      <c r="AL18" s="22">
        <f ca="1">+GETPIVOTDATA("XCB4",'cubi (2016)'!$A$3,"MA_HT","NKH","MA_QH","DCH")</f>
        <v>0</v>
      </c>
      <c r="AM18" s="22">
        <f ca="1">+GETPIVOTDATA("XCB4",'cubi (2016)'!$A$3,"MA_HT","NKH","MA_QH","DKG")</f>
        <v>0</v>
      </c>
      <c r="AN18" s="22">
        <f ca="1">+GETPIVOTDATA("XCB4",'cubi (2016)'!$A$3,"MA_HT","NKH","MA_QH","DDT")</f>
        <v>0</v>
      </c>
      <c r="AO18" s="22">
        <f ca="1">+GETPIVOTDATA("XCB4",'cubi (2016)'!$A$3,"MA_HT","NKH","MA_QH","DDL")</f>
        <v>0</v>
      </c>
      <c r="AP18" s="22">
        <f ca="1">+GETPIVOTDATA("XCB4",'cubi (2016)'!$A$3,"MA_HT","NKH","MA_QH","DRA")</f>
        <v>0</v>
      </c>
      <c r="AQ18" s="22">
        <f ca="1">+GETPIVOTDATA("XCB4",'cubi (2016)'!$A$3,"MA_HT","NKH","MA_QH","ONT")</f>
        <v>0</v>
      </c>
      <c r="AR18" s="22">
        <f ca="1">+GETPIVOTDATA("XCB4",'cubi (2016)'!$A$3,"MA_HT","NKH","MA_QH","ODT")</f>
        <v>0</v>
      </c>
      <c r="AS18" s="22">
        <f ca="1">+GETPIVOTDATA("XCB4",'cubi (2016)'!$A$3,"MA_HT","NKH","MA_QH","TSC")</f>
        <v>0</v>
      </c>
      <c r="AT18" s="22">
        <f ca="1">+GETPIVOTDATA("XCB4",'cubi (2016)'!$A$3,"MA_HT","NKH","MA_QH","DTS")</f>
        <v>0</v>
      </c>
      <c r="AU18" s="22">
        <f ca="1">+GETPIVOTDATA("XCB4",'cubi (2016)'!$A$3,"MA_HT","NKH","MA_QH","DNG")</f>
        <v>0</v>
      </c>
      <c r="AV18" s="22">
        <f ca="1">+GETPIVOTDATA("XCB4",'cubi (2016)'!$A$3,"MA_HT","NKH","MA_QH","TON")</f>
        <v>0</v>
      </c>
      <c r="AW18" s="22">
        <f ca="1">+GETPIVOTDATA("XCB4",'cubi (2016)'!$A$3,"MA_HT","NKH","MA_QH","NTD")</f>
        <v>0</v>
      </c>
      <c r="AX18" s="22">
        <f ca="1">+GETPIVOTDATA("XCB4",'cubi (2016)'!$A$3,"MA_HT","NKH","MA_QH","SKX")</f>
        <v>0</v>
      </c>
      <c r="AY18" s="22">
        <f ca="1">+GETPIVOTDATA("XCB4",'cubi (2016)'!$A$3,"MA_HT","NKH","MA_QH","DSH")</f>
        <v>0</v>
      </c>
      <c r="AZ18" s="22">
        <f ca="1">+GETPIVOTDATA("XCB4",'cubi (2016)'!$A$3,"MA_HT","NKH","MA_QH","DKV")</f>
        <v>0</v>
      </c>
      <c r="BA18" s="89">
        <f ca="1">+GETPIVOTDATA("XCB4",'cubi (2016)'!$A$3,"MA_HT","NKH","MA_QH","TIN")</f>
        <v>0</v>
      </c>
      <c r="BB18" s="50">
        <f ca="1">+GETPIVOTDATA("XCB4",'cubi (2016)'!$A$3,"MA_HT","NKH","MA_QH","SON")</f>
        <v>0</v>
      </c>
      <c r="BC18" s="50">
        <f ca="1">+GETPIVOTDATA("XCB4",'cubi (2016)'!$A$3,"MA_HT","NKH","MA_QH","MNC")</f>
        <v>0</v>
      </c>
      <c r="BD18" s="22">
        <f ca="1">+GETPIVOTDATA("XCB4",'cubi (2016)'!$A$3,"MA_HT","NKH","MA_QH","PNK")</f>
        <v>0</v>
      </c>
      <c r="BE18" s="71">
        <f ca="1">+GETPIVOTDATA("XCB4",'cubi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+GETPIVOTDATA("XCB4",'cubi (2016)'!$A$3,"MA_HT","CQP","MA_QH","LUC")</f>
        <v>0</v>
      </c>
      <c r="H20" s="22">
        <f ca="1">+GETPIVOTDATA("XCB4",'cubi (2016)'!$A$3,"MA_HT","CQP","MA_QH","LUK")</f>
        <v>0</v>
      </c>
      <c r="I20" s="22">
        <f ca="1">+GETPIVOTDATA("XCB4",'cubi (2016)'!$A$3,"MA_HT","CQP","MA_QH","LUN")</f>
        <v>0</v>
      </c>
      <c r="J20" s="22">
        <f ca="1">+GETPIVOTDATA("XCB4",'cubi (2016)'!$A$3,"MA_HT","CQP","MA_QH","HNK")</f>
        <v>0</v>
      </c>
      <c r="K20" s="22">
        <f ca="1">+GETPIVOTDATA("XCB4",'cubi (2016)'!$A$3,"MA_HT","CQP","MA_QH","CLN")</f>
        <v>0</v>
      </c>
      <c r="L20" s="22">
        <f ca="1">+GETPIVOTDATA("XCB4",'cubi (2016)'!$A$3,"MA_HT","CQP","MA_QH","RSX")</f>
        <v>0</v>
      </c>
      <c r="M20" s="22">
        <f ca="1">+GETPIVOTDATA("XCB4",'cubi (2016)'!$A$3,"MA_HT","CQP","MA_QH","RPH")</f>
        <v>0</v>
      </c>
      <c r="N20" s="22">
        <f ca="1">+GETPIVOTDATA("XCB4",'cubi (2016)'!$A$3,"MA_HT","CQP","MA_QH","RDD")</f>
        <v>0</v>
      </c>
      <c r="O20" s="22">
        <f ca="1">+GETPIVOTDATA("XCB4",'cubi (2016)'!$A$3,"MA_HT","CQP","MA_QH","NTS")</f>
        <v>0</v>
      </c>
      <c r="P20" s="22">
        <f ca="1">+GETPIVOTDATA("XCB4",'cubi (2016)'!$A$3,"MA_HT","CQP","MA_QH","LMU")</f>
        <v>0</v>
      </c>
      <c r="Q20" s="22">
        <f ca="1">+GETPIVOTDATA("XCB4",'cubi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+GETPIVOTDATA("XCB4",'cubi (2016)'!$A$3,"MA_HT","CQP","MA_QH","CAN")</f>
        <v>0</v>
      </c>
      <c r="U20" s="22">
        <f ca="1">+GETPIVOTDATA("XCB4",'cubi (2016)'!$A$3,"MA_HT","CQP","MA_QH","SKK")</f>
        <v>0</v>
      </c>
      <c r="V20" s="22">
        <f ca="1">+GETPIVOTDATA("XCB4",'cubi (2016)'!$A$3,"MA_HT","CQP","MA_QH","SKT")</f>
        <v>0</v>
      </c>
      <c r="W20" s="22">
        <f ca="1">+GETPIVOTDATA("XCB4",'cubi (2016)'!$A$3,"MA_HT","CQP","MA_QH","SKN")</f>
        <v>0</v>
      </c>
      <c r="X20" s="22">
        <f ca="1">+GETPIVOTDATA("XCB4",'cubi (2016)'!$A$3,"MA_HT","CQP","MA_QH","TMD")</f>
        <v>0</v>
      </c>
      <c r="Y20" s="22">
        <f ca="1">+GETPIVOTDATA("XCB4",'cubi (2016)'!$A$3,"MA_HT","CQP","MA_QH","SKC")</f>
        <v>0</v>
      </c>
      <c r="Z20" s="22">
        <f ca="1">+GETPIVOTDATA("XCB4",'cubi (2016)'!$A$3,"MA_HT","CQP","MA_QH","SKS")</f>
        <v>0</v>
      </c>
      <c r="AA20" s="52">
        <f ca="1" t="shared" ref="AA20:AA27" si="12">+SUM(AB20:AM20)</f>
        <v>0</v>
      </c>
      <c r="AB20" s="22">
        <f ca="1">+GETPIVOTDATA("XCB4",'cubi (2016)'!$A$3,"MA_HT","CQP","MA_QH","DGT")</f>
        <v>0</v>
      </c>
      <c r="AC20" s="22">
        <f ca="1">+GETPIVOTDATA("XCB4",'cubi (2016)'!$A$3,"MA_HT","CQP","MA_QH","DTL")</f>
        <v>0</v>
      </c>
      <c r="AD20" s="22">
        <f ca="1">+GETPIVOTDATA("XCB4",'cubi (2016)'!$A$3,"MA_HT","CQP","MA_QH","DNL")</f>
        <v>0</v>
      </c>
      <c r="AE20" s="22">
        <f ca="1">+GETPIVOTDATA("XCB4",'cubi (2016)'!$A$3,"MA_HT","CQP","MA_QH","DBV")</f>
        <v>0</v>
      </c>
      <c r="AF20" s="22">
        <f ca="1">+GETPIVOTDATA("XCB4",'cubi (2016)'!$A$3,"MA_HT","CQP","MA_QH","DVH")</f>
        <v>0</v>
      </c>
      <c r="AG20" s="22">
        <f ca="1">+GETPIVOTDATA("XCB4",'cubi (2016)'!$A$3,"MA_HT","CQP","MA_QH","DYT")</f>
        <v>0</v>
      </c>
      <c r="AH20" s="22">
        <f ca="1">+GETPIVOTDATA("XCB4",'cubi (2016)'!$A$3,"MA_HT","CQP","MA_QH","DGD")</f>
        <v>0</v>
      </c>
      <c r="AI20" s="22">
        <f ca="1">+GETPIVOTDATA("XCB4",'cubi (2016)'!$A$3,"MA_HT","CQP","MA_QH","DTT")</f>
        <v>0</v>
      </c>
      <c r="AJ20" s="22">
        <f ca="1">+GETPIVOTDATA("XCB4",'cubi (2016)'!$A$3,"MA_HT","CQP","MA_QH","NCK")</f>
        <v>0</v>
      </c>
      <c r="AK20" s="22">
        <f ca="1">+GETPIVOTDATA("XCB4",'cubi (2016)'!$A$3,"MA_HT","CQP","MA_QH","DXH")</f>
        <v>0</v>
      </c>
      <c r="AL20" s="22">
        <f ca="1">+GETPIVOTDATA("XCB4",'cubi (2016)'!$A$3,"MA_HT","CQP","MA_QH","DCH")</f>
        <v>0</v>
      </c>
      <c r="AM20" s="22">
        <f ca="1">+GETPIVOTDATA("XCB4",'cubi (2016)'!$A$3,"MA_HT","CQP","MA_QH","DKG")</f>
        <v>0</v>
      </c>
      <c r="AN20" s="22">
        <f ca="1">+GETPIVOTDATA("XCB4",'cubi (2016)'!$A$3,"MA_HT","CQP","MA_QH","DDT")</f>
        <v>0</v>
      </c>
      <c r="AO20" s="22">
        <f ca="1">+GETPIVOTDATA("XCB4",'cubi (2016)'!$A$3,"MA_HT","CQP","MA_QH","DDL")</f>
        <v>0</v>
      </c>
      <c r="AP20" s="22">
        <f ca="1">+GETPIVOTDATA("XCB4",'cubi (2016)'!$A$3,"MA_HT","CQP","MA_QH","DRA")</f>
        <v>0</v>
      </c>
      <c r="AQ20" s="22">
        <f ca="1">+GETPIVOTDATA("XCB4",'cubi (2016)'!$A$3,"MA_HT","CQP","MA_QH","ONT")</f>
        <v>0</v>
      </c>
      <c r="AR20" s="22">
        <f ca="1">+GETPIVOTDATA("XCB4",'cubi (2016)'!$A$3,"MA_HT","CQP","MA_QH","ODT")</f>
        <v>0</v>
      </c>
      <c r="AS20" s="22">
        <f ca="1">+GETPIVOTDATA("XCB4",'cubi (2016)'!$A$3,"MA_HT","CQP","MA_QH","TSC")</f>
        <v>0</v>
      </c>
      <c r="AT20" s="22">
        <f ca="1">+GETPIVOTDATA("XCB4",'cubi (2016)'!$A$3,"MA_HT","CQP","MA_QH","DTS")</f>
        <v>0</v>
      </c>
      <c r="AU20" s="22">
        <f ca="1">+GETPIVOTDATA("XCB4",'cubi (2016)'!$A$3,"MA_HT","CQP","MA_QH","DNG")</f>
        <v>0</v>
      </c>
      <c r="AV20" s="22">
        <f ca="1">+GETPIVOTDATA("XCB4",'cubi (2016)'!$A$3,"MA_HT","CQP","MA_QH","TON")</f>
        <v>0</v>
      </c>
      <c r="AW20" s="22">
        <f ca="1">+GETPIVOTDATA("XCB4",'cubi (2016)'!$A$3,"MA_HT","CQP","MA_QH","NTD")</f>
        <v>0</v>
      </c>
      <c r="AX20" s="22">
        <f ca="1">+GETPIVOTDATA("XCB4",'cubi (2016)'!$A$3,"MA_HT","CQP","MA_QH","SKX")</f>
        <v>0</v>
      </c>
      <c r="AY20" s="22">
        <f ca="1">+GETPIVOTDATA("XCB4",'cubi (2016)'!$A$3,"MA_HT","CQP","MA_QH","DSH")</f>
        <v>0</v>
      </c>
      <c r="AZ20" s="22">
        <f ca="1">+GETPIVOTDATA("XCB4",'cubi (2016)'!$A$3,"MA_HT","CQP","MA_QH","DKV")</f>
        <v>0</v>
      </c>
      <c r="BA20" s="89">
        <f ca="1">+GETPIVOTDATA("XCB4",'cubi (2016)'!$A$3,"MA_HT","CQP","MA_QH","TIN")</f>
        <v>0</v>
      </c>
      <c r="BB20" s="50">
        <f ca="1">+GETPIVOTDATA("XCB4",'cubi (2016)'!$A$3,"MA_HT","CQP","MA_QH","SON")</f>
        <v>0</v>
      </c>
      <c r="BC20" s="50">
        <f ca="1">+GETPIVOTDATA("XCB4",'cubi (2016)'!$A$3,"MA_HT","CQP","MA_QH","MNC")</f>
        <v>0</v>
      </c>
      <c r="BD20" s="22">
        <f ca="1">+GETPIVOTDATA("XCB4",'cubi (2016)'!$A$3,"MA_HT","CQP","MA_QH","PNK")</f>
        <v>0</v>
      </c>
      <c r="BE20" s="71">
        <f ca="1">+GETPIVOTDATA("XCB4",'cubi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+GETPIVOTDATA("XCB4",'cubi (2016)'!$A$3,"MA_HT","CAN","MA_QH","LUC")</f>
        <v>0</v>
      </c>
      <c r="H21" s="22">
        <f ca="1">+GETPIVOTDATA("XCB4",'cubi (2016)'!$A$3,"MA_HT","CAN","MA_QH","LUK")</f>
        <v>0</v>
      </c>
      <c r="I21" s="22">
        <f ca="1">+GETPIVOTDATA("XCB4",'cubi (2016)'!$A$3,"MA_HT","CAN","MA_QH","LUN")</f>
        <v>0</v>
      </c>
      <c r="J21" s="22">
        <f ca="1">+GETPIVOTDATA("XCB4",'cubi (2016)'!$A$3,"MA_HT","CAN","MA_QH","HNK")</f>
        <v>0</v>
      </c>
      <c r="K21" s="22">
        <f ca="1">+GETPIVOTDATA("XCB4",'cubi (2016)'!$A$3,"MA_HT","CAN","MA_QH","CLN")</f>
        <v>0</v>
      </c>
      <c r="L21" s="22">
        <f ca="1">+GETPIVOTDATA("XCB4",'cubi (2016)'!$A$3,"MA_HT","CAN","MA_QH","RSX")</f>
        <v>0</v>
      </c>
      <c r="M21" s="22">
        <f ca="1">+GETPIVOTDATA("XCB4",'cubi (2016)'!$A$3,"MA_HT","CAN","MA_QH","RPH")</f>
        <v>0</v>
      </c>
      <c r="N21" s="22">
        <f ca="1">+GETPIVOTDATA("XCB4",'cubi (2016)'!$A$3,"MA_HT","CAN","MA_QH","RDD")</f>
        <v>0</v>
      </c>
      <c r="O21" s="22">
        <f ca="1">+GETPIVOTDATA("XCB4",'cubi (2016)'!$A$3,"MA_HT","CAN","MA_QH","NTS")</f>
        <v>0</v>
      </c>
      <c r="P21" s="22">
        <f ca="1">+GETPIVOTDATA("XCB4",'cubi (2016)'!$A$3,"MA_HT","CAN","MA_QH","LMU")</f>
        <v>0</v>
      </c>
      <c r="Q21" s="22">
        <f ca="1">+GETPIVOTDATA("XCB4",'cubi (2016)'!$A$3,"MA_HT","CAN","MA_QH","NKH")</f>
        <v>0</v>
      </c>
      <c r="R21" s="42">
        <f ca="1">SUM(S21,U21:AA21,AN21:BD21)</f>
        <v>0</v>
      </c>
      <c r="S21" s="22">
        <f ca="1">+GETPIVOTDATA("XCB4",'cubi (2016)'!$A$3,"MA_HT","CAN","MA_QH","CQP")</f>
        <v>0</v>
      </c>
      <c r="T21" s="43" t="e">
        <f ca="1">$D21-$BF21</f>
        <v>#REF!</v>
      </c>
      <c r="U21" s="22">
        <f ca="1">+GETPIVOTDATA("XCB4",'cubi (2016)'!$A$3,"MA_HT","CAN","MA_QH","SKK")</f>
        <v>0</v>
      </c>
      <c r="V21" s="22">
        <f ca="1">+GETPIVOTDATA("XCB4",'cubi (2016)'!$A$3,"MA_HT","CAN","MA_QH","SKT")</f>
        <v>0</v>
      </c>
      <c r="W21" s="22">
        <f ca="1">+GETPIVOTDATA("XCB4",'cubi (2016)'!$A$3,"MA_HT","CAN","MA_QH","SKN")</f>
        <v>0</v>
      </c>
      <c r="X21" s="22">
        <f ca="1">+GETPIVOTDATA("XCB4",'cubi (2016)'!$A$3,"MA_HT","CAN","MA_QH","TMD")</f>
        <v>0</v>
      </c>
      <c r="Y21" s="22">
        <f ca="1">+GETPIVOTDATA("XCB4",'cubi (2016)'!$A$3,"MA_HT","CAN","MA_QH","SKC")</f>
        <v>0</v>
      </c>
      <c r="Z21" s="22">
        <f ca="1">+GETPIVOTDATA("XCB4",'cubi (2016)'!$A$3,"MA_HT","CAN","MA_QH","SKS")</f>
        <v>0</v>
      </c>
      <c r="AA21" s="52">
        <f ca="1" t="shared" si="12"/>
        <v>0</v>
      </c>
      <c r="AB21" s="22">
        <f ca="1">+GETPIVOTDATA("XCB4",'cubi (2016)'!$A$3,"MA_HT","CAN","MA_QH","DGT")</f>
        <v>0</v>
      </c>
      <c r="AC21" s="22">
        <f ca="1">+GETPIVOTDATA("XCB4",'cubi (2016)'!$A$3,"MA_HT","CAN","MA_QH","DTL")</f>
        <v>0</v>
      </c>
      <c r="AD21" s="22">
        <f ca="1">+GETPIVOTDATA("XCB4",'cubi (2016)'!$A$3,"MA_HT","CAN","MA_QH","DNL")</f>
        <v>0</v>
      </c>
      <c r="AE21" s="22">
        <f ca="1">+GETPIVOTDATA("XCB4",'cubi (2016)'!$A$3,"MA_HT","CAN","MA_QH","DBV")</f>
        <v>0</v>
      </c>
      <c r="AF21" s="22">
        <f ca="1">+GETPIVOTDATA("XCB4",'cubi (2016)'!$A$3,"MA_HT","CAN","MA_QH","DVH")</f>
        <v>0</v>
      </c>
      <c r="AG21" s="22">
        <f ca="1">+GETPIVOTDATA("XCB4",'cubi (2016)'!$A$3,"MA_HT","CAN","MA_QH","DYT")</f>
        <v>0</v>
      </c>
      <c r="AH21" s="22">
        <f ca="1">+GETPIVOTDATA("XCB4",'cubi (2016)'!$A$3,"MA_HT","CAN","MA_QH","DGD")</f>
        <v>0</v>
      </c>
      <c r="AI21" s="22">
        <f ca="1">+GETPIVOTDATA("XCB4",'cubi (2016)'!$A$3,"MA_HT","CAN","MA_QH","DTT")</f>
        <v>0</v>
      </c>
      <c r="AJ21" s="22">
        <f ca="1">+GETPIVOTDATA("XCB4",'cubi (2016)'!$A$3,"MA_HT","CAN","MA_QH","NCK")</f>
        <v>0</v>
      </c>
      <c r="AK21" s="22">
        <f ca="1">+GETPIVOTDATA("XCB4",'cubi (2016)'!$A$3,"MA_HT","CAN","MA_QH","DXH")</f>
        <v>0</v>
      </c>
      <c r="AL21" s="22">
        <f ca="1">+GETPIVOTDATA("XCB4",'cubi (2016)'!$A$3,"MA_HT","CAN","MA_QH","DCH")</f>
        <v>0</v>
      </c>
      <c r="AM21" s="22">
        <f ca="1">+GETPIVOTDATA("XCB4",'cubi (2016)'!$A$3,"MA_HT","CAN","MA_QH","DKG")</f>
        <v>0</v>
      </c>
      <c r="AN21" s="22">
        <f ca="1">+GETPIVOTDATA("XCB4",'cubi (2016)'!$A$3,"MA_HT","CAN","MA_QH","DDT")</f>
        <v>0</v>
      </c>
      <c r="AO21" s="22">
        <f ca="1">+GETPIVOTDATA("XCB4",'cubi (2016)'!$A$3,"MA_HT","CAN","MA_QH","DDL")</f>
        <v>0</v>
      </c>
      <c r="AP21" s="22">
        <f ca="1">+GETPIVOTDATA("XCB4",'cubi (2016)'!$A$3,"MA_HT","CAN","MA_QH","DRA")</f>
        <v>0</v>
      </c>
      <c r="AQ21" s="22">
        <f ca="1">+GETPIVOTDATA("XCB4",'cubi (2016)'!$A$3,"MA_HT","CAN","MA_QH","ONT")</f>
        <v>0</v>
      </c>
      <c r="AR21" s="22">
        <f ca="1">+GETPIVOTDATA("XCB4",'cubi (2016)'!$A$3,"MA_HT","CAN","MA_QH","ODT")</f>
        <v>0</v>
      </c>
      <c r="AS21" s="22">
        <f ca="1">+GETPIVOTDATA("XCB4",'cubi (2016)'!$A$3,"MA_HT","CAN","MA_QH","TSC")</f>
        <v>0</v>
      </c>
      <c r="AT21" s="22">
        <f ca="1">+GETPIVOTDATA("XCB4",'cubi (2016)'!$A$3,"MA_HT","CAN","MA_QH","DTS")</f>
        <v>0</v>
      </c>
      <c r="AU21" s="22">
        <f ca="1">+GETPIVOTDATA("XCB4",'cubi (2016)'!$A$3,"MA_HT","CAN","MA_QH","DNG")</f>
        <v>0</v>
      </c>
      <c r="AV21" s="22">
        <f ca="1">+GETPIVOTDATA("XCB4",'cubi (2016)'!$A$3,"MA_HT","CAN","MA_QH","TON")</f>
        <v>0</v>
      </c>
      <c r="AW21" s="22">
        <f ca="1">+GETPIVOTDATA("XCB4",'cubi (2016)'!$A$3,"MA_HT","CAN","MA_QH","NTD")</f>
        <v>0</v>
      </c>
      <c r="AX21" s="22">
        <f ca="1">+GETPIVOTDATA("XCB4",'cubi (2016)'!$A$3,"MA_HT","CAN","MA_QH","SKX")</f>
        <v>0</v>
      </c>
      <c r="AY21" s="22">
        <f ca="1">+GETPIVOTDATA("XCB4",'cubi (2016)'!$A$3,"MA_HT","CAN","MA_QH","DSH")</f>
        <v>0</v>
      </c>
      <c r="AZ21" s="22">
        <f ca="1">+GETPIVOTDATA("XCB4",'cubi (2016)'!$A$3,"MA_HT","CAN","MA_QH","DKV")</f>
        <v>0</v>
      </c>
      <c r="BA21" s="89">
        <f ca="1">+GETPIVOTDATA("XCB4",'cubi (2016)'!$A$3,"MA_HT","CAN","MA_QH","TIN")</f>
        <v>0</v>
      </c>
      <c r="BB21" s="50">
        <f ca="1">+GETPIVOTDATA("XCB4",'cubi (2016)'!$A$3,"MA_HT","CAN","MA_QH","SON")</f>
        <v>0</v>
      </c>
      <c r="BC21" s="50">
        <f ca="1">+GETPIVOTDATA("XCB4",'cubi (2016)'!$A$3,"MA_HT","CAN","MA_QH","MNC")</f>
        <v>0</v>
      </c>
      <c r="BD21" s="22">
        <f ca="1">+GETPIVOTDATA("XCB4",'cubi (2016)'!$A$3,"MA_HT","CAN","MA_QH","PNK")</f>
        <v>0</v>
      </c>
      <c r="BE21" s="71">
        <f ca="1">+GETPIVOTDATA("XCB4",'cubi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+GETPIVOTDATA("XCB4",'cubi (2016)'!$A$3,"MA_HT","SKK","MA_QH","LUC")</f>
        <v>0</v>
      </c>
      <c r="H22" s="22">
        <f ca="1">+GETPIVOTDATA("XCB4",'cubi (2016)'!$A$3,"MA_HT","SKK","MA_QH","LUK")</f>
        <v>0</v>
      </c>
      <c r="I22" s="22">
        <f ca="1">+GETPIVOTDATA("XCB4",'cubi (2016)'!$A$3,"MA_HT","SKK","MA_QH","LUN")</f>
        <v>0</v>
      </c>
      <c r="J22" s="22">
        <f ca="1">+GETPIVOTDATA("XCB4",'cubi (2016)'!$A$3,"MA_HT","SKK","MA_QH","HNK")</f>
        <v>0</v>
      </c>
      <c r="K22" s="22">
        <f ca="1">+GETPIVOTDATA("XCB4",'cubi (2016)'!$A$3,"MA_HT","SKK","MA_QH","CLN")</f>
        <v>0</v>
      </c>
      <c r="L22" s="22">
        <f ca="1">+GETPIVOTDATA("XCB4",'cubi (2016)'!$A$3,"MA_HT","SKK","MA_QH","RSX")</f>
        <v>0</v>
      </c>
      <c r="M22" s="22">
        <f ca="1">+GETPIVOTDATA("XCB4",'cubi (2016)'!$A$3,"MA_HT","SKK","MA_QH","RPH")</f>
        <v>0</v>
      </c>
      <c r="N22" s="22">
        <f ca="1">+GETPIVOTDATA("XCB4",'cubi (2016)'!$A$3,"MA_HT","SKK","MA_QH","RDD")</f>
        <v>0</v>
      </c>
      <c r="O22" s="22">
        <f ca="1">+GETPIVOTDATA("XCB4",'cubi (2016)'!$A$3,"MA_HT","SKK","MA_QH","NTS")</f>
        <v>0</v>
      </c>
      <c r="P22" s="22">
        <f ca="1">+GETPIVOTDATA("XCB4",'cubi (2016)'!$A$3,"MA_HT","SKK","MA_QH","LMU")</f>
        <v>0</v>
      </c>
      <c r="Q22" s="22">
        <f ca="1">+GETPIVOTDATA("XCB4",'cubi (2016)'!$A$3,"MA_HT","SKK","MA_QH","NKH")</f>
        <v>0</v>
      </c>
      <c r="R22" s="42">
        <f ca="1">SUM(S22:T22,V22:AA22,AN22:BD22)</f>
        <v>0</v>
      </c>
      <c r="S22" s="22">
        <f ca="1">+GETPIVOTDATA("XCB4",'cubi (2016)'!$A$3,"MA_HT","SKK","MA_QH","CQP")</f>
        <v>0</v>
      </c>
      <c r="T22" s="22">
        <f ca="1">+GETPIVOTDATA("XCB4",'cubi (2016)'!$A$3,"MA_HT","SKK","MA_QH","CAN")</f>
        <v>0</v>
      </c>
      <c r="U22" s="43" t="e">
        <f ca="1">$D22-$BF22</f>
        <v>#REF!</v>
      </c>
      <c r="V22" s="22">
        <f ca="1">+GETPIVOTDATA("XCB4",'cubi (2016)'!$A$3,"MA_HT","SKK","MA_QH","SKT")</f>
        <v>0</v>
      </c>
      <c r="W22" s="22">
        <f ca="1">+GETPIVOTDATA("XCB4",'cubi (2016)'!$A$3,"MA_HT","SKK","MA_QH","SKN")</f>
        <v>0</v>
      </c>
      <c r="X22" s="22">
        <f ca="1">+GETPIVOTDATA("XCB4",'cubi (2016)'!$A$3,"MA_HT","SKK","MA_QH","TMD")</f>
        <v>0</v>
      </c>
      <c r="Y22" s="22">
        <f ca="1">+GETPIVOTDATA("XCB4",'cubi (2016)'!$A$3,"MA_HT","SKK","MA_QH","SKC")</f>
        <v>0</v>
      </c>
      <c r="Z22" s="22">
        <f ca="1">+GETPIVOTDATA("XCB4",'cubi (2016)'!$A$3,"MA_HT","SKK","MA_QH","SKS")</f>
        <v>0</v>
      </c>
      <c r="AA22" s="52">
        <f ca="1" t="shared" si="12"/>
        <v>0</v>
      </c>
      <c r="AB22" s="22">
        <f ca="1">+GETPIVOTDATA("XCB4",'cubi (2016)'!$A$3,"MA_HT","SKK","MA_QH","DGT")</f>
        <v>0</v>
      </c>
      <c r="AC22" s="22">
        <f ca="1">+GETPIVOTDATA("XCB4",'cubi (2016)'!$A$3,"MA_HT","SKK","MA_QH","DTL")</f>
        <v>0</v>
      </c>
      <c r="AD22" s="22">
        <f ca="1">+GETPIVOTDATA("XCB4",'cubi (2016)'!$A$3,"MA_HT","SKK","MA_QH","DNL")</f>
        <v>0</v>
      </c>
      <c r="AE22" s="22">
        <f ca="1">+GETPIVOTDATA("XCB4",'cubi (2016)'!$A$3,"MA_HT","SKK","MA_QH","DBV")</f>
        <v>0</v>
      </c>
      <c r="AF22" s="22">
        <f ca="1">+GETPIVOTDATA("XCB4",'cubi (2016)'!$A$3,"MA_HT","SKK","MA_QH","DVH")</f>
        <v>0</v>
      </c>
      <c r="AG22" s="22">
        <f ca="1">+GETPIVOTDATA("XCB4",'cubi (2016)'!$A$3,"MA_HT","SKK","MA_QH","DYT")</f>
        <v>0</v>
      </c>
      <c r="AH22" s="22">
        <f ca="1">+GETPIVOTDATA("XCB4",'cubi (2016)'!$A$3,"MA_HT","SKK","MA_QH","DGD")</f>
        <v>0</v>
      </c>
      <c r="AI22" s="22">
        <f ca="1">+GETPIVOTDATA("XCB4",'cubi (2016)'!$A$3,"MA_HT","SKK","MA_QH","DTT")</f>
        <v>0</v>
      </c>
      <c r="AJ22" s="22">
        <f ca="1">+GETPIVOTDATA("XCB4",'cubi (2016)'!$A$3,"MA_HT","SKK","MA_QH","NCK")</f>
        <v>0</v>
      </c>
      <c r="AK22" s="22">
        <f ca="1">+GETPIVOTDATA("XCB4",'cubi (2016)'!$A$3,"MA_HT","SKK","MA_QH","DXH")</f>
        <v>0</v>
      </c>
      <c r="AL22" s="22">
        <f ca="1">+GETPIVOTDATA("XCB4",'cubi (2016)'!$A$3,"MA_HT","SKK","MA_QH","DCH")</f>
        <v>0</v>
      </c>
      <c r="AM22" s="22">
        <f ca="1">+GETPIVOTDATA("XCB4",'cubi (2016)'!$A$3,"MA_HT","SKK","MA_QH","DKG")</f>
        <v>0</v>
      </c>
      <c r="AN22" s="22">
        <f ca="1">+GETPIVOTDATA("XCB4",'cubi (2016)'!$A$3,"MA_HT","SKK","MA_QH","DDT")</f>
        <v>0</v>
      </c>
      <c r="AO22" s="22">
        <f ca="1">+GETPIVOTDATA("XCB4",'cubi (2016)'!$A$3,"MA_HT","SKK","MA_QH","DDL")</f>
        <v>0</v>
      </c>
      <c r="AP22" s="22">
        <f ca="1">+GETPIVOTDATA("XCB4",'cubi (2016)'!$A$3,"MA_HT","SKK","MA_QH","DRA")</f>
        <v>0</v>
      </c>
      <c r="AQ22" s="22">
        <f ca="1">+GETPIVOTDATA("XCB4",'cubi (2016)'!$A$3,"MA_HT","SKK","MA_QH","ONT")</f>
        <v>0</v>
      </c>
      <c r="AR22" s="22">
        <f ca="1">+GETPIVOTDATA("XCB4",'cubi (2016)'!$A$3,"MA_HT","SKK","MA_QH","ODT")</f>
        <v>0</v>
      </c>
      <c r="AS22" s="22">
        <f ca="1">+GETPIVOTDATA("XCB4",'cubi (2016)'!$A$3,"MA_HT","SKK","MA_QH","TSC")</f>
        <v>0</v>
      </c>
      <c r="AT22" s="22">
        <f ca="1">+GETPIVOTDATA("XCB4",'cubi (2016)'!$A$3,"MA_HT","SKK","MA_QH","DTS")</f>
        <v>0</v>
      </c>
      <c r="AU22" s="22">
        <f ca="1">+GETPIVOTDATA("XCB4",'cubi (2016)'!$A$3,"MA_HT","SKK","MA_QH","DNG")</f>
        <v>0</v>
      </c>
      <c r="AV22" s="22">
        <f ca="1">+GETPIVOTDATA("XCB4",'cubi (2016)'!$A$3,"MA_HT","SKK","MA_QH","TON")</f>
        <v>0</v>
      </c>
      <c r="AW22" s="22">
        <f ca="1">+GETPIVOTDATA("XCB4",'cubi (2016)'!$A$3,"MA_HT","SKK","MA_QH","NTD")</f>
        <v>0</v>
      </c>
      <c r="AX22" s="22">
        <f ca="1">+GETPIVOTDATA("XCB4",'cubi (2016)'!$A$3,"MA_HT","SKK","MA_QH","SKX")</f>
        <v>0</v>
      </c>
      <c r="AY22" s="22">
        <f ca="1">+GETPIVOTDATA("XCB4",'cubi (2016)'!$A$3,"MA_HT","SKK","MA_QH","DSH")</f>
        <v>0</v>
      </c>
      <c r="AZ22" s="22">
        <f ca="1">+GETPIVOTDATA("XCB4",'cubi (2016)'!$A$3,"MA_HT","SKK","MA_QH","DKV")</f>
        <v>0</v>
      </c>
      <c r="BA22" s="89">
        <f ca="1">+GETPIVOTDATA("XCB4",'cubi (2016)'!$A$3,"MA_HT","SKK","MA_QH","TIN")</f>
        <v>0</v>
      </c>
      <c r="BB22" s="50">
        <f ca="1">+GETPIVOTDATA("XCB4",'cubi (2016)'!$A$3,"MA_HT","SKK","MA_QH","SON")</f>
        <v>0</v>
      </c>
      <c r="BC22" s="50">
        <f ca="1">+GETPIVOTDATA("XCB4",'cubi (2016)'!$A$3,"MA_HT","SKK","MA_QH","MNC")</f>
        <v>0</v>
      </c>
      <c r="BD22" s="22">
        <f ca="1">+GETPIVOTDATA("XCB4",'cubi (2016)'!$A$3,"MA_HT","SKK","MA_QH","PNK")</f>
        <v>0</v>
      </c>
      <c r="BE22" s="71">
        <f ca="1">+GETPIVOTDATA("XCB4",'cubi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+GETPIVOTDATA("XCB4",'cubi (2016)'!$A$3,"MA_HT","SKT","MA_QH","LUC")</f>
        <v>0</v>
      </c>
      <c r="H23" s="22">
        <f ca="1">+GETPIVOTDATA("XCB4",'cubi (2016)'!$A$3,"MA_HT","SKT","MA_QH","LUK")</f>
        <v>0</v>
      </c>
      <c r="I23" s="22">
        <f ca="1">+GETPIVOTDATA("XCB4",'cubi (2016)'!$A$3,"MA_HT","SKT","MA_QH","LUN")</f>
        <v>0</v>
      </c>
      <c r="J23" s="22">
        <f ca="1">+GETPIVOTDATA("XCB4",'cubi (2016)'!$A$3,"MA_HT","SKT","MA_QH","HNK")</f>
        <v>0</v>
      </c>
      <c r="K23" s="22">
        <f ca="1">+GETPIVOTDATA("XCB4",'cubi (2016)'!$A$3,"MA_HT","SKT","MA_QH","CLN")</f>
        <v>0</v>
      </c>
      <c r="L23" s="22">
        <f ca="1">+GETPIVOTDATA("XCB4",'cubi (2016)'!$A$3,"MA_HT","SKT","MA_QH","RSX")</f>
        <v>0</v>
      </c>
      <c r="M23" s="22">
        <f ca="1">+GETPIVOTDATA("XCB4",'cubi (2016)'!$A$3,"MA_HT","SKT","MA_QH","RPH")</f>
        <v>0</v>
      </c>
      <c r="N23" s="22">
        <f ca="1">+GETPIVOTDATA("XCB4",'cubi (2016)'!$A$3,"MA_HT","SKT","MA_QH","RDD")</f>
        <v>0</v>
      </c>
      <c r="O23" s="22">
        <f ca="1">+GETPIVOTDATA("XCB4",'cubi (2016)'!$A$3,"MA_HT","SKT","MA_QH","NTS")</f>
        <v>0</v>
      </c>
      <c r="P23" s="22">
        <f ca="1">+GETPIVOTDATA("XCB4",'cubi (2016)'!$A$3,"MA_HT","SKT","MA_QH","LMU")</f>
        <v>0</v>
      </c>
      <c r="Q23" s="22">
        <f ca="1">+GETPIVOTDATA("XCB4",'cubi (2016)'!$A$3,"MA_HT","SKT","MA_QH","NKH")</f>
        <v>0</v>
      </c>
      <c r="R23" s="42">
        <f ca="1">SUM(S23:U23,W23:AA23,AN23:BD23)</f>
        <v>0</v>
      </c>
      <c r="S23" s="22">
        <f ca="1">+GETPIVOTDATA("XCB4",'cubi (2016)'!$A$3,"MA_HT","SKT","MA_QH","CQP")</f>
        <v>0</v>
      </c>
      <c r="T23" s="22">
        <f ca="1">+GETPIVOTDATA("XCB4",'cubi (2016)'!$A$3,"MA_HT","SKT","MA_QH","CAN")</f>
        <v>0</v>
      </c>
      <c r="U23" s="22">
        <f ca="1">+GETPIVOTDATA("XCB4",'cubi (2016)'!$A$3,"MA_HT","SKT","MA_QH","SKK")</f>
        <v>0</v>
      </c>
      <c r="V23" s="43" t="e">
        <f ca="1">$D23-$BF23</f>
        <v>#REF!</v>
      </c>
      <c r="W23" s="22">
        <f ca="1">+GETPIVOTDATA("XCB4",'cubi (2016)'!$A$3,"MA_HT","SKT","MA_QH","SKN")</f>
        <v>0</v>
      </c>
      <c r="X23" s="22">
        <f ca="1">+GETPIVOTDATA("XCB4",'cubi (2016)'!$A$3,"MA_HT","SKT","MA_QH","TMD")</f>
        <v>0</v>
      </c>
      <c r="Y23" s="22">
        <f ca="1">+GETPIVOTDATA("XCB4",'cubi (2016)'!$A$3,"MA_HT","SKT","MA_QH","SKC")</f>
        <v>0</v>
      </c>
      <c r="Z23" s="22">
        <f ca="1">+GETPIVOTDATA("XCB4",'cubi (2016)'!$A$3,"MA_HT","SKT","MA_QH","SKS")</f>
        <v>0</v>
      </c>
      <c r="AA23" s="52">
        <f ca="1" t="shared" si="12"/>
        <v>0</v>
      </c>
      <c r="AB23" s="22">
        <f ca="1">+GETPIVOTDATA("XCB4",'cubi (2016)'!$A$3,"MA_HT","SKT","MA_QH","DGT")</f>
        <v>0</v>
      </c>
      <c r="AC23" s="22">
        <f ca="1">+GETPIVOTDATA("XCB4",'cubi (2016)'!$A$3,"MA_HT","SKT","MA_QH","DTL")</f>
        <v>0</v>
      </c>
      <c r="AD23" s="22">
        <f ca="1">+GETPIVOTDATA("XCB4",'cubi (2016)'!$A$3,"MA_HT","SKT","MA_QH","DNL")</f>
        <v>0</v>
      </c>
      <c r="AE23" s="22">
        <f ca="1">+GETPIVOTDATA("XCB4",'cubi (2016)'!$A$3,"MA_HT","SKT","MA_QH","DBV")</f>
        <v>0</v>
      </c>
      <c r="AF23" s="22">
        <f ca="1">+GETPIVOTDATA("XCB4",'cubi (2016)'!$A$3,"MA_HT","SKT","MA_QH","DVH")</f>
        <v>0</v>
      </c>
      <c r="AG23" s="22">
        <f ca="1">+GETPIVOTDATA("XCB4",'cubi (2016)'!$A$3,"MA_HT","SKT","MA_QH","DYT")</f>
        <v>0</v>
      </c>
      <c r="AH23" s="22">
        <f ca="1">+GETPIVOTDATA("XCB4",'cubi (2016)'!$A$3,"MA_HT","SKT","MA_QH","DGD")</f>
        <v>0</v>
      </c>
      <c r="AI23" s="22">
        <f ca="1">+GETPIVOTDATA("XCB4",'cubi (2016)'!$A$3,"MA_HT","SKT","MA_QH","DTT")</f>
        <v>0</v>
      </c>
      <c r="AJ23" s="22">
        <f ca="1">+GETPIVOTDATA("XCB4",'cubi (2016)'!$A$3,"MA_HT","SKT","MA_QH","NCK")</f>
        <v>0</v>
      </c>
      <c r="AK23" s="22">
        <f ca="1">+GETPIVOTDATA("XCB4",'cubi (2016)'!$A$3,"MA_HT","SKT","MA_QH","DXH")</f>
        <v>0</v>
      </c>
      <c r="AL23" s="22">
        <f ca="1">+GETPIVOTDATA("XCB4",'cubi (2016)'!$A$3,"MA_HT","SKT","MA_QH","DCH")</f>
        <v>0</v>
      </c>
      <c r="AM23" s="22">
        <f ca="1">+GETPIVOTDATA("XCB4",'cubi (2016)'!$A$3,"MA_HT","SKT","MA_QH","DKG")</f>
        <v>0</v>
      </c>
      <c r="AN23" s="22">
        <f ca="1">+GETPIVOTDATA("XCB4",'cubi (2016)'!$A$3,"MA_HT","SKT","MA_QH","DDT")</f>
        <v>0</v>
      </c>
      <c r="AO23" s="22">
        <f ca="1">+GETPIVOTDATA("XCB4",'cubi (2016)'!$A$3,"MA_HT","SKT","MA_QH","DDL")</f>
        <v>0</v>
      </c>
      <c r="AP23" s="22">
        <f ca="1">+GETPIVOTDATA("XCB4",'cubi (2016)'!$A$3,"MA_HT","SKT","MA_QH","DRA")</f>
        <v>0</v>
      </c>
      <c r="AQ23" s="22">
        <f ca="1">+GETPIVOTDATA("XCB4",'cubi (2016)'!$A$3,"MA_HT","SKT","MA_QH","ONT")</f>
        <v>0</v>
      </c>
      <c r="AR23" s="22">
        <f ca="1">+GETPIVOTDATA("XCB4",'cubi (2016)'!$A$3,"MA_HT","SKT","MA_QH","ODT")</f>
        <v>0</v>
      </c>
      <c r="AS23" s="22">
        <f ca="1">+GETPIVOTDATA("XCB4",'cubi (2016)'!$A$3,"MA_HT","SKT","MA_QH","TSC")</f>
        <v>0</v>
      </c>
      <c r="AT23" s="22">
        <f ca="1">+GETPIVOTDATA("XCB4",'cubi (2016)'!$A$3,"MA_HT","SKT","MA_QH","DTS")</f>
        <v>0</v>
      </c>
      <c r="AU23" s="22">
        <f ca="1">+GETPIVOTDATA("XCB4",'cubi (2016)'!$A$3,"MA_HT","SKT","MA_QH","DNG")</f>
        <v>0</v>
      </c>
      <c r="AV23" s="22">
        <f ca="1">+GETPIVOTDATA("XCB4",'cubi (2016)'!$A$3,"MA_HT","SKT","MA_QH","TON")</f>
        <v>0</v>
      </c>
      <c r="AW23" s="22">
        <f ca="1">+GETPIVOTDATA("XCB4",'cubi (2016)'!$A$3,"MA_HT","SKT","MA_QH","NTD")</f>
        <v>0</v>
      </c>
      <c r="AX23" s="22">
        <f ca="1">+GETPIVOTDATA("XCB4",'cubi (2016)'!$A$3,"MA_HT","SKT","MA_QH","SKX")</f>
        <v>0</v>
      </c>
      <c r="AY23" s="22">
        <f ca="1">+GETPIVOTDATA("XCB4",'cubi (2016)'!$A$3,"MA_HT","SKT","MA_QH","DSH")</f>
        <v>0</v>
      </c>
      <c r="AZ23" s="22">
        <f ca="1">+GETPIVOTDATA("XCB4",'cubi (2016)'!$A$3,"MA_HT","SKT","MA_QH","DKV")</f>
        <v>0</v>
      </c>
      <c r="BA23" s="89">
        <f ca="1">+GETPIVOTDATA("XCB4",'cubi (2016)'!$A$3,"MA_HT","SKT","MA_QH","TIN")</f>
        <v>0</v>
      </c>
      <c r="BB23" s="50">
        <f ca="1">+GETPIVOTDATA("XCB4",'cubi (2016)'!$A$3,"MA_HT","SKT","MA_QH","SON")</f>
        <v>0</v>
      </c>
      <c r="BC23" s="50">
        <f ca="1">+GETPIVOTDATA("XCB4",'cubi (2016)'!$A$3,"MA_HT","SKT","MA_QH","MNC")</f>
        <v>0</v>
      </c>
      <c r="BD23" s="22">
        <f ca="1">+GETPIVOTDATA("XCB4",'cubi (2016)'!$A$3,"MA_HT","SKT","MA_QH","PNK")</f>
        <v>0</v>
      </c>
      <c r="BE23" s="71">
        <f ca="1">+GETPIVOTDATA("XCB4",'cubi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+GETPIVOTDATA("XCB4",'cubi (2016)'!$A$3,"MA_HT","SKN","MA_QH","LUC")</f>
        <v>0</v>
      </c>
      <c r="H24" s="22">
        <f ca="1">+GETPIVOTDATA("XCB4",'cubi (2016)'!$A$3,"MA_HT","SKN","MA_QH","LUK")</f>
        <v>0</v>
      </c>
      <c r="I24" s="22">
        <f ca="1">+GETPIVOTDATA("XCB4",'cubi (2016)'!$A$3,"MA_HT","SKN","MA_QH","LUN")</f>
        <v>0</v>
      </c>
      <c r="J24" s="22">
        <f ca="1">+GETPIVOTDATA("XCB4",'cubi (2016)'!$A$3,"MA_HT","SKN","MA_QH","HNK")</f>
        <v>0</v>
      </c>
      <c r="K24" s="22">
        <f ca="1">+GETPIVOTDATA("XCB4",'cubi (2016)'!$A$3,"MA_HT","SKN","MA_QH","CLN")</f>
        <v>0</v>
      </c>
      <c r="L24" s="22">
        <f ca="1">+GETPIVOTDATA("XCB4",'cubi (2016)'!$A$3,"MA_HT","SKN","MA_QH","RSX")</f>
        <v>0</v>
      </c>
      <c r="M24" s="22">
        <f ca="1">+GETPIVOTDATA("XCB4",'cubi (2016)'!$A$3,"MA_HT","SKN","MA_QH","RPH")</f>
        <v>0</v>
      </c>
      <c r="N24" s="22">
        <f ca="1">+GETPIVOTDATA("XCB4",'cubi (2016)'!$A$3,"MA_HT","SKN","MA_QH","RDD")</f>
        <v>0</v>
      </c>
      <c r="O24" s="22">
        <f ca="1">+GETPIVOTDATA("XCB4",'cubi (2016)'!$A$3,"MA_HT","SKN","MA_QH","NTS")</f>
        <v>0</v>
      </c>
      <c r="P24" s="22">
        <f ca="1">+GETPIVOTDATA("XCB4",'cubi (2016)'!$A$3,"MA_HT","SKN","MA_QH","LMU")</f>
        <v>0</v>
      </c>
      <c r="Q24" s="22">
        <f ca="1">+GETPIVOTDATA("XCB4",'cubi (2016)'!$A$3,"MA_HT","SKN","MA_QH","NKH")</f>
        <v>0</v>
      </c>
      <c r="R24" s="42">
        <f ca="1">SUM(S24:V24,X24:AA24,AN24:BD24)</f>
        <v>0</v>
      </c>
      <c r="S24" s="22">
        <f ca="1">+GETPIVOTDATA("XCB4",'cubi (2016)'!$A$3,"MA_HT","SKN","MA_QH","CQP")</f>
        <v>0</v>
      </c>
      <c r="T24" s="22">
        <f ca="1">+GETPIVOTDATA("XCB4",'cubi (2016)'!$A$3,"MA_HT","SKN","MA_QH","CAN")</f>
        <v>0</v>
      </c>
      <c r="U24" s="22">
        <f ca="1">+GETPIVOTDATA("XCB4",'cubi (2016)'!$A$3,"MA_HT","SKN","MA_QH","SKK")</f>
        <v>0</v>
      </c>
      <c r="V24" s="22">
        <f ca="1">+GETPIVOTDATA("XCB4",'cubi (2016)'!$A$3,"MA_HT","SKN","MA_QH","SKT")</f>
        <v>0</v>
      </c>
      <c r="W24" s="43" t="e">
        <f ca="1">$D24-$BF24</f>
        <v>#REF!</v>
      </c>
      <c r="X24" s="22">
        <f ca="1">+GETPIVOTDATA("XCB4",'cubi (2016)'!$A$3,"MA_HT","SKN","MA_QH","TMD")</f>
        <v>0</v>
      </c>
      <c r="Y24" s="22">
        <f ca="1">+GETPIVOTDATA("XCB4",'cubi (2016)'!$A$3,"MA_HT","SKN","MA_QH","SKC")</f>
        <v>0</v>
      </c>
      <c r="Z24" s="22">
        <f ca="1">+GETPIVOTDATA("XCB4",'cubi (2016)'!$A$3,"MA_HT","SKN","MA_QH","SKS")</f>
        <v>0</v>
      </c>
      <c r="AA24" s="52">
        <f ca="1" t="shared" si="12"/>
        <v>0</v>
      </c>
      <c r="AB24" s="22">
        <f ca="1">+GETPIVOTDATA("XCB4",'cubi (2016)'!$A$3,"MA_HT","SKN","MA_QH","DGT")</f>
        <v>0</v>
      </c>
      <c r="AC24" s="22">
        <f ca="1">+GETPIVOTDATA("XCB4",'cubi (2016)'!$A$3,"MA_HT","SKN","MA_QH","DTL")</f>
        <v>0</v>
      </c>
      <c r="AD24" s="22">
        <f ca="1">+GETPIVOTDATA("XCB4",'cubi (2016)'!$A$3,"MA_HT","SKN","MA_QH","DNL")</f>
        <v>0</v>
      </c>
      <c r="AE24" s="22">
        <f ca="1">+GETPIVOTDATA("XCB4",'cubi (2016)'!$A$3,"MA_HT","SKN","MA_QH","DBV")</f>
        <v>0</v>
      </c>
      <c r="AF24" s="22">
        <f ca="1">+GETPIVOTDATA("XCB4",'cubi (2016)'!$A$3,"MA_HT","SKN","MA_QH","DVH")</f>
        <v>0</v>
      </c>
      <c r="AG24" s="22">
        <f ca="1">+GETPIVOTDATA("XCB4",'cubi (2016)'!$A$3,"MA_HT","SKN","MA_QH","DYT")</f>
        <v>0</v>
      </c>
      <c r="AH24" s="22">
        <f ca="1">+GETPIVOTDATA("XCB4",'cubi (2016)'!$A$3,"MA_HT","SKN","MA_QH","DGD")</f>
        <v>0</v>
      </c>
      <c r="AI24" s="22">
        <f ca="1">+GETPIVOTDATA("XCB4",'cubi (2016)'!$A$3,"MA_HT","SKN","MA_QH","DTT")</f>
        <v>0</v>
      </c>
      <c r="AJ24" s="22">
        <f ca="1">+GETPIVOTDATA("XCB4",'cubi (2016)'!$A$3,"MA_HT","SKN","MA_QH","NCK")</f>
        <v>0</v>
      </c>
      <c r="AK24" s="22">
        <f ca="1">+GETPIVOTDATA("XCB4",'cubi (2016)'!$A$3,"MA_HT","SKN","MA_QH","DXH")</f>
        <v>0</v>
      </c>
      <c r="AL24" s="22">
        <f ca="1">+GETPIVOTDATA("XCB4",'cubi (2016)'!$A$3,"MA_HT","SKN","MA_QH","DCH")</f>
        <v>0</v>
      </c>
      <c r="AM24" s="22">
        <f ca="1">+GETPIVOTDATA("XCB4",'cubi (2016)'!$A$3,"MA_HT","SKN","MA_QH","DKG")</f>
        <v>0</v>
      </c>
      <c r="AN24" s="22">
        <f ca="1">+GETPIVOTDATA("XCB4",'cubi (2016)'!$A$3,"MA_HT","SKN","MA_QH","DDT")</f>
        <v>0</v>
      </c>
      <c r="AO24" s="22">
        <f ca="1">+GETPIVOTDATA("XCB4",'cubi (2016)'!$A$3,"MA_HT","SKN","MA_QH","DDL")</f>
        <v>0</v>
      </c>
      <c r="AP24" s="22">
        <f ca="1">+GETPIVOTDATA("XCB4",'cubi (2016)'!$A$3,"MA_HT","SKN","MA_QH","DRA")</f>
        <v>0</v>
      </c>
      <c r="AQ24" s="22">
        <f ca="1">+GETPIVOTDATA("XCB4",'cubi (2016)'!$A$3,"MA_HT","SKN","MA_QH","ONT")</f>
        <v>0</v>
      </c>
      <c r="AR24" s="22">
        <f ca="1">+GETPIVOTDATA("XCB4",'cubi (2016)'!$A$3,"MA_HT","SKN","MA_QH","ODT")</f>
        <v>0</v>
      </c>
      <c r="AS24" s="22">
        <f ca="1">+GETPIVOTDATA("XCB4",'cubi (2016)'!$A$3,"MA_HT","SKN","MA_QH","TSC")</f>
        <v>0</v>
      </c>
      <c r="AT24" s="22">
        <f ca="1">+GETPIVOTDATA("XCB4",'cubi (2016)'!$A$3,"MA_HT","SKN","MA_QH","DTS")</f>
        <v>0</v>
      </c>
      <c r="AU24" s="22">
        <f ca="1">+GETPIVOTDATA("XCB4",'cubi (2016)'!$A$3,"MA_HT","SKN","MA_QH","DNG")</f>
        <v>0</v>
      </c>
      <c r="AV24" s="22">
        <f ca="1">+GETPIVOTDATA("XCB4",'cubi (2016)'!$A$3,"MA_HT","SKN","MA_QH","TON")</f>
        <v>0</v>
      </c>
      <c r="AW24" s="22">
        <f ca="1">+GETPIVOTDATA("XCB4",'cubi (2016)'!$A$3,"MA_HT","SKN","MA_QH","NTD")</f>
        <v>0</v>
      </c>
      <c r="AX24" s="22">
        <f ca="1">+GETPIVOTDATA("XCB4",'cubi (2016)'!$A$3,"MA_HT","SKN","MA_QH","SKX")</f>
        <v>0</v>
      </c>
      <c r="AY24" s="22">
        <f ca="1">+GETPIVOTDATA("XCB4",'cubi (2016)'!$A$3,"MA_HT","SKN","MA_QH","DSH")</f>
        <v>0</v>
      </c>
      <c r="AZ24" s="22">
        <f ca="1">+GETPIVOTDATA("XCB4",'cubi (2016)'!$A$3,"MA_HT","SKN","MA_QH","DKV")</f>
        <v>0</v>
      </c>
      <c r="BA24" s="89">
        <f ca="1">+GETPIVOTDATA("XCB4",'cubi (2016)'!$A$3,"MA_HT","SKN","MA_QH","TIN")</f>
        <v>0</v>
      </c>
      <c r="BB24" s="50">
        <f ca="1">+GETPIVOTDATA("XCB4",'cubi (2016)'!$A$3,"MA_HT","SKN","MA_QH","SON")</f>
        <v>0</v>
      </c>
      <c r="BC24" s="50">
        <f ca="1">+GETPIVOTDATA("XCB4",'cubi (2016)'!$A$3,"MA_HT","SKN","MA_QH","MNC")</f>
        <v>0</v>
      </c>
      <c r="BD24" s="22">
        <f ca="1">+GETPIVOTDATA("XCB4",'cubi (2016)'!$A$3,"MA_HT","SKN","MA_QH","PNK")</f>
        <v>0</v>
      </c>
      <c r="BE24" s="71">
        <f ca="1">+GETPIVOTDATA("XCB4",'cubi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+GETPIVOTDATA("XCB4",'cubi (2016)'!$A$3,"MA_HT","TMD","MA_QH","LUC")</f>
        <v>0</v>
      </c>
      <c r="H25" s="22">
        <f ca="1">+GETPIVOTDATA("XCB4",'cubi (2016)'!$A$3,"MA_HT","TMD","MA_QH","LUK")</f>
        <v>0</v>
      </c>
      <c r="I25" s="22">
        <f ca="1">+GETPIVOTDATA("XCB4",'cubi (2016)'!$A$3,"MA_HT","TMD","MA_QH","LUN")</f>
        <v>0</v>
      </c>
      <c r="J25" s="22">
        <f ca="1">+GETPIVOTDATA("XCB4",'cubi (2016)'!$A$3,"MA_HT","TMD","MA_QH","HNK")</f>
        <v>0</v>
      </c>
      <c r="K25" s="22">
        <f ca="1">+GETPIVOTDATA("XCB4",'cubi (2016)'!$A$3,"MA_HT","TMD","MA_QH","CLN")</f>
        <v>0</v>
      </c>
      <c r="L25" s="22">
        <f ca="1">+GETPIVOTDATA("XCB4",'cubi (2016)'!$A$3,"MA_HT","TMD","MA_QH","RSX")</f>
        <v>0</v>
      </c>
      <c r="M25" s="22">
        <f ca="1">+GETPIVOTDATA("XCB4",'cubi (2016)'!$A$3,"MA_HT","TMD","MA_QH","RPH")</f>
        <v>0</v>
      </c>
      <c r="N25" s="22">
        <f ca="1">+GETPIVOTDATA("XCB4",'cubi (2016)'!$A$3,"MA_HT","TMD","MA_QH","RDD")</f>
        <v>0</v>
      </c>
      <c r="O25" s="22">
        <f ca="1">+GETPIVOTDATA("XCB4",'cubi (2016)'!$A$3,"MA_HT","TMD","MA_QH","NTS")</f>
        <v>0</v>
      </c>
      <c r="P25" s="22">
        <f ca="1">+GETPIVOTDATA("XCB4",'cubi (2016)'!$A$3,"MA_HT","TMD","MA_QH","LMU")</f>
        <v>0</v>
      </c>
      <c r="Q25" s="22">
        <f ca="1">+GETPIVOTDATA("XCB4",'cubi (2016)'!$A$3,"MA_HT","TMD","MA_QH","NKH")</f>
        <v>0</v>
      </c>
      <c r="R25" s="42">
        <f ca="1">SUM(S25:W25,Y25:AA25,AN25:BD25)</f>
        <v>0</v>
      </c>
      <c r="S25" s="22">
        <f ca="1">+GETPIVOTDATA("XCB4",'cubi (2016)'!$A$3,"MA_HT","TMD","MA_QH","CQP")</f>
        <v>0</v>
      </c>
      <c r="T25" s="22">
        <f ca="1">+GETPIVOTDATA("XCB4",'cubi (2016)'!$A$3,"MA_HT","TMD","MA_QH","CAN")</f>
        <v>0</v>
      </c>
      <c r="U25" s="22">
        <f ca="1">+GETPIVOTDATA("XCB4",'cubi (2016)'!$A$3,"MA_HT","TMD","MA_QH","SKK")</f>
        <v>0</v>
      </c>
      <c r="V25" s="22">
        <f ca="1">+GETPIVOTDATA("XCB4",'cubi (2016)'!$A$3,"MA_HT","TMD","MA_QH","SKT")</f>
        <v>0</v>
      </c>
      <c r="W25" s="22">
        <f ca="1">+GETPIVOTDATA("XCB4",'cubi (2016)'!$A$3,"MA_HT","TMD","MA_QH","SKN")</f>
        <v>0</v>
      </c>
      <c r="X25" s="43" t="e">
        <f ca="1">$D25-$BF25</f>
        <v>#REF!</v>
      </c>
      <c r="Y25" s="22">
        <f ca="1">+GETPIVOTDATA("XCB4",'cubi (2016)'!$A$3,"MA_HT","TMD","MA_QH","SKC")</f>
        <v>0</v>
      </c>
      <c r="Z25" s="22">
        <f ca="1">+GETPIVOTDATA("XCB4",'cubi (2016)'!$A$3,"MA_HT","TMD","MA_QH","SKS")</f>
        <v>0</v>
      </c>
      <c r="AA25" s="52">
        <f ca="1" t="shared" si="12"/>
        <v>0</v>
      </c>
      <c r="AB25" s="22">
        <f ca="1">+GETPIVOTDATA("XCB4",'cubi (2016)'!$A$3,"MA_HT","TMD","MA_QH","DGT")</f>
        <v>0</v>
      </c>
      <c r="AC25" s="22">
        <f ca="1">+GETPIVOTDATA("XCB4",'cubi (2016)'!$A$3,"MA_HT","TMD","MA_QH","DTL")</f>
        <v>0</v>
      </c>
      <c r="AD25" s="22">
        <f ca="1">+GETPIVOTDATA("XCB4",'cubi (2016)'!$A$3,"MA_HT","TMD","MA_QH","DNL")</f>
        <v>0</v>
      </c>
      <c r="AE25" s="22">
        <f ca="1">+GETPIVOTDATA("XCB4",'cubi (2016)'!$A$3,"MA_HT","TMD","MA_QH","DBV")</f>
        <v>0</v>
      </c>
      <c r="AF25" s="22">
        <f ca="1">+GETPIVOTDATA("XCB4",'cubi (2016)'!$A$3,"MA_HT","TMD","MA_QH","DVH")</f>
        <v>0</v>
      </c>
      <c r="AG25" s="22">
        <f ca="1">+GETPIVOTDATA("XCB4",'cubi (2016)'!$A$3,"MA_HT","TMD","MA_QH","DYT")</f>
        <v>0</v>
      </c>
      <c r="AH25" s="22">
        <f ca="1">+GETPIVOTDATA("XCB4",'cubi (2016)'!$A$3,"MA_HT","TMD","MA_QH","DGD")</f>
        <v>0</v>
      </c>
      <c r="AI25" s="22">
        <f ca="1">+GETPIVOTDATA("XCB4",'cubi (2016)'!$A$3,"MA_HT","TMD","MA_QH","DTT")</f>
        <v>0</v>
      </c>
      <c r="AJ25" s="22">
        <f ca="1">+GETPIVOTDATA("XCB4",'cubi (2016)'!$A$3,"MA_HT","TMD","MA_QH","NCK")</f>
        <v>0</v>
      </c>
      <c r="AK25" s="22">
        <f ca="1">+GETPIVOTDATA("XCB4",'cubi (2016)'!$A$3,"MA_HT","TMD","MA_QH","DXH")</f>
        <v>0</v>
      </c>
      <c r="AL25" s="22">
        <f ca="1">+GETPIVOTDATA("XCB4",'cubi (2016)'!$A$3,"MA_HT","TMD","MA_QH","DCH")</f>
        <v>0</v>
      </c>
      <c r="AM25" s="22">
        <f ca="1">+GETPIVOTDATA("XCB4",'cubi (2016)'!$A$3,"MA_HT","TMD","MA_QH","DKG")</f>
        <v>0</v>
      </c>
      <c r="AN25" s="22">
        <f ca="1">+GETPIVOTDATA("XCB4",'cubi (2016)'!$A$3,"MA_HT","TMD","MA_QH","DDT")</f>
        <v>0</v>
      </c>
      <c r="AO25" s="22">
        <f ca="1">+GETPIVOTDATA("XCB4",'cubi (2016)'!$A$3,"MA_HT","TMD","MA_QH","DDL")</f>
        <v>0</v>
      </c>
      <c r="AP25" s="22">
        <f ca="1">+GETPIVOTDATA("XCB4",'cubi (2016)'!$A$3,"MA_HT","TMD","MA_QH","DRA")</f>
        <v>0</v>
      </c>
      <c r="AQ25" s="22">
        <f ca="1">+GETPIVOTDATA("XCB4",'cubi (2016)'!$A$3,"MA_HT","TMD","MA_QH","ONT")</f>
        <v>0</v>
      </c>
      <c r="AR25" s="22">
        <f ca="1">+GETPIVOTDATA("XCB4",'cubi (2016)'!$A$3,"MA_HT","TMD","MA_QH","ODT")</f>
        <v>0</v>
      </c>
      <c r="AS25" s="22">
        <f ca="1">+GETPIVOTDATA("XCB4",'cubi (2016)'!$A$3,"MA_HT","TMD","MA_QH","TSC")</f>
        <v>0</v>
      </c>
      <c r="AT25" s="22">
        <f ca="1">+GETPIVOTDATA("XCB4",'cubi (2016)'!$A$3,"MA_HT","TMD","MA_QH","DTS")</f>
        <v>0</v>
      </c>
      <c r="AU25" s="22">
        <f ca="1">+GETPIVOTDATA("XCB4",'cubi (2016)'!$A$3,"MA_HT","TMD","MA_QH","DNG")</f>
        <v>0</v>
      </c>
      <c r="AV25" s="22">
        <f ca="1">+GETPIVOTDATA("XCB4",'cubi (2016)'!$A$3,"MA_HT","TMD","MA_QH","TON")</f>
        <v>0</v>
      </c>
      <c r="AW25" s="22">
        <f ca="1">+GETPIVOTDATA("XCB4",'cubi (2016)'!$A$3,"MA_HT","TMD","MA_QH","NTD")</f>
        <v>0</v>
      </c>
      <c r="AX25" s="22">
        <f ca="1">+GETPIVOTDATA("XCB4",'cubi (2016)'!$A$3,"MA_HT","TMD","MA_QH","SKX")</f>
        <v>0</v>
      </c>
      <c r="AY25" s="22">
        <f ca="1">+GETPIVOTDATA("XCB4",'cubi (2016)'!$A$3,"MA_HT","TMD","MA_QH","DSH")</f>
        <v>0</v>
      </c>
      <c r="AZ25" s="22">
        <f ca="1">+GETPIVOTDATA("XCB4",'cubi (2016)'!$A$3,"MA_HT","TMD","MA_QH","DKV")</f>
        <v>0</v>
      </c>
      <c r="BA25" s="89">
        <f ca="1">+GETPIVOTDATA("XCB4",'cubi (2016)'!$A$3,"MA_HT","TMD","MA_QH","TIN")</f>
        <v>0</v>
      </c>
      <c r="BB25" s="50">
        <f ca="1">+GETPIVOTDATA("XCB4",'cubi (2016)'!$A$3,"MA_HT","TMD","MA_QH","SON")</f>
        <v>0</v>
      </c>
      <c r="BC25" s="50">
        <f ca="1">+GETPIVOTDATA("XCB4",'cubi (2016)'!$A$3,"MA_HT","TMD","MA_QH","MNC")</f>
        <v>0</v>
      </c>
      <c r="BD25" s="22">
        <f ca="1">+GETPIVOTDATA("XCB4",'cubi (2016)'!$A$3,"MA_HT","TMD","MA_QH","PNK")</f>
        <v>0</v>
      </c>
      <c r="BE25" s="71">
        <f ca="1">+GETPIVOTDATA("XCB4",'cubi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+GETPIVOTDATA("XCB4",'cubi (2016)'!$A$3,"MA_HT","SKC","MA_QH","LUC")</f>
        <v>0</v>
      </c>
      <c r="H26" s="22">
        <f ca="1">+GETPIVOTDATA("XCB4",'cubi (2016)'!$A$3,"MA_HT","SKC","MA_QH","LUK")</f>
        <v>0</v>
      </c>
      <c r="I26" s="22">
        <f ca="1">+GETPIVOTDATA("XCB4",'cubi (2016)'!$A$3,"MA_HT","SKC","MA_QH","LUN")</f>
        <v>0</v>
      </c>
      <c r="J26" s="22">
        <f ca="1">+GETPIVOTDATA("XCB4",'cubi (2016)'!$A$3,"MA_HT","SKC","MA_QH","HNK")</f>
        <v>0</v>
      </c>
      <c r="K26" s="22">
        <f ca="1">+GETPIVOTDATA("XCB4",'cubi (2016)'!$A$3,"MA_HT","SKC","MA_QH","CLN")</f>
        <v>0</v>
      </c>
      <c r="L26" s="22">
        <f ca="1">+GETPIVOTDATA("XCB4",'cubi (2016)'!$A$3,"MA_HT","SKC","MA_QH","RSX")</f>
        <v>0</v>
      </c>
      <c r="M26" s="22">
        <f ca="1">+GETPIVOTDATA("XCB4",'cubi (2016)'!$A$3,"MA_HT","SKC","MA_QH","RPH")</f>
        <v>0</v>
      </c>
      <c r="N26" s="22">
        <f ca="1">+GETPIVOTDATA("XCB4",'cubi (2016)'!$A$3,"MA_HT","SKC","MA_QH","RDD")</f>
        <v>0</v>
      </c>
      <c r="O26" s="22">
        <f ca="1">+GETPIVOTDATA("XCB4",'cubi (2016)'!$A$3,"MA_HT","SKC","MA_QH","NTS")</f>
        <v>0</v>
      </c>
      <c r="P26" s="22">
        <f ca="1">+GETPIVOTDATA("XCB4",'cubi (2016)'!$A$3,"MA_HT","SKC","MA_QH","LMU")</f>
        <v>0</v>
      </c>
      <c r="Q26" s="22">
        <f ca="1">+GETPIVOTDATA("XCB4",'cubi (2016)'!$A$3,"MA_HT","SKC","MA_QH","NKH")</f>
        <v>0</v>
      </c>
      <c r="R26" s="42">
        <f ca="1">SUM(S26:X26,Z26,AN26:BD26)</f>
        <v>0</v>
      </c>
      <c r="S26" s="22">
        <f ca="1">+GETPIVOTDATA("XCB4",'cubi (2016)'!$A$3,"MA_HT","SKC","MA_QH","CQP")</f>
        <v>0</v>
      </c>
      <c r="T26" s="22">
        <f ca="1">+GETPIVOTDATA("XCB4",'cubi (2016)'!$A$3,"MA_HT","SKC","MA_QH","CAN")</f>
        <v>0</v>
      </c>
      <c r="U26" s="22">
        <f ca="1">+GETPIVOTDATA("XCB4",'cubi (2016)'!$A$3,"MA_HT","SKC","MA_QH","SKK")</f>
        <v>0</v>
      </c>
      <c r="V26" s="22">
        <f ca="1">+GETPIVOTDATA("XCB4",'cubi (2016)'!$A$3,"MA_HT","SKC","MA_QH","SKT")</f>
        <v>0</v>
      </c>
      <c r="W26" s="22">
        <f ca="1">+GETPIVOTDATA("XCB4",'cubi (2016)'!$A$3,"MA_HT","SKC","MA_QH","SKN")</f>
        <v>0</v>
      </c>
      <c r="X26" s="22">
        <f ca="1">+GETPIVOTDATA("XCB4",'cubi (2016)'!$A$3,"MA_HT","SKC","MA_QH","TMD")</f>
        <v>0</v>
      </c>
      <c r="Y26" s="43" t="e">
        <f ca="1">$D26-$BF26</f>
        <v>#REF!</v>
      </c>
      <c r="Z26" s="22">
        <f ca="1">+GETPIVOTDATA("XCB4",'cubi (2016)'!$A$3,"MA_HT","SKC","MA_QH","SKS")</f>
        <v>0</v>
      </c>
      <c r="AA26" s="52">
        <f ca="1" t="shared" si="12"/>
        <v>0</v>
      </c>
      <c r="AB26" s="22">
        <f ca="1">+GETPIVOTDATA("XCB4",'cubi (2016)'!$A$3,"MA_HT","SKC","MA_QH","DGT")</f>
        <v>0</v>
      </c>
      <c r="AC26" s="22">
        <f ca="1">+GETPIVOTDATA("XCB4",'cubi (2016)'!$A$3,"MA_HT","SKC","MA_QH","DTL")</f>
        <v>0</v>
      </c>
      <c r="AD26" s="22">
        <f ca="1">+GETPIVOTDATA("XCB4",'cubi (2016)'!$A$3,"MA_HT","SKC","MA_QH","DNL")</f>
        <v>0</v>
      </c>
      <c r="AE26" s="22">
        <f ca="1">+GETPIVOTDATA("XCB4",'cubi (2016)'!$A$3,"MA_HT","SKC","MA_QH","DBV")</f>
        <v>0</v>
      </c>
      <c r="AF26" s="22">
        <f ca="1">+GETPIVOTDATA("XCB4",'cubi (2016)'!$A$3,"MA_HT","SKC","MA_QH","DVH")</f>
        <v>0</v>
      </c>
      <c r="AG26" s="22">
        <f ca="1">+GETPIVOTDATA("XCB4",'cubi (2016)'!$A$3,"MA_HT","SKC","MA_QH","DYT")</f>
        <v>0</v>
      </c>
      <c r="AH26" s="22">
        <f ca="1">+GETPIVOTDATA("XCB4",'cubi (2016)'!$A$3,"MA_HT","SKC","MA_QH","DGD")</f>
        <v>0</v>
      </c>
      <c r="AI26" s="22">
        <f ca="1">+GETPIVOTDATA("XCB4",'cubi (2016)'!$A$3,"MA_HT","SKC","MA_QH","DTT")</f>
        <v>0</v>
      </c>
      <c r="AJ26" s="22">
        <f ca="1">+GETPIVOTDATA("XCB4",'cubi (2016)'!$A$3,"MA_HT","SKC","MA_QH","NCK")</f>
        <v>0</v>
      </c>
      <c r="AK26" s="22">
        <f ca="1">+GETPIVOTDATA("XCB4",'cubi (2016)'!$A$3,"MA_HT","SKC","MA_QH","DXH")</f>
        <v>0</v>
      </c>
      <c r="AL26" s="22">
        <f ca="1">+GETPIVOTDATA("XCB4",'cubi (2016)'!$A$3,"MA_HT","SKC","MA_QH","DCH")</f>
        <v>0</v>
      </c>
      <c r="AM26" s="22">
        <f ca="1">+GETPIVOTDATA("XCB4",'cubi (2016)'!$A$3,"MA_HT","SKC","MA_QH","DKG")</f>
        <v>0</v>
      </c>
      <c r="AN26" s="22">
        <f ca="1">+GETPIVOTDATA("XCB4",'cubi (2016)'!$A$3,"MA_HT","SKC","MA_QH","DDT")</f>
        <v>0</v>
      </c>
      <c r="AO26" s="22">
        <f ca="1">+GETPIVOTDATA("XCB4",'cubi (2016)'!$A$3,"MA_HT","SKC","MA_QH","DDL")</f>
        <v>0</v>
      </c>
      <c r="AP26" s="22">
        <f ca="1">+GETPIVOTDATA("XCB4",'cubi (2016)'!$A$3,"MA_HT","SKC","MA_QH","DRA")</f>
        <v>0</v>
      </c>
      <c r="AQ26" s="22">
        <f ca="1">+GETPIVOTDATA("XCB4",'cubi (2016)'!$A$3,"MA_HT","SKC","MA_QH","ONT")</f>
        <v>0</v>
      </c>
      <c r="AR26" s="22">
        <f ca="1">+GETPIVOTDATA("XCB4",'cubi (2016)'!$A$3,"MA_HT","SKC","MA_QH","ODT")</f>
        <v>0</v>
      </c>
      <c r="AS26" s="22">
        <f ca="1">+GETPIVOTDATA("XCB4",'cubi (2016)'!$A$3,"MA_HT","SKC","MA_QH","TSC")</f>
        <v>0</v>
      </c>
      <c r="AT26" s="22">
        <f ca="1">+GETPIVOTDATA("XCB4",'cubi (2016)'!$A$3,"MA_HT","SKC","MA_QH","DTS")</f>
        <v>0</v>
      </c>
      <c r="AU26" s="22">
        <f ca="1">+GETPIVOTDATA("XCB4",'cubi (2016)'!$A$3,"MA_HT","SKC","MA_QH","DNG")</f>
        <v>0</v>
      </c>
      <c r="AV26" s="22">
        <f ca="1">+GETPIVOTDATA("XCB4",'cubi (2016)'!$A$3,"MA_HT","SKC","MA_QH","TON")</f>
        <v>0</v>
      </c>
      <c r="AW26" s="22">
        <f ca="1">+GETPIVOTDATA("XCB4",'cubi (2016)'!$A$3,"MA_HT","SKC","MA_QH","NTD")</f>
        <v>0</v>
      </c>
      <c r="AX26" s="22">
        <f ca="1">+GETPIVOTDATA("XCB4",'cubi (2016)'!$A$3,"MA_HT","SKC","MA_QH","SKX")</f>
        <v>0</v>
      </c>
      <c r="AY26" s="22">
        <f ca="1">+GETPIVOTDATA("XCB4",'cubi (2016)'!$A$3,"MA_HT","SKC","MA_QH","DSH")</f>
        <v>0</v>
      </c>
      <c r="AZ26" s="22">
        <f ca="1">+GETPIVOTDATA("XCB4",'cubi (2016)'!$A$3,"MA_HT","SKC","MA_QH","DKV")</f>
        <v>0</v>
      </c>
      <c r="BA26" s="89">
        <f ca="1">+GETPIVOTDATA("XCB4",'cubi (2016)'!$A$3,"MA_HT","SKC","MA_QH","TIN")</f>
        <v>0</v>
      </c>
      <c r="BB26" s="50">
        <f ca="1">+GETPIVOTDATA("XCB4",'cubi (2016)'!$A$3,"MA_HT","SKC","MA_QH","SON")</f>
        <v>0</v>
      </c>
      <c r="BC26" s="50">
        <f ca="1">+GETPIVOTDATA("XCB4",'cubi (2016)'!$A$3,"MA_HT","SKC","MA_QH","MNC")</f>
        <v>0</v>
      </c>
      <c r="BD26" s="22">
        <f ca="1">+GETPIVOTDATA("XCB4",'cubi (2016)'!$A$3,"MA_HT","SKC","MA_QH","PNK")</f>
        <v>0</v>
      </c>
      <c r="BE26" s="71">
        <f ca="1">+GETPIVOTDATA("XCB4",'cubi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+GETPIVOTDATA("XCB4",'cubi (2016)'!$A$3,"MA_HT","SKS","MA_QH","LUC")</f>
        <v>0</v>
      </c>
      <c r="H27" s="22">
        <f ca="1">+GETPIVOTDATA("XCB4",'cubi (2016)'!$A$3,"MA_HT","SKS","MA_QH","LUK")</f>
        <v>0</v>
      </c>
      <c r="I27" s="22">
        <f ca="1">+GETPIVOTDATA("XCB4",'cubi (2016)'!$A$3,"MA_HT","SKS","MA_QH","LUN")</f>
        <v>0</v>
      </c>
      <c r="J27" s="22">
        <f ca="1">+GETPIVOTDATA("XCB4",'cubi (2016)'!$A$3,"MA_HT","SKS","MA_QH","HNK")</f>
        <v>0</v>
      </c>
      <c r="K27" s="22">
        <f ca="1">+GETPIVOTDATA("XCB4",'cubi (2016)'!$A$3,"MA_HT","SKS","MA_QH","CLN")</f>
        <v>0</v>
      </c>
      <c r="L27" s="22">
        <f ca="1">+GETPIVOTDATA("XCB4",'cubi (2016)'!$A$3,"MA_HT","SKS","MA_QH","RSX")</f>
        <v>0</v>
      </c>
      <c r="M27" s="22">
        <f ca="1">+GETPIVOTDATA("XCB4",'cubi (2016)'!$A$3,"MA_HT","SKS","MA_QH","RPH")</f>
        <v>0</v>
      </c>
      <c r="N27" s="22">
        <f ca="1">+GETPIVOTDATA("XCB4",'cubi (2016)'!$A$3,"MA_HT","SKS","MA_QH","RDD")</f>
        <v>0</v>
      </c>
      <c r="O27" s="22">
        <f ca="1">+GETPIVOTDATA("XCB4",'cubi (2016)'!$A$3,"MA_HT","SKS","MA_QH","NTS")</f>
        <v>0</v>
      </c>
      <c r="P27" s="22">
        <f ca="1">+GETPIVOTDATA("XCB4",'cubi (2016)'!$A$3,"MA_HT","SKS","MA_QH","LMU")</f>
        <v>0</v>
      </c>
      <c r="Q27" s="22">
        <f ca="1">+GETPIVOTDATA("XCB4",'cubi (2016)'!$A$3,"MA_HT","SKS","MA_QH","NKH")</f>
        <v>0</v>
      </c>
      <c r="R27" s="42">
        <f ca="1">SUM(S27:Y27,AA27,AN27:BD27)</f>
        <v>0</v>
      </c>
      <c r="S27" s="22">
        <f ca="1">+GETPIVOTDATA("XCB4",'cubi (2016)'!$A$3,"MA_HT","SKS","MA_QH","CQP")</f>
        <v>0</v>
      </c>
      <c r="T27" s="22">
        <f ca="1">+GETPIVOTDATA("XCB4",'cubi (2016)'!$A$3,"MA_HT","SKS","MA_QH","CAN")</f>
        <v>0</v>
      </c>
      <c r="U27" s="22">
        <f ca="1">+GETPIVOTDATA("XCB4",'cubi (2016)'!$A$3,"MA_HT","SKS","MA_QH","SKK")</f>
        <v>0</v>
      </c>
      <c r="V27" s="22">
        <f ca="1">+GETPIVOTDATA("XCB4",'cubi (2016)'!$A$3,"MA_HT","SKS","MA_QH","SKT")</f>
        <v>0</v>
      </c>
      <c r="W27" s="22">
        <f ca="1">+GETPIVOTDATA("XCB4",'cubi (2016)'!$A$3,"MA_HT","SKS","MA_QH","SKN")</f>
        <v>0</v>
      </c>
      <c r="X27" s="22">
        <f ca="1">+GETPIVOTDATA("XCB4",'cubi (2016)'!$A$3,"MA_HT","SKS","MA_QH","TMD")</f>
        <v>0</v>
      </c>
      <c r="Y27" s="22">
        <f ca="1">+GETPIVOTDATA("XCB4",'cubi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+GETPIVOTDATA("XCB4",'cubi (2016)'!$A$3,"MA_HT","SKS","MA_QH","DGT")</f>
        <v>0</v>
      </c>
      <c r="AC27" s="22">
        <f ca="1">+GETPIVOTDATA("XCB4",'cubi (2016)'!$A$3,"MA_HT","SKS","MA_QH","DTL")</f>
        <v>0</v>
      </c>
      <c r="AD27" s="22">
        <f ca="1">+GETPIVOTDATA("XCB4",'cubi (2016)'!$A$3,"MA_HT","SKS","MA_QH","DNL")</f>
        <v>0</v>
      </c>
      <c r="AE27" s="22">
        <f ca="1">+GETPIVOTDATA("XCB4",'cubi (2016)'!$A$3,"MA_HT","SKS","MA_QH","DBV")</f>
        <v>0</v>
      </c>
      <c r="AF27" s="22">
        <f ca="1">+GETPIVOTDATA("XCB4",'cubi (2016)'!$A$3,"MA_HT","SKS","MA_QH","DVH")</f>
        <v>0</v>
      </c>
      <c r="AG27" s="22">
        <f ca="1">+GETPIVOTDATA("XCB4",'cubi (2016)'!$A$3,"MA_HT","SKS","MA_QH","DYT")</f>
        <v>0</v>
      </c>
      <c r="AH27" s="22">
        <f ca="1">+GETPIVOTDATA("XCB4",'cubi (2016)'!$A$3,"MA_HT","SKS","MA_QH","DGD")</f>
        <v>0</v>
      </c>
      <c r="AI27" s="22">
        <f ca="1">+GETPIVOTDATA("XCB4",'cubi (2016)'!$A$3,"MA_HT","SKS","MA_QH","DTT")</f>
        <v>0</v>
      </c>
      <c r="AJ27" s="22">
        <f ca="1">+GETPIVOTDATA("XCB4",'cubi (2016)'!$A$3,"MA_HT","SKS","MA_QH","NCK")</f>
        <v>0</v>
      </c>
      <c r="AK27" s="22">
        <f ca="1">+GETPIVOTDATA("XCB4",'cubi (2016)'!$A$3,"MA_HT","SKS","MA_QH","DXH")</f>
        <v>0</v>
      </c>
      <c r="AL27" s="22">
        <f ca="1">+GETPIVOTDATA("XCB4",'cubi (2016)'!$A$3,"MA_HT","SKS","MA_QH","DCH")</f>
        <v>0</v>
      </c>
      <c r="AM27" s="22">
        <f ca="1">+GETPIVOTDATA("XCB4",'cubi (2016)'!$A$3,"MA_HT","SKS","MA_QH","DKG")</f>
        <v>0</v>
      </c>
      <c r="AN27" s="22">
        <f ca="1">+GETPIVOTDATA("XCB4",'cubi (2016)'!$A$3,"MA_HT","SKS","MA_QH","DDT")</f>
        <v>0</v>
      </c>
      <c r="AO27" s="22">
        <f ca="1">+GETPIVOTDATA("XCB4",'cubi (2016)'!$A$3,"MA_HT","SKS","MA_QH","DDL")</f>
        <v>0</v>
      </c>
      <c r="AP27" s="22">
        <f ca="1">+GETPIVOTDATA("XCB4",'cubi (2016)'!$A$3,"MA_HT","SKS","MA_QH","DRA")</f>
        <v>0</v>
      </c>
      <c r="AQ27" s="22">
        <f ca="1">+GETPIVOTDATA("XCB4",'cubi (2016)'!$A$3,"MA_HT","SKS","MA_QH","ONT")</f>
        <v>0</v>
      </c>
      <c r="AR27" s="22">
        <f ca="1">+GETPIVOTDATA("XCB4",'cubi (2016)'!$A$3,"MA_HT","SKS","MA_QH","ODT")</f>
        <v>0</v>
      </c>
      <c r="AS27" s="22">
        <f ca="1">+GETPIVOTDATA("XCB4",'cubi (2016)'!$A$3,"MA_HT","SKS","MA_QH","TSC")</f>
        <v>0</v>
      </c>
      <c r="AT27" s="22">
        <f ca="1">+GETPIVOTDATA("XCB4",'cubi (2016)'!$A$3,"MA_HT","SKS","MA_QH","DTS")</f>
        <v>0</v>
      </c>
      <c r="AU27" s="22">
        <f ca="1">+GETPIVOTDATA("XCB4",'cubi (2016)'!$A$3,"MA_HT","SKS","MA_QH","DNG")</f>
        <v>0</v>
      </c>
      <c r="AV27" s="22">
        <f ca="1">+GETPIVOTDATA("XCB4",'cubi (2016)'!$A$3,"MA_HT","SKS","MA_QH","TON")</f>
        <v>0</v>
      </c>
      <c r="AW27" s="22">
        <f ca="1">+GETPIVOTDATA("XCB4",'cubi (2016)'!$A$3,"MA_HT","SKS","MA_QH","NTD")</f>
        <v>0</v>
      </c>
      <c r="AX27" s="22">
        <f ca="1">+GETPIVOTDATA("XCB4",'cubi (2016)'!$A$3,"MA_HT","SKS","MA_QH","SKX")</f>
        <v>0</v>
      </c>
      <c r="AY27" s="22">
        <f ca="1">+GETPIVOTDATA("XCB4",'cubi (2016)'!$A$3,"MA_HT","SKS","MA_QH","DSH")</f>
        <v>0</v>
      </c>
      <c r="AZ27" s="22">
        <f ca="1">+GETPIVOTDATA("XCB4",'cubi (2016)'!$A$3,"MA_HT","SKS","MA_QH","DKV")</f>
        <v>0</v>
      </c>
      <c r="BA27" s="89">
        <f ca="1">+GETPIVOTDATA("XCB4",'cubi (2016)'!$A$3,"MA_HT","SKS","MA_QH","TIN")</f>
        <v>0</v>
      </c>
      <c r="BB27" s="50">
        <f ca="1">+GETPIVOTDATA("XCB4",'cubi (2016)'!$A$3,"MA_HT","SKS","MA_QH","SON")</f>
        <v>0</v>
      </c>
      <c r="BC27" s="50">
        <f ca="1">+GETPIVOTDATA("XCB4",'cubi (2016)'!$A$3,"MA_HT","SKS","MA_QH","MNC")</f>
        <v>0</v>
      </c>
      <c r="BD27" s="22">
        <f ca="1">+GETPIVOTDATA("XCB4",'cubi (2016)'!$A$3,"MA_HT","SKS","MA_QH","PNK")</f>
        <v>0</v>
      </c>
      <c r="BE27" s="71">
        <f ca="1">+GETPIVOTDATA("XCB4",'cubi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+GETPIVOTDATA("XCB4",'cubi (2016)'!$A$3,"MA_HT","DGT","MA_QH","LUC")</f>
        <v>0</v>
      </c>
      <c r="H29" s="50">
        <f ca="1">+GETPIVOTDATA("XCB4",'cubi (2016)'!$A$3,"MA_HT","DGT","MA_QH","LUK")</f>
        <v>0</v>
      </c>
      <c r="I29" s="50">
        <f ca="1">+GETPIVOTDATA("XCB4",'cubi (2016)'!$A$3,"MA_HT","DGT","MA_QH","LUN")</f>
        <v>0</v>
      </c>
      <c r="J29" s="50">
        <f ca="1">+GETPIVOTDATA("XCB4",'cubi (2016)'!$A$3,"MA_HT","DGT","MA_QH","HNK")</f>
        <v>0</v>
      </c>
      <c r="K29" s="50">
        <f ca="1">+GETPIVOTDATA("XCB4",'cubi (2016)'!$A$3,"MA_HT","DGT","MA_QH","CLN")</f>
        <v>0</v>
      </c>
      <c r="L29" s="50">
        <f ca="1">+GETPIVOTDATA("XCB4",'cubi (2016)'!$A$3,"MA_HT","DGT","MA_QH","RSX")</f>
        <v>0</v>
      </c>
      <c r="M29" s="50">
        <f ca="1">+GETPIVOTDATA("XCB4",'cubi (2016)'!$A$3,"MA_HT","DGT","MA_QH","RPH")</f>
        <v>0</v>
      </c>
      <c r="N29" s="50">
        <f ca="1">+GETPIVOTDATA("XCB4",'cubi (2016)'!$A$3,"MA_HT","DGT","MA_QH","RDD")</f>
        <v>0</v>
      </c>
      <c r="O29" s="50">
        <f ca="1">+GETPIVOTDATA("XCB4",'cubi (2016)'!$A$3,"MA_HT","DGT","MA_QH","NTS")</f>
        <v>0</v>
      </c>
      <c r="P29" s="50">
        <f ca="1">+GETPIVOTDATA("XCB4",'cubi (2016)'!$A$3,"MA_HT","DGT","MA_QH","LMU")</f>
        <v>0</v>
      </c>
      <c r="Q29" s="50">
        <f ca="1">+GETPIVOTDATA("XCB4",'cubi (2016)'!$A$3,"MA_HT","DGT","MA_QH","NKH")</f>
        <v>0</v>
      </c>
      <c r="R29" s="48">
        <f ca="1">SUM(S29:AA29,AN29:BD29)</f>
        <v>0</v>
      </c>
      <c r="S29" s="50">
        <f ca="1">+GETPIVOTDATA("XCB4",'cubi (2016)'!$A$3,"MA_HT","DGT","MA_QH","CQP")</f>
        <v>0</v>
      </c>
      <c r="T29" s="50">
        <f ca="1">+GETPIVOTDATA("XCB4",'cubi (2016)'!$A$3,"MA_HT","DGT","MA_QH","CAN")</f>
        <v>0</v>
      </c>
      <c r="U29" s="50">
        <f ca="1">+GETPIVOTDATA("XCB4",'cubi (2016)'!$A$3,"MA_HT","DGT","MA_QH","SKK")</f>
        <v>0</v>
      </c>
      <c r="V29" s="50">
        <f ca="1">+GETPIVOTDATA("XCB4",'cubi (2016)'!$A$3,"MA_HT","DGT","MA_QH","SKT")</f>
        <v>0</v>
      </c>
      <c r="W29" s="50">
        <f ca="1">+GETPIVOTDATA("XCB4",'cubi (2016)'!$A$3,"MA_HT","DGT","MA_QH","SKN")</f>
        <v>0</v>
      </c>
      <c r="X29" s="50">
        <f ca="1">+GETPIVOTDATA("XCB4",'cubi (2016)'!$A$3,"MA_HT","DGT","MA_QH","TMD")</f>
        <v>0</v>
      </c>
      <c r="Y29" s="50">
        <f ca="1">+GETPIVOTDATA("XCB4",'cubi (2016)'!$A$3,"MA_HT","DGT","MA_QH","SKC")</f>
        <v>0</v>
      </c>
      <c r="Z29" s="50">
        <f ca="1">+GETPIVOTDATA("XCB4",'cubi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+GETPIVOTDATA("XCB4",'cubi (2016)'!$A$3,"MA_HT","DGT","MA_QH","DTL")</f>
        <v>0</v>
      </c>
      <c r="AD29" s="50">
        <f ca="1">+GETPIVOTDATA("XCB4",'cubi (2016)'!$A$3,"MA_HT","DGT","MA_QH","DNL")</f>
        <v>0</v>
      </c>
      <c r="AE29" s="50">
        <f ca="1">+GETPIVOTDATA("XCB4",'cubi (2016)'!$A$3,"MA_HT","DGT","MA_QH","DBV")</f>
        <v>0</v>
      </c>
      <c r="AF29" s="50">
        <f ca="1">+GETPIVOTDATA("XCB4",'cubi (2016)'!$A$3,"MA_HT","DGT","MA_QH","DVH")</f>
        <v>0</v>
      </c>
      <c r="AG29" s="50">
        <f ca="1">+GETPIVOTDATA("XCB4",'cubi (2016)'!$A$3,"MA_HT","DGT","MA_QH","DYT")</f>
        <v>0</v>
      </c>
      <c r="AH29" s="50">
        <f ca="1">+GETPIVOTDATA("XCB4",'cubi (2016)'!$A$3,"MA_HT","DGT","MA_QH","DGD")</f>
        <v>0</v>
      </c>
      <c r="AI29" s="50">
        <f ca="1">+GETPIVOTDATA("XCB4",'cubi (2016)'!$A$3,"MA_HT","DGT","MA_QH","DTT")</f>
        <v>0</v>
      </c>
      <c r="AJ29" s="50">
        <f ca="1">+GETPIVOTDATA("XCB4",'cubi (2016)'!$A$3,"MA_HT","DGT","MA_QH","NCK")</f>
        <v>0</v>
      </c>
      <c r="AK29" s="50">
        <f ca="1">+GETPIVOTDATA("XCB4",'cubi (2016)'!$A$3,"MA_HT","DGT","MA_QH","DXH")</f>
        <v>0</v>
      </c>
      <c r="AL29" s="50">
        <f ca="1">+GETPIVOTDATA("XCB4",'cubi (2016)'!$A$3,"MA_HT","DGT","MA_QH","DCH")</f>
        <v>0</v>
      </c>
      <c r="AM29" s="50">
        <f ca="1">+GETPIVOTDATA("XCB4",'cubi (2016)'!$A$3,"MA_HT","DGT","MA_QH","DKG")</f>
        <v>0</v>
      </c>
      <c r="AN29" s="50">
        <f ca="1">+GETPIVOTDATA("XCB4",'cubi (2016)'!$A$3,"MA_HT","DGT","MA_QH","DDT")</f>
        <v>0</v>
      </c>
      <c r="AO29" s="50">
        <f ca="1">+GETPIVOTDATA("XCB4",'cubi (2016)'!$A$3,"MA_HT","DGT","MA_QH","DDL")</f>
        <v>0</v>
      </c>
      <c r="AP29" s="50">
        <f ca="1">+GETPIVOTDATA("XCB4",'cubi (2016)'!$A$3,"MA_HT","DGT","MA_QH","DRA")</f>
        <v>0</v>
      </c>
      <c r="AQ29" s="50">
        <f ca="1">+GETPIVOTDATA("XCB4",'cubi (2016)'!$A$3,"MA_HT","DGT","MA_QH","ONT")</f>
        <v>0</v>
      </c>
      <c r="AR29" s="50">
        <f ca="1">+GETPIVOTDATA("XCB4",'cubi (2016)'!$A$3,"MA_HT","DGT","MA_QH","ODT")</f>
        <v>0</v>
      </c>
      <c r="AS29" s="50">
        <f ca="1">+GETPIVOTDATA("XCB4",'cubi (2016)'!$A$3,"MA_HT","DGT","MA_QH","TSC")</f>
        <v>0</v>
      </c>
      <c r="AT29" s="50">
        <f ca="1">+GETPIVOTDATA("XCB4",'cubi (2016)'!$A$3,"MA_HT","DGT","MA_QH","DTS")</f>
        <v>0</v>
      </c>
      <c r="AU29" s="50">
        <f ca="1">+GETPIVOTDATA("XCB4",'cubi (2016)'!$A$3,"MA_HT","DGT","MA_QH","DNG")</f>
        <v>0</v>
      </c>
      <c r="AV29" s="50">
        <f ca="1">+GETPIVOTDATA("XCB4",'cubi (2016)'!$A$3,"MA_HT","DGT","MA_QH","TON")</f>
        <v>0</v>
      </c>
      <c r="AW29" s="50">
        <f ca="1">+GETPIVOTDATA("XCB4",'cubi (2016)'!$A$3,"MA_HT","DGT","MA_QH","NTD")</f>
        <v>0</v>
      </c>
      <c r="AX29" s="50">
        <f ca="1">+GETPIVOTDATA("XCB4",'cubi (2016)'!$A$3,"MA_HT","DGT","MA_QH","SKX")</f>
        <v>0</v>
      </c>
      <c r="AY29" s="50">
        <f ca="1">+GETPIVOTDATA("XCB4",'cubi (2016)'!$A$3,"MA_HT","DGT","MA_QH","DSH")</f>
        <v>0</v>
      </c>
      <c r="AZ29" s="50">
        <f ca="1">+GETPIVOTDATA("XCB4",'cubi (2016)'!$A$3,"MA_HT","DGT","MA_QH","DKV")</f>
        <v>0</v>
      </c>
      <c r="BA29" s="88">
        <f ca="1">+GETPIVOTDATA("XCB4",'cubi (2016)'!$A$3,"MA_HT","DGT","MA_QH","TIN")</f>
        <v>0</v>
      </c>
      <c r="BB29" s="50">
        <f ca="1">+GETPIVOTDATA("XCB4",'cubi (2016)'!$A$3,"MA_HT","DGT","MA_QH","SON")</f>
        <v>0</v>
      </c>
      <c r="BC29" s="50">
        <f ca="1">+GETPIVOTDATA("XCB4",'cubi (2016)'!$A$3,"MA_HT","DGT","MA_QH","MNC")</f>
        <v>0</v>
      </c>
      <c r="BD29" s="50">
        <f ca="1">+GETPIVOTDATA("XCB4",'cubi (2016)'!$A$3,"MA_HT","DGT","MA_QH","PNK")</f>
        <v>0</v>
      </c>
      <c r="BE29" s="80">
        <f ca="1">+GETPIVOTDATA("XCB4",'cubi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+GETPIVOTDATA("XCB4",'cubi (2016)'!$A$3,"MA_HT","DTL","MA_QH","LUC")</f>
        <v>0</v>
      </c>
      <c r="H30" s="50">
        <f ca="1">+GETPIVOTDATA("XCB4",'cubi (2016)'!$A$3,"MA_HT","DTL","MA_QH","LUK")</f>
        <v>0</v>
      </c>
      <c r="I30" s="50">
        <f ca="1">+GETPIVOTDATA("XCB4",'cubi (2016)'!$A$3,"MA_HT","DTL","MA_QH","LUN")</f>
        <v>0</v>
      </c>
      <c r="J30" s="50">
        <f ca="1">+GETPIVOTDATA("XCB4",'cubi (2016)'!$A$3,"MA_HT","DTL","MA_QH","HNK")</f>
        <v>0</v>
      </c>
      <c r="K30" s="50">
        <f ca="1">+GETPIVOTDATA("XCB4",'cubi (2016)'!$A$3,"MA_HT","DTL","MA_QH","CLN")</f>
        <v>0</v>
      </c>
      <c r="L30" s="50">
        <f ca="1">+GETPIVOTDATA("XCB4",'cubi (2016)'!$A$3,"MA_HT","DTL","MA_QH","RSX")</f>
        <v>0</v>
      </c>
      <c r="M30" s="50">
        <f ca="1">+GETPIVOTDATA("XCB4",'cubi (2016)'!$A$3,"MA_HT","DTL","MA_QH","RPH")</f>
        <v>0</v>
      </c>
      <c r="N30" s="50">
        <f ca="1">+GETPIVOTDATA("XCB4",'cubi (2016)'!$A$3,"MA_HT","DTL","MA_QH","RDD")</f>
        <v>0</v>
      </c>
      <c r="O30" s="50">
        <f ca="1">+GETPIVOTDATA("XCB4",'cubi (2016)'!$A$3,"MA_HT","DTL","MA_QH","NTS")</f>
        <v>0</v>
      </c>
      <c r="P30" s="50">
        <f ca="1">+GETPIVOTDATA("XCB4",'cubi (2016)'!$A$3,"MA_HT","DTL","MA_QH","LMU")</f>
        <v>0</v>
      </c>
      <c r="Q30" s="50">
        <f ca="1">+GETPIVOTDATA("XCB4",'cubi (2016)'!$A$3,"MA_HT","DTL","MA_QH","NKH")</f>
        <v>0</v>
      </c>
      <c r="R30" s="48">
        <f ca="1" t="shared" ref="R30:R40" si="20">SUM(S30:AA30,AN30:BD30)</f>
        <v>0</v>
      </c>
      <c r="S30" s="50">
        <f ca="1">+GETPIVOTDATA("XCB4",'cubi (2016)'!$A$3,"MA_HT","DTL","MA_QH","CQP")</f>
        <v>0</v>
      </c>
      <c r="T30" s="50">
        <f ca="1">+GETPIVOTDATA("XCB4",'cubi (2016)'!$A$3,"MA_HT","DTL","MA_QH","CAN")</f>
        <v>0</v>
      </c>
      <c r="U30" s="50">
        <f ca="1">+GETPIVOTDATA("XCB4",'cubi (2016)'!$A$3,"MA_HT","DTL","MA_QH","SKK")</f>
        <v>0</v>
      </c>
      <c r="V30" s="50">
        <f ca="1">+GETPIVOTDATA("XCB4",'cubi (2016)'!$A$3,"MA_HT","DTL","MA_QH","SKT")</f>
        <v>0</v>
      </c>
      <c r="W30" s="50">
        <f ca="1">+GETPIVOTDATA("XCB4",'cubi (2016)'!$A$3,"MA_HT","DTL","MA_QH","SKN")</f>
        <v>0</v>
      </c>
      <c r="X30" s="50">
        <f ca="1">+GETPIVOTDATA("XCB4",'cubi (2016)'!$A$3,"MA_HT","DTL","MA_QH","TMD")</f>
        <v>0</v>
      </c>
      <c r="Y30" s="50">
        <f ca="1">+GETPIVOTDATA("XCB4",'cubi (2016)'!$A$3,"MA_HT","DTL","MA_QH","SKC")</f>
        <v>0</v>
      </c>
      <c r="Z30" s="50">
        <f ca="1">+GETPIVOTDATA("XCB4",'cubi (2016)'!$A$3,"MA_HT","DTL","MA_QH","SKS")</f>
        <v>0</v>
      </c>
      <c r="AA30" s="52">
        <f ca="1">+SUM(AB30,AD30:AM30)</f>
        <v>0</v>
      </c>
      <c r="AB30" s="50">
        <f ca="1">+GETPIVOTDATA("XCB4",'cubi (2016)'!$A$3,"MA_HT","DTL","MA_QH","DGT")</f>
        <v>0</v>
      </c>
      <c r="AC30" s="49" t="e">
        <f ca="1">$D30-$BF30</f>
        <v>#REF!</v>
      </c>
      <c r="AD30" s="50">
        <f ca="1">+GETPIVOTDATA("XCB4",'cubi (2016)'!$A$3,"MA_HT","DTL","MA_QH","DNL")</f>
        <v>0</v>
      </c>
      <c r="AE30" s="50">
        <f ca="1">+GETPIVOTDATA("XCB4",'cubi (2016)'!$A$3,"MA_HT","DTL","MA_QH","DBV")</f>
        <v>0</v>
      </c>
      <c r="AF30" s="50">
        <f ca="1">+GETPIVOTDATA("XCB4",'cubi (2016)'!$A$3,"MA_HT","DTL","MA_QH","DVH")</f>
        <v>0</v>
      </c>
      <c r="AG30" s="50">
        <f ca="1">+GETPIVOTDATA("XCB4",'cubi (2016)'!$A$3,"MA_HT","DTL","MA_QH","DYT")</f>
        <v>0</v>
      </c>
      <c r="AH30" s="50">
        <f ca="1">+GETPIVOTDATA("XCB4",'cubi (2016)'!$A$3,"MA_HT","DTL","MA_QH","DGD")</f>
        <v>0</v>
      </c>
      <c r="AI30" s="50">
        <f ca="1">+GETPIVOTDATA("XCB4",'cubi (2016)'!$A$3,"MA_HT","DTL","MA_QH","DTT")</f>
        <v>0</v>
      </c>
      <c r="AJ30" s="50">
        <f ca="1">+GETPIVOTDATA("XCB4",'cubi (2016)'!$A$3,"MA_HT","DTL","MA_QH","NCK")</f>
        <v>0</v>
      </c>
      <c r="AK30" s="50">
        <f ca="1">+GETPIVOTDATA("XCB4",'cubi (2016)'!$A$3,"MA_HT","DTL","MA_QH","DXH")</f>
        <v>0</v>
      </c>
      <c r="AL30" s="50">
        <f ca="1">+GETPIVOTDATA("XCB4",'cubi (2016)'!$A$3,"MA_HT","DTL","MA_QH","DCH")</f>
        <v>0</v>
      </c>
      <c r="AM30" s="50">
        <f ca="1">+GETPIVOTDATA("XCB4",'cubi (2016)'!$A$3,"MA_HT","DTL","MA_QH","DKG")</f>
        <v>0</v>
      </c>
      <c r="AN30" s="50">
        <f ca="1">+GETPIVOTDATA("XCB4",'cubi (2016)'!$A$3,"MA_HT","DTL","MA_QH","DDT")</f>
        <v>0</v>
      </c>
      <c r="AO30" s="50">
        <f ca="1">+GETPIVOTDATA("XCB4",'cubi (2016)'!$A$3,"MA_HT","DTL","MA_QH","DDL")</f>
        <v>0</v>
      </c>
      <c r="AP30" s="50">
        <f ca="1">+GETPIVOTDATA("XCB4",'cubi (2016)'!$A$3,"MA_HT","DTL","MA_QH","DRA")</f>
        <v>0</v>
      </c>
      <c r="AQ30" s="50">
        <f ca="1">+GETPIVOTDATA("XCB4",'cubi (2016)'!$A$3,"MA_HT","DTL","MA_QH","ONT")</f>
        <v>0</v>
      </c>
      <c r="AR30" s="50">
        <f ca="1">+GETPIVOTDATA("XCB4",'cubi (2016)'!$A$3,"MA_HT","DTL","MA_QH","ODT")</f>
        <v>0</v>
      </c>
      <c r="AS30" s="50">
        <f ca="1">+GETPIVOTDATA("XCB4",'cubi (2016)'!$A$3,"MA_HT","DTL","MA_QH","TSC")</f>
        <v>0</v>
      </c>
      <c r="AT30" s="50">
        <f ca="1">+GETPIVOTDATA("XCB4",'cubi (2016)'!$A$3,"MA_HT","DTL","MA_QH","DTS")</f>
        <v>0</v>
      </c>
      <c r="AU30" s="50">
        <f ca="1">+GETPIVOTDATA("XCB4",'cubi (2016)'!$A$3,"MA_HT","DTL","MA_QH","DNG")</f>
        <v>0</v>
      </c>
      <c r="AV30" s="50">
        <f ca="1">+GETPIVOTDATA("XCB4",'cubi (2016)'!$A$3,"MA_HT","DTL","MA_QH","TON")</f>
        <v>0</v>
      </c>
      <c r="AW30" s="50">
        <f ca="1">+GETPIVOTDATA("XCB4",'cubi (2016)'!$A$3,"MA_HT","DTL","MA_QH","NTD")</f>
        <v>0</v>
      </c>
      <c r="AX30" s="50">
        <f ca="1">+GETPIVOTDATA("XCB4",'cubi (2016)'!$A$3,"MA_HT","DTL","MA_QH","SKX")</f>
        <v>0</v>
      </c>
      <c r="AY30" s="50">
        <f ca="1">+GETPIVOTDATA("XCB4",'cubi (2016)'!$A$3,"MA_HT","DTL","MA_QH","DSH")</f>
        <v>0</v>
      </c>
      <c r="AZ30" s="50">
        <f ca="1">+GETPIVOTDATA("XCB4",'cubi (2016)'!$A$3,"MA_HT","DTL","MA_QH","DKV")</f>
        <v>0</v>
      </c>
      <c r="BA30" s="88">
        <f ca="1">+GETPIVOTDATA("XCB4",'cubi (2016)'!$A$3,"MA_HT","DTL","MA_QH","TIN")</f>
        <v>0</v>
      </c>
      <c r="BB30" s="50">
        <f ca="1">+GETPIVOTDATA("XCB4",'cubi (2016)'!$A$3,"MA_HT","DTL","MA_QH","SON")</f>
        <v>0</v>
      </c>
      <c r="BC30" s="50">
        <f ca="1">+GETPIVOTDATA("XCB4",'cubi (2016)'!$A$3,"MA_HT","DTL","MA_QH","MNC")</f>
        <v>0</v>
      </c>
      <c r="BD30" s="50">
        <f ca="1">+GETPIVOTDATA("XCB4",'cubi (2016)'!$A$3,"MA_HT","DTL","MA_QH","PNK")</f>
        <v>0</v>
      </c>
      <c r="BE30" s="80">
        <f ca="1">+GETPIVOTDATA("XCB4",'cubi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+GETPIVOTDATA("XCB4",'cubi (2016)'!$A$3,"MA_HT","DNL","MA_QH","LUC")</f>
        <v>0</v>
      </c>
      <c r="H31" s="50">
        <f ca="1">+GETPIVOTDATA("XCB4",'cubi (2016)'!$A$3,"MA_HT","DNL","MA_QH","LUK")</f>
        <v>0</v>
      </c>
      <c r="I31" s="50">
        <f ca="1">+GETPIVOTDATA("XCB4",'cubi (2016)'!$A$3,"MA_HT","DNL","MA_QH","LUN")</f>
        <v>0</v>
      </c>
      <c r="J31" s="50">
        <f ca="1">+GETPIVOTDATA("XCB4",'cubi (2016)'!$A$3,"MA_HT","DNL","MA_QH","HNK")</f>
        <v>0</v>
      </c>
      <c r="K31" s="50">
        <f ca="1">+GETPIVOTDATA("XCB4",'cubi (2016)'!$A$3,"MA_HT","DNL","MA_QH","CLN")</f>
        <v>0</v>
      </c>
      <c r="L31" s="50">
        <f ca="1">+GETPIVOTDATA("XCB4",'cubi (2016)'!$A$3,"MA_HT","DNL","MA_QH","RSX")</f>
        <v>0</v>
      </c>
      <c r="M31" s="50">
        <f ca="1">+GETPIVOTDATA("XCB4",'cubi (2016)'!$A$3,"MA_HT","DNL","MA_QH","RPH")</f>
        <v>0</v>
      </c>
      <c r="N31" s="50">
        <f ca="1">+GETPIVOTDATA("XCB4",'cubi (2016)'!$A$3,"MA_HT","DNL","MA_QH","RDD")</f>
        <v>0</v>
      </c>
      <c r="O31" s="50">
        <f ca="1">+GETPIVOTDATA("XCB4",'cubi (2016)'!$A$3,"MA_HT","DNL","MA_QH","NTS")</f>
        <v>0</v>
      </c>
      <c r="P31" s="50">
        <f ca="1">+GETPIVOTDATA("XCB4",'cubi (2016)'!$A$3,"MA_HT","DNL","MA_QH","LMU")</f>
        <v>0</v>
      </c>
      <c r="Q31" s="50">
        <f ca="1">+GETPIVOTDATA("XCB4",'cubi (2016)'!$A$3,"MA_HT","DNL","MA_QH","NKH")</f>
        <v>0</v>
      </c>
      <c r="R31" s="48">
        <f ca="1" t="shared" si="20"/>
        <v>0</v>
      </c>
      <c r="S31" s="50">
        <f ca="1">+GETPIVOTDATA("XCB4",'cubi (2016)'!$A$3,"MA_HT","DNL","MA_QH","CQP")</f>
        <v>0</v>
      </c>
      <c r="T31" s="50">
        <f ca="1">+GETPIVOTDATA("XCB4",'cubi (2016)'!$A$3,"MA_HT","DNL","MA_QH","CAN")</f>
        <v>0</v>
      </c>
      <c r="U31" s="50">
        <f ca="1">+GETPIVOTDATA("XCB4",'cubi (2016)'!$A$3,"MA_HT","DNL","MA_QH","SKK")</f>
        <v>0</v>
      </c>
      <c r="V31" s="50">
        <f ca="1">+GETPIVOTDATA("XCB4",'cubi (2016)'!$A$3,"MA_HT","DNL","MA_QH","SKT")</f>
        <v>0</v>
      </c>
      <c r="W31" s="50">
        <f ca="1">+GETPIVOTDATA("XCB4",'cubi (2016)'!$A$3,"MA_HT","DNL","MA_QH","SKN")</f>
        <v>0</v>
      </c>
      <c r="X31" s="50">
        <f ca="1">+GETPIVOTDATA("XCB4",'cubi (2016)'!$A$3,"MA_HT","DNL","MA_QH","TMD")</f>
        <v>0</v>
      </c>
      <c r="Y31" s="50">
        <f ca="1">+GETPIVOTDATA("XCB4",'cubi (2016)'!$A$3,"MA_HT","DNL","MA_QH","SKC")</f>
        <v>0</v>
      </c>
      <c r="Z31" s="50">
        <f ca="1">+GETPIVOTDATA("XCB4",'cubi (2016)'!$A$3,"MA_HT","DNL","MA_QH","SKS")</f>
        <v>0</v>
      </c>
      <c r="AA31" s="52">
        <f ca="1">+SUM(AB31:AC31,AE31:AM31)</f>
        <v>0</v>
      </c>
      <c r="AB31" s="50">
        <f ca="1">+GETPIVOTDATA("XCB4",'cubi (2016)'!$A$3,"MA_HT","DNL","MA_QH","DGT")</f>
        <v>0</v>
      </c>
      <c r="AC31" s="50">
        <f ca="1">+GETPIVOTDATA("XCB4",'cubi (2016)'!$A$3,"MA_HT","DNL","MA_QH","DTL")</f>
        <v>0</v>
      </c>
      <c r="AD31" s="49" t="e">
        <f ca="1">$D31-$BF31</f>
        <v>#REF!</v>
      </c>
      <c r="AE31" s="50">
        <f ca="1">+GETPIVOTDATA("XCB4",'cubi (2016)'!$A$3,"MA_HT","DNL","MA_QH","DBV")</f>
        <v>0</v>
      </c>
      <c r="AF31" s="50">
        <f ca="1">+GETPIVOTDATA("XCB4",'cubi (2016)'!$A$3,"MA_HT","DNL","MA_QH","DVH")</f>
        <v>0</v>
      </c>
      <c r="AG31" s="50">
        <f ca="1">+GETPIVOTDATA("XCB4",'cubi (2016)'!$A$3,"MA_HT","DNL","MA_QH","DYT")</f>
        <v>0</v>
      </c>
      <c r="AH31" s="50">
        <f ca="1">+GETPIVOTDATA("XCB4",'cubi (2016)'!$A$3,"MA_HT","DNL","MA_QH","DGD")</f>
        <v>0</v>
      </c>
      <c r="AI31" s="50">
        <f ca="1">+GETPIVOTDATA("XCB4",'cubi (2016)'!$A$3,"MA_HT","DNL","MA_QH","DTT")</f>
        <v>0</v>
      </c>
      <c r="AJ31" s="50">
        <f ca="1">+GETPIVOTDATA("XCB4",'cubi (2016)'!$A$3,"MA_HT","DNL","MA_QH","NCK")</f>
        <v>0</v>
      </c>
      <c r="AK31" s="50">
        <f ca="1">+GETPIVOTDATA("XCB4",'cubi (2016)'!$A$3,"MA_HT","DNL","MA_QH","DXH")</f>
        <v>0</v>
      </c>
      <c r="AL31" s="50">
        <f ca="1">+GETPIVOTDATA("XCB4",'cubi (2016)'!$A$3,"MA_HT","DNL","MA_QH","DCH")</f>
        <v>0</v>
      </c>
      <c r="AM31" s="50">
        <f ca="1">+GETPIVOTDATA("XCB4",'cubi (2016)'!$A$3,"MA_HT","DNL","MA_QH","DKG")</f>
        <v>0</v>
      </c>
      <c r="AN31" s="50">
        <f ca="1">+GETPIVOTDATA("XCB4",'cubi (2016)'!$A$3,"MA_HT","DNL","MA_QH","DDT")</f>
        <v>0</v>
      </c>
      <c r="AO31" s="50">
        <f ca="1">+GETPIVOTDATA("XCB4",'cubi (2016)'!$A$3,"MA_HT","DNL","MA_QH","DDL")</f>
        <v>0</v>
      </c>
      <c r="AP31" s="50">
        <f ca="1">+GETPIVOTDATA("XCB4",'cubi (2016)'!$A$3,"MA_HT","DNL","MA_QH","DRA")</f>
        <v>0</v>
      </c>
      <c r="AQ31" s="50">
        <f ca="1">+GETPIVOTDATA("XCB4",'cubi (2016)'!$A$3,"MA_HT","DNL","MA_QH","ONT")</f>
        <v>0</v>
      </c>
      <c r="AR31" s="50">
        <f ca="1">+GETPIVOTDATA("XCB4",'cubi (2016)'!$A$3,"MA_HT","DNL","MA_QH","ODT")</f>
        <v>0</v>
      </c>
      <c r="AS31" s="50">
        <f ca="1">+GETPIVOTDATA("XCB4",'cubi (2016)'!$A$3,"MA_HT","DNL","MA_QH","TSC")</f>
        <v>0</v>
      </c>
      <c r="AT31" s="50">
        <f ca="1">+GETPIVOTDATA("XCB4",'cubi (2016)'!$A$3,"MA_HT","DNL","MA_QH","DTS")</f>
        <v>0</v>
      </c>
      <c r="AU31" s="50">
        <f ca="1">+GETPIVOTDATA("XCB4",'cubi (2016)'!$A$3,"MA_HT","DNL","MA_QH","DNG")</f>
        <v>0</v>
      </c>
      <c r="AV31" s="50">
        <f ca="1">+GETPIVOTDATA("XCB4",'cubi (2016)'!$A$3,"MA_HT","DNL","MA_QH","TON")</f>
        <v>0</v>
      </c>
      <c r="AW31" s="50">
        <f ca="1">+GETPIVOTDATA("XCB4",'cubi (2016)'!$A$3,"MA_HT","DNL","MA_QH","NTD")</f>
        <v>0</v>
      </c>
      <c r="AX31" s="50">
        <f ca="1">+GETPIVOTDATA("XCB4",'cubi (2016)'!$A$3,"MA_HT","DNL","MA_QH","SKX")</f>
        <v>0</v>
      </c>
      <c r="AY31" s="50">
        <f ca="1">+GETPIVOTDATA("XCB4",'cubi (2016)'!$A$3,"MA_HT","DNL","MA_QH","DSH")</f>
        <v>0</v>
      </c>
      <c r="AZ31" s="50">
        <f ca="1">+GETPIVOTDATA("XCB4",'cubi (2016)'!$A$3,"MA_HT","DNL","MA_QH","DKV")</f>
        <v>0</v>
      </c>
      <c r="BA31" s="88">
        <f ca="1">+GETPIVOTDATA("XCB4",'cubi (2016)'!$A$3,"MA_HT","DNL","MA_QH","TIN")</f>
        <v>0</v>
      </c>
      <c r="BB31" s="50">
        <f ca="1">+GETPIVOTDATA("XCB4",'cubi (2016)'!$A$3,"MA_HT","DNL","MA_QH","SON")</f>
        <v>0</v>
      </c>
      <c r="BC31" s="50">
        <f ca="1">+GETPIVOTDATA("XCB4",'cubi (2016)'!$A$3,"MA_HT","DNL","MA_QH","MNC")</f>
        <v>0</v>
      </c>
      <c r="BD31" s="50">
        <f ca="1">+GETPIVOTDATA("XCB4",'cubi (2016)'!$A$3,"MA_HT","DNL","MA_QH","PNK")</f>
        <v>0</v>
      </c>
      <c r="BE31" s="80">
        <f ca="1">+GETPIVOTDATA("XCB4",'cubi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+GETPIVOTDATA("XCB4",'cubi (2016)'!$A$3,"MA_HT","DBV","MA_QH","LUC")</f>
        <v>0</v>
      </c>
      <c r="H32" s="50">
        <f ca="1">+GETPIVOTDATA("XCB4",'cubi (2016)'!$A$3,"MA_HT","DBV","MA_QH","LUK")</f>
        <v>0</v>
      </c>
      <c r="I32" s="50">
        <f ca="1">+GETPIVOTDATA("XCB4",'cubi (2016)'!$A$3,"MA_HT","DBV","MA_QH","LUN")</f>
        <v>0</v>
      </c>
      <c r="J32" s="50">
        <f ca="1">+GETPIVOTDATA("XCB4",'cubi (2016)'!$A$3,"MA_HT","DBV","MA_QH","HNK")</f>
        <v>0</v>
      </c>
      <c r="K32" s="50">
        <f ca="1">+GETPIVOTDATA("XCB4",'cubi (2016)'!$A$3,"MA_HT","DBV","MA_QH","CLN")</f>
        <v>0</v>
      </c>
      <c r="L32" s="50">
        <f ca="1">+GETPIVOTDATA("XCB4",'cubi (2016)'!$A$3,"MA_HT","DBV","MA_QH","RSX")</f>
        <v>0</v>
      </c>
      <c r="M32" s="50">
        <f ca="1">+GETPIVOTDATA("XCB4",'cubi (2016)'!$A$3,"MA_HT","DBV","MA_QH","RPH")</f>
        <v>0</v>
      </c>
      <c r="N32" s="50">
        <f ca="1">+GETPIVOTDATA("XCB4",'cubi (2016)'!$A$3,"MA_HT","DBV","MA_QH","RDD")</f>
        <v>0</v>
      </c>
      <c r="O32" s="50">
        <f ca="1">+GETPIVOTDATA("XCB4",'cubi (2016)'!$A$3,"MA_HT","DBV","MA_QH","NTS")</f>
        <v>0</v>
      </c>
      <c r="P32" s="50">
        <f ca="1">+GETPIVOTDATA("XCB4",'cubi (2016)'!$A$3,"MA_HT","DBV","MA_QH","LMU")</f>
        <v>0</v>
      </c>
      <c r="Q32" s="50">
        <f ca="1">+GETPIVOTDATA("XCB4",'cubi (2016)'!$A$3,"MA_HT","DBV","MA_QH","NKH")</f>
        <v>0</v>
      </c>
      <c r="R32" s="48">
        <f ca="1" t="shared" si="20"/>
        <v>0</v>
      </c>
      <c r="S32" s="50">
        <f ca="1">+GETPIVOTDATA("XCB4",'cubi (2016)'!$A$3,"MA_HT","DBV","MA_QH","CQP")</f>
        <v>0</v>
      </c>
      <c r="T32" s="50">
        <f ca="1">+GETPIVOTDATA("XCB4",'cubi (2016)'!$A$3,"MA_HT","DBV","MA_QH","CAN")</f>
        <v>0</v>
      </c>
      <c r="U32" s="50">
        <f ca="1">+GETPIVOTDATA("XCB4",'cubi (2016)'!$A$3,"MA_HT","DBV","MA_QH","SKK")</f>
        <v>0</v>
      </c>
      <c r="V32" s="50">
        <f ca="1">+GETPIVOTDATA("XCB4",'cubi (2016)'!$A$3,"MA_HT","DBV","MA_QH","SKT")</f>
        <v>0</v>
      </c>
      <c r="W32" s="50">
        <f ca="1">+GETPIVOTDATA("XCB4",'cubi (2016)'!$A$3,"MA_HT","DBV","MA_QH","SKN")</f>
        <v>0</v>
      </c>
      <c r="X32" s="50">
        <f ca="1">+GETPIVOTDATA("XCB4",'cubi (2016)'!$A$3,"MA_HT","DBV","MA_QH","TMD")</f>
        <v>0</v>
      </c>
      <c r="Y32" s="50">
        <f ca="1">+GETPIVOTDATA("XCB4",'cubi (2016)'!$A$3,"MA_HT","DBV","MA_QH","SKC")</f>
        <v>0</v>
      </c>
      <c r="Z32" s="50">
        <f ca="1">+GETPIVOTDATA("XCB4",'cubi (2016)'!$A$3,"MA_HT","DBV","MA_QH","SKS")</f>
        <v>0</v>
      </c>
      <c r="AA32" s="52">
        <f ca="1">+SUM(AB32:AD32,AF32:AM32)</f>
        <v>0</v>
      </c>
      <c r="AB32" s="50">
        <f ca="1">+GETPIVOTDATA("XCB4",'cubi (2016)'!$A$3,"MA_HT","DBV","MA_QH","DGT")</f>
        <v>0</v>
      </c>
      <c r="AC32" s="50">
        <f ca="1">+GETPIVOTDATA("XCB4",'cubi (2016)'!$A$3,"MA_HT","DBV","MA_QH","DTL")</f>
        <v>0</v>
      </c>
      <c r="AD32" s="50">
        <f ca="1">+GETPIVOTDATA("XCB4",'cubi (2016)'!$A$3,"MA_HT","DBV","MA_QH","DNL")</f>
        <v>0</v>
      </c>
      <c r="AE32" s="49" t="e">
        <f ca="1">$D32-$BF32</f>
        <v>#REF!</v>
      </c>
      <c r="AF32" s="50">
        <f ca="1">+GETPIVOTDATA("XCB4",'cubi (2016)'!$A$3,"MA_HT","DBV","MA_QH","DVH")</f>
        <v>0</v>
      </c>
      <c r="AG32" s="50">
        <f ca="1">+GETPIVOTDATA("XCB4",'cubi (2016)'!$A$3,"MA_HT","DBV","MA_QH","DYT")</f>
        <v>0</v>
      </c>
      <c r="AH32" s="50">
        <f ca="1">+GETPIVOTDATA("XCB4",'cubi (2016)'!$A$3,"MA_HT","DBV","MA_QH","DGD")</f>
        <v>0</v>
      </c>
      <c r="AI32" s="50">
        <f ca="1">+GETPIVOTDATA("XCB4",'cubi (2016)'!$A$3,"MA_HT","DBV","MA_QH","DTT")</f>
        <v>0</v>
      </c>
      <c r="AJ32" s="50">
        <f ca="1">+GETPIVOTDATA("XCB4",'cubi (2016)'!$A$3,"MA_HT","DBV","MA_QH","NCK")</f>
        <v>0</v>
      </c>
      <c r="AK32" s="50">
        <f ca="1">+GETPIVOTDATA("XCB4",'cubi (2016)'!$A$3,"MA_HT","DBV","MA_QH","DXH")</f>
        <v>0</v>
      </c>
      <c r="AL32" s="50">
        <f ca="1">+GETPIVOTDATA("XCB4",'cubi (2016)'!$A$3,"MA_HT","DBV","MA_QH","DCH")</f>
        <v>0</v>
      </c>
      <c r="AM32" s="50">
        <f ca="1">+GETPIVOTDATA("XCB4",'cubi (2016)'!$A$3,"MA_HT","DBV","MA_QH","DKG")</f>
        <v>0</v>
      </c>
      <c r="AN32" s="50">
        <f ca="1">+GETPIVOTDATA("XCB4",'cubi (2016)'!$A$3,"MA_HT","DBV","MA_QH","DDT")</f>
        <v>0</v>
      </c>
      <c r="AO32" s="50">
        <f ca="1">+GETPIVOTDATA("XCB4",'cubi (2016)'!$A$3,"MA_HT","DBV","MA_QH","DDL")</f>
        <v>0</v>
      </c>
      <c r="AP32" s="50">
        <f ca="1">+GETPIVOTDATA("XCB4",'cubi (2016)'!$A$3,"MA_HT","DBV","MA_QH","DRA")</f>
        <v>0</v>
      </c>
      <c r="AQ32" s="50">
        <f ca="1">+GETPIVOTDATA("XCB4",'cubi (2016)'!$A$3,"MA_HT","DBV","MA_QH","ONT")</f>
        <v>0</v>
      </c>
      <c r="AR32" s="50">
        <f ca="1">+GETPIVOTDATA("XCB4",'cubi (2016)'!$A$3,"MA_HT","DBV","MA_QH","ODT")</f>
        <v>0</v>
      </c>
      <c r="AS32" s="50">
        <f ca="1">+GETPIVOTDATA("XCB4",'cubi (2016)'!$A$3,"MA_HT","DBV","MA_QH","TSC")</f>
        <v>0</v>
      </c>
      <c r="AT32" s="50">
        <f ca="1">+GETPIVOTDATA("XCB4",'cubi (2016)'!$A$3,"MA_HT","DBV","MA_QH","DTS")</f>
        <v>0</v>
      </c>
      <c r="AU32" s="50">
        <f ca="1">+GETPIVOTDATA("XCB4",'cubi (2016)'!$A$3,"MA_HT","DBV","MA_QH","DNG")</f>
        <v>0</v>
      </c>
      <c r="AV32" s="50">
        <f ca="1">+GETPIVOTDATA("XCB4",'cubi (2016)'!$A$3,"MA_HT","DBV","MA_QH","TON")</f>
        <v>0</v>
      </c>
      <c r="AW32" s="50">
        <f ca="1">+GETPIVOTDATA("XCB4",'cubi (2016)'!$A$3,"MA_HT","DBV","MA_QH","NTD")</f>
        <v>0</v>
      </c>
      <c r="AX32" s="50">
        <f ca="1">+GETPIVOTDATA("XCB4",'cubi (2016)'!$A$3,"MA_HT","DBV","MA_QH","SKX")</f>
        <v>0</v>
      </c>
      <c r="AY32" s="50">
        <f ca="1">+GETPIVOTDATA("XCB4",'cubi (2016)'!$A$3,"MA_HT","DBV","MA_QH","DSH")</f>
        <v>0</v>
      </c>
      <c r="AZ32" s="50">
        <f ca="1">+GETPIVOTDATA("XCB4",'cubi (2016)'!$A$3,"MA_HT","DBV","MA_QH","DKV")</f>
        <v>0</v>
      </c>
      <c r="BA32" s="88">
        <f ca="1">+GETPIVOTDATA("XCB4",'cubi (2016)'!$A$3,"MA_HT","DBV","MA_QH","TIN")</f>
        <v>0</v>
      </c>
      <c r="BB32" s="50">
        <f ca="1">+GETPIVOTDATA("XCB4",'cubi (2016)'!$A$3,"MA_HT","DBV","MA_QH","SON")</f>
        <v>0</v>
      </c>
      <c r="BC32" s="50">
        <f ca="1">+GETPIVOTDATA("XCB4",'cubi (2016)'!$A$3,"MA_HT","DBV","MA_QH","MNC")</f>
        <v>0</v>
      </c>
      <c r="BD32" s="50">
        <f ca="1">+GETPIVOTDATA("XCB4",'cubi (2016)'!$A$3,"MA_HT","DBV","MA_QH","PNK")</f>
        <v>0</v>
      </c>
      <c r="BE32" s="80">
        <f ca="1">+GETPIVOTDATA("XCB4",'cubi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+GETPIVOTDATA("XCB4",'cubi (2016)'!$A$3,"MA_HT","DVH","MA_QH","LUC")</f>
        <v>0</v>
      </c>
      <c r="H33" s="50">
        <f ca="1">+GETPIVOTDATA("XCB4",'cubi (2016)'!$A$3,"MA_HT","DVH","MA_QH","LUK")</f>
        <v>0</v>
      </c>
      <c r="I33" s="50">
        <f ca="1">+GETPIVOTDATA("XCB4",'cubi (2016)'!$A$3,"MA_HT","DVH","MA_QH","LUN")</f>
        <v>0</v>
      </c>
      <c r="J33" s="50">
        <f ca="1">+GETPIVOTDATA("XCB4",'cubi (2016)'!$A$3,"MA_HT","DVH","MA_QH","HNK")</f>
        <v>0</v>
      </c>
      <c r="K33" s="50">
        <f ca="1">+GETPIVOTDATA("XCB4",'cubi (2016)'!$A$3,"MA_HT","DVH","MA_QH","CLN")</f>
        <v>0</v>
      </c>
      <c r="L33" s="50">
        <f ca="1">+GETPIVOTDATA("XCB4",'cubi (2016)'!$A$3,"MA_HT","DVH","MA_QH","RSX")</f>
        <v>0</v>
      </c>
      <c r="M33" s="50">
        <f ca="1">+GETPIVOTDATA("XCB4",'cubi (2016)'!$A$3,"MA_HT","DVH","MA_QH","RPH")</f>
        <v>0</v>
      </c>
      <c r="N33" s="50">
        <f ca="1">+GETPIVOTDATA("XCB4",'cubi (2016)'!$A$3,"MA_HT","DVH","MA_QH","RDD")</f>
        <v>0</v>
      </c>
      <c r="O33" s="50">
        <f ca="1">+GETPIVOTDATA("XCB4",'cubi (2016)'!$A$3,"MA_HT","DVH","MA_QH","NTS")</f>
        <v>0</v>
      </c>
      <c r="P33" s="50">
        <f ca="1">+GETPIVOTDATA("XCB4",'cubi (2016)'!$A$3,"MA_HT","DVH","MA_QH","LMU")</f>
        <v>0</v>
      </c>
      <c r="Q33" s="50">
        <f ca="1">+GETPIVOTDATA("XCB4",'cubi (2016)'!$A$3,"MA_HT","DVH","MA_QH","NKH")</f>
        <v>0</v>
      </c>
      <c r="R33" s="48">
        <f ca="1" t="shared" si="20"/>
        <v>0</v>
      </c>
      <c r="S33" s="50">
        <f ca="1">+GETPIVOTDATA("XCB4",'cubi (2016)'!$A$3,"MA_HT","DVH","MA_QH","CQP")</f>
        <v>0</v>
      </c>
      <c r="T33" s="50">
        <f ca="1">+GETPIVOTDATA("XCB4",'cubi (2016)'!$A$3,"MA_HT","DVH","MA_QH","CAN")</f>
        <v>0</v>
      </c>
      <c r="U33" s="50">
        <f ca="1">+GETPIVOTDATA("XCB4",'cubi (2016)'!$A$3,"MA_HT","DVH","MA_QH","SKK")</f>
        <v>0</v>
      </c>
      <c r="V33" s="50">
        <f ca="1">+GETPIVOTDATA("XCB4",'cubi (2016)'!$A$3,"MA_HT","DVH","MA_QH","SKT")</f>
        <v>0</v>
      </c>
      <c r="W33" s="50">
        <f ca="1">+GETPIVOTDATA("XCB4",'cubi (2016)'!$A$3,"MA_HT","DVH","MA_QH","SKN")</f>
        <v>0</v>
      </c>
      <c r="X33" s="50">
        <f ca="1">+GETPIVOTDATA("XCB4",'cubi (2016)'!$A$3,"MA_HT","DVH","MA_QH","TMD")</f>
        <v>0</v>
      </c>
      <c r="Y33" s="50">
        <f ca="1">+GETPIVOTDATA("XCB4",'cubi (2016)'!$A$3,"MA_HT","DVH","MA_QH","SKC")</f>
        <v>0</v>
      </c>
      <c r="Z33" s="50">
        <f ca="1">+GETPIVOTDATA("XCB4",'cubi (2016)'!$A$3,"MA_HT","DVH","MA_QH","SKS")</f>
        <v>0</v>
      </c>
      <c r="AA33" s="52">
        <f ca="1">+SUM(AB33:AE33,AG33:AM33)</f>
        <v>0</v>
      </c>
      <c r="AB33" s="50">
        <f ca="1">+GETPIVOTDATA("XCB4",'cubi (2016)'!$A$3,"MA_HT","DVH","MA_QH","DGT")</f>
        <v>0</v>
      </c>
      <c r="AC33" s="50">
        <f ca="1">+GETPIVOTDATA("XCB4",'cubi (2016)'!$A$3,"MA_HT","DVH","MA_QH","DTL")</f>
        <v>0</v>
      </c>
      <c r="AD33" s="50">
        <f ca="1">+GETPIVOTDATA("XCB4",'cubi (2016)'!$A$3,"MA_HT","DVH","MA_QH","DNL")</f>
        <v>0</v>
      </c>
      <c r="AE33" s="50">
        <f ca="1">+GETPIVOTDATA("XCB4",'cubi (2016)'!$A$3,"MA_HT","DVH","MA_QH","DBV")</f>
        <v>0</v>
      </c>
      <c r="AF33" s="49" t="e">
        <f ca="1">$D33-$BF33</f>
        <v>#REF!</v>
      </c>
      <c r="AG33" s="50">
        <f ca="1">+GETPIVOTDATA("XCB4",'cubi (2016)'!$A$3,"MA_HT","DVH","MA_QH","DYT")</f>
        <v>0</v>
      </c>
      <c r="AH33" s="50">
        <f ca="1">+GETPIVOTDATA("XCB4",'cubi (2016)'!$A$3,"MA_HT","DVH","MA_QH","DGD")</f>
        <v>0</v>
      </c>
      <c r="AI33" s="50">
        <f ca="1">+GETPIVOTDATA("XCB4",'cubi (2016)'!$A$3,"MA_HT","DVH","MA_QH","DTT")</f>
        <v>0</v>
      </c>
      <c r="AJ33" s="50">
        <f ca="1">+GETPIVOTDATA("XCB4",'cubi (2016)'!$A$3,"MA_HT","DVH","MA_QH","NCK")</f>
        <v>0</v>
      </c>
      <c r="AK33" s="50">
        <f ca="1">+GETPIVOTDATA("XCB4",'cubi (2016)'!$A$3,"MA_HT","DVH","MA_QH","DXH")</f>
        <v>0</v>
      </c>
      <c r="AL33" s="50">
        <f ca="1">+GETPIVOTDATA("XCB4",'cubi (2016)'!$A$3,"MA_HT","DVH","MA_QH","DCH")</f>
        <v>0</v>
      </c>
      <c r="AM33" s="50">
        <f ca="1">+GETPIVOTDATA("XCB4",'cubi (2016)'!$A$3,"MA_HT","DVH","MA_QH","DKG")</f>
        <v>0</v>
      </c>
      <c r="AN33" s="50">
        <f ca="1">+GETPIVOTDATA("XCB4",'cubi (2016)'!$A$3,"MA_HT","DVH","MA_QH","DDT")</f>
        <v>0</v>
      </c>
      <c r="AO33" s="50">
        <f ca="1">+GETPIVOTDATA("XCB4",'cubi (2016)'!$A$3,"MA_HT","DVH","MA_QH","DDL")</f>
        <v>0</v>
      </c>
      <c r="AP33" s="50">
        <f ca="1">+GETPIVOTDATA("XCB4",'cubi (2016)'!$A$3,"MA_HT","DVH","MA_QH","DRA")</f>
        <v>0</v>
      </c>
      <c r="AQ33" s="50">
        <f ca="1">+GETPIVOTDATA("XCB4",'cubi (2016)'!$A$3,"MA_HT","DVH","MA_QH","ONT")</f>
        <v>0</v>
      </c>
      <c r="AR33" s="50">
        <f ca="1">+GETPIVOTDATA("XCB4",'cubi (2016)'!$A$3,"MA_HT","DVH","MA_QH","ODT")</f>
        <v>0</v>
      </c>
      <c r="AS33" s="50">
        <f ca="1">+GETPIVOTDATA("XCB4",'cubi (2016)'!$A$3,"MA_HT","DVH","MA_QH","TSC")</f>
        <v>0</v>
      </c>
      <c r="AT33" s="50">
        <f ca="1">+GETPIVOTDATA("XCB4",'cubi (2016)'!$A$3,"MA_HT","DVH","MA_QH","DTS")</f>
        <v>0</v>
      </c>
      <c r="AU33" s="50">
        <f ca="1">+GETPIVOTDATA("XCB4",'cubi (2016)'!$A$3,"MA_HT","DVH","MA_QH","DNG")</f>
        <v>0</v>
      </c>
      <c r="AV33" s="50">
        <f ca="1">+GETPIVOTDATA("XCB4",'cubi (2016)'!$A$3,"MA_HT","DVH","MA_QH","TON")</f>
        <v>0</v>
      </c>
      <c r="AW33" s="50">
        <f ca="1">+GETPIVOTDATA("XCB4",'cubi (2016)'!$A$3,"MA_HT","DVH","MA_QH","NTD")</f>
        <v>0</v>
      </c>
      <c r="AX33" s="50">
        <f ca="1">+GETPIVOTDATA("XCB4",'cubi (2016)'!$A$3,"MA_HT","DVH","MA_QH","SKX")</f>
        <v>0</v>
      </c>
      <c r="AY33" s="50">
        <f ca="1">+GETPIVOTDATA("XCB4",'cubi (2016)'!$A$3,"MA_HT","DVH","MA_QH","DSH")</f>
        <v>0</v>
      </c>
      <c r="AZ33" s="50">
        <f ca="1">+GETPIVOTDATA("XCB4",'cubi (2016)'!$A$3,"MA_HT","DVH","MA_QH","DKV")</f>
        <v>0</v>
      </c>
      <c r="BA33" s="88">
        <f ca="1">+GETPIVOTDATA("XCB4",'cubi (2016)'!$A$3,"MA_HT","DVH","MA_QH","TIN")</f>
        <v>0</v>
      </c>
      <c r="BB33" s="50">
        <f ca="1">+GETPIVOTDATA("XCB4",'cubi (2016)'!$A$3,"MA_HT","DVH","MA_QH","SON")</f>
        <v>0</v>
      </c>
      <c r="BC33" s="50">
        <f ca="1">+GETPIVOTDATA("XCB4",'cubi (2016)'!$A$3,"MA_HT","DVH","MA_QH","MNC")</f>
        <v>0</v>
      </c>
      <c r="BD33" s="50">
        <f ca="1">+GETPIVOTDATA("XCB4",'cubi (2016)'!$A$3,"MA_HT","DVH","MA_QH","PNK")</f>
        <v>0</v>
      </c>
      <c r="BE33" s="80">
        <f ca="1">+GETPIVOTDATA("XCB4",'cubi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+GETPIVOTDATA("XCB4",'cubi (2016)'!$A$3,"MA_HT","DYT","MA_QH","LUC")</f>
        <v>0</v>
      </c>
      <c r="H34" s="50">
        <f ca="1">+GETPIVOTDATA("XCB4",'cubi (2016)'!$A$3,"MA_HT","DYT","MA_QH","LUK")</f>
        <v>0</v>
      </c>
      <c r="I34" s="50">
        <f ca="1">+GETPIVOTDATA("XCB4",'cubi (2016)'!$A$3,"MA_HT","DYT","MA_QH","LUN")</f>
        <v>0</v>
      </c>
      <c r="J34" s="50">
        <f ca="1">+GETPIVOTDATA("XCB4",'cubi (2016)'!$A$3,"MA_HT","DYT","MA_QH","HNK")</f>
        <v>0</v>
      </c>
      <c r="K34" s="50">
        <f ca="1">+GETPIVOTDATA("XCB4",'cubi (2016)'!$A$3,"MA_HT","DYT","MA_QH","CLN")</f>
        <v>0</v>
      </c>
      <c r="L34" s="50">
        <f ca="1">+GETPIVOTDATA("XCB4",'cubi (2016)'!$A$3,"MA_HT","DYT","MA_QH","RSX")</f>
        <v>0</v>
      </c>
      <c r="M34" s="50">
        <f ca="1">+GETPIVOTDATA("XCB4",'cubi (2016)'!$A$3,"MA_HT","DYT","MA_QH","RPH")</f>
        <v>0</v>
      </c>
      <c r="N34" s="50">
        <f ca="1">+GETPIVOTDATA("XCB4",'cubi (2016)'!$A$3,"MA_HT","DYT","MA_QH","RDD")</f>
        <v>0</v>
      </c>
      <c r="O34" s="50">
        <f ca="1">+GETPIVOTDATA("XCB4",'cubi (2016)'!$A$3,"MA_HT","DYT","MA_QH","NTS")</f>
        <v>0</v>
      </c>
      <c r="P34" s="50">
        <f ca="1">+GETPIVOTDATA("XCB4",'cubi (2016)'!$A$3,"MA_HT","DYT","MA_QH","LMU")</f>
        <v>0</v>
      </c>
      <c r="Q34" s="50">
        <f ca="1">+GETPIVOTDATA("XCB4",'cubi (2016)'!$A$3,"MA_HT","DYT","MA_QH","NKH")</f>
        <v>0</v>
      </c>
      <c r="R34" s="48">
        <f ca="1" t="shared" si="20"/>
        <v>0</v>
      </c>
      <c r="S34" s="50">
        <f ca="1">+GETPIVOTDATA("XCB4",'cubi (2016)'!$A$3,"MA_HT","DYT","MA_QH","CQP")</f>
        <v>0</v>
      </c>
      <c r="T34" s="50">
        <f ca="1">+GETPIVOTDATA("XCB4",'cubi (2016)'!$A$3,"MA_HT","DYT","MA_QH","CAN")</f>
        <v>0</v>
      </c>
      <c r="U34" s="50">
        <f ca="1">+GETPIVOTDATA("XCB4",'cubi (2016)'!$A$3,"MA_HT","DYT","MA_QH","SKK")</f>
        <v>0</v>
      </c>
      <c r="V34" s="50">
        <f ca="1">+GETPIVOTDATA("XCB4",'cubi (2016)'!$A$3,"MA_HT","DYT","MA_QH","SKT")</f>
        <v>0</v>
      </c>
      <c r="W34" s="50">
        <f ca="1">+GETPIVOTDATA("XCB4",'cubi (2016)'!$A$3,"MA_HT","DYT","MA_QH","SKN")</f>
        <v>0</v>
      </c>
      <c r="X34" s="50">
        <f ca="1">+GETPIVOTDATA("XCB4",'cubi (2016)'!$A$3,"MA_HT","DYT","MA_QH","TMD")</f>
        <v>0</v>
      </c>
      <c r="Y34" s="50">
        <f ca="1">+GETPIVOTDATA("XCB4",'cubi (2016)'!$A$3,"MA_HT","DYT","MA_QH","SKC")</f>
        <v>0</v>
      </c>
      <c r="Z34" s="50">
        <f ca="1">+GETPIVOTDATA("XCB4",'cubi (2016)'!$A$3,"MA_HT","DYT","MA_QH","SKS")</f>
        <v>0</v>
      </c>
      <c r="AA34" s="52">
        <f ca="1">+SUM(AB34:AF34,AH34:AM34)</f>
        <v>0</v>
      </c>
      <c r="AB34" s="50">
        <f ca="1">+GETPIVOTDATA("XCB4",'cubi (2016)'!$A$3,"MA_HT","DYT","MA_QH","DGT")</f>
        <v>0</v>
      </c>
      <c r="AC34" s="50">
        <f ca="1">+GETPIVOTDATA("XCB4",'cubi (2016)'!$A$3,"MA_HT","DYT","MA_QH","DTL")</f>
        <v>0</v>
      </c>
      <c r="AD34" s="50">
        <f ca="1">+GETPIVOTDATA("XCB4",'cubi (2016)'!$A$3,"MA_HT","DYT","MA_QH","DNL")</f>
        <v>0</v>
      </c>
      <c r="AE34" s="50">
        <f ca="1">+GETPIVOTDATA("XCB4",'cubi (2016)'!$A$3,"MA_HT","DYT","MA_QH","DBV")</f>
        <v>0</v>
      </c>
      <c r="AF34" s="50">
        <f ca="1">+GETPIVOTDATA("XCB4",'cubi (2016)'!$A$3,"MA_HT","DYT","MA_QH","DVH")</f>
        <v>0</v>
      </c>
      <c r="AG34" s="49" t="e">
        <f ca="1">$D34-$BF34</f>
        <v>#REF!</v>
      </c>
      <c r="AH34" s="50">
        <f ca="1">+GETPIVOTDATA("XCB4",'cubi (2016)'!$A$3,"MA_HT","DYT","MA_QH","DGD")</f>
        <v>0</v>
      </c>
      <c r="AI34" s="50">
        <f ca="1">+GETPIVOTDATA("XCB4",'cubi (2016)'!$A$3,"MA_HT","DYT","MA_QH","DTT")</f>
        <v>0</v>
      </c>
      <c r="AJ34" s="50">
        <f ca="1">+GETPIVOTDATA("XCB4",'cubi (2016)'!$A$3,"MA_HT","DYT","MA_QH","NCK")</f>
        <v>0</v>
      </c>
      <c r="AK34" s="50">
        <f ca="1">+GETPIVOTDATA("XCB4",'cubi (2016)'!$A$3,"MA_HT","DYT","MA_QH","DXH")</f>
        <v>0</v>
      </c>
      <c r="AL34" s="50">
        <f ca="1">+GETPIVOTDATA("XCB4",'cubi (2016)'!$A$3,"MA_HT","DYT","MA_QH","DCH")</f>
        <v>0</v>
      </c>
      <c r="AM34" s="50">
        <f ca="1">+GETPIVOTDATA("XCB4",'cubi (2016)'!$A$3,"MA_HT","DYT","MA_QH","DKG")</f>
        <v>0</v>
      </c>
      <c r="AN34" s="50">
        <f ca="1">+GETPIVOTDATA("XCB4",'cubi (2016)'!$A$3,"MA_HT","DYT","MA_QH","DDT")</f>
        <v>0</v>
      </c>
      <c r="AO34" s="50">
        <f ca="1">+GETPIVOTDATA("XCB4",'cubi (2016)'!$A$3,"MA_HT","DYT","MA_QH","DDL")</f>
        <v>0</v>
      </c>
      <c r="AP34" s="50">
        <f ca="1">+GETPIVOTDATA("XCB4",'cubi (2016)'!$A$3,"MA_HT","DYT","MA_QH","DRA")</f>
        <v>0</v>
      </c>
      <c r="AQ34" s="50">
        <f ca="1">+GETPIVOTDATA("XCB4",'cubi (2016)'!$A$3,"MA_HT","DYT","MA_QH","ONT")</f>
        <v>0</v>
      </c>
      <c r="AR34" s="50">
        <f ca="1">+GETPIVOTDATA("XCB4",'cubi (2016)'!$A$3,"MA_HT","DYT","MA_QH","ODT")</f>
        <v>0</v>
      </c>
      <c r="AS34" s="50">
        <f ca="1">+GETPIVOTDATA("XCB4",'cubi (2016)'!$A$3,"MA_HT","DYT","MA_QH","TSC")</f>
        <v>0</v>
      </c>
      <c r="AT34" s="50">
        <f ca="1">+GETPIVOTDATA("XCB4",'cubi (2016)'!$A$3,"MA_HT","DYT","MA_QH","DTS")</f>
        <v>0</v>
      </c>
      <c r="AU34" s="50">
        <f ca="1">+GETPIVOTDATA("XCB4",'cubi (2016)'!$A$3,"MA_HT","DYT","MA_QH","DNG")</f>
        <v>0</v>
      </c>
      <c r="AV34" s="50">
        <f ca="1">+GETPIVOTDATA("XCB4",'cubi (2016)'!$A$3,"MA_HT","DYT","MA_QH","TON")</f>
        <v>0</v>
      </c>
      <c r="AW34" s="50">
        <f ca="1">+GETPIVOTDATA("XCB4",'cubi (2016)'!$A$3,"MA_HT","DYT","MA_QH","NTD")</f>
        <v>0</v>
      </c>
      <c r="AX34" s="50">
        <f ca="1">+GETPIVOTDATA("XCB4",'cubi (2016)'!$A$3,"MA_HT","DYT","MA_QH","SKX")</f>
        <v>0</v>
      </c>
      <c r="AY34" s="50">
        <f ca="1">+GETPIVOTDATA("XCB4",'cubi (2016)'!$A$3,"MA_HT","DYT","MA_QH","DSH")</f>
        <v>0</v>
      </c>
      <c r="AZ34" s="50">
        <f ca="1">+GETPIVOTDATA("XCB4",'cubi (2016)'!$A$3,"MA_HT","DYT","MA_QH","DKV")</f>
        <v>0</v>
      </c>
      <c r="BA34" s="88">
        <f ca="1">+GETPIVOTDATA("XCB4",'cubi (2016)'!$A$3,"MA_HT","DYT","MA_QH","TIN")</f>
        <v>0</v>
      </c>
      <c r="BB34" s="50">
        <f ca="1">+GETPIVOTDATA("XCB4",'cubi (2016)'!$A$3,"MA_HT","DYT","MA_QH","SON")</f>
        <v>0</v>
      </c>
      <c r="BC34" s="50">
        <f ca="1">+GETPIVOTDATA("XCB4",'cubi (2016)'!$A$3,"MA_HT","DYT","MA_QH","MNC")</f>
        <v>0</v>
      </c>
      <c r="BD34" s="50">
        <f ca="1">+GETPIVOTDATA("XCB4",'cubi (2016)'!$A$3,"MA_HT","DYT","MA_QH","PNK")</f>
        <v>0</v>
      </c>
      <c r="BE34" s="80">
        <f ca="1">+GETPIVOTDATA("XCB4",'cubi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+GETPIVOTDATA("XCB4",'cubi (2016)'!$A$3,"MA_HT","DGD","MA_QH","LUC")</f>
        <v>0</v>
      </c>
      <c r="H35" s="50">
        <f ca="1">+GETPIVOTDATA("XCB4",'cubi (2016)'!$A$3,"MA_HT","DGD","MA_QH","LUK")</f>
        <v>0</v>
      </c>
      <c r="I35" s="50">
        <f ca="1">+GETPIVOTDATA("XCB4",'cubi (2016)'!$A$3,"MA_HT","DGD","MA_QH","LUN")</f>
        <v>0</v>
      </c>
      <c r="J35" s="50">
        <f ca="1">+GETPIVOTDATA("XCB4",'cubi (2016)'!$A$3,"MA_HT","DGD","MA_QH","HNK")</f>
        <v>0</v>
      </c>
      <c r="K35" s="50">
        <f ca="1">+GETPIVOTDATA("XCB4",'cubi (2016)'!$A$3,"MA_HT","DGD","MA_QH","CLN")</f>
        <v>0</v>
      </c>
      <c r="L35" s="50">
        <f ca="1">+GETPIVOTDATA("XCB4",'cubi (2016)'!$A$3,"MA_HT","DGD","MA_QH","RSX")</f>
        <v>0</v>
      </c>
      <c r="M35" s="50">
        <f ca="1">+GETPIVOTDATA("XCB4",'cubi (2016)'!$A$3,"MA_HT","DGD","MA_QH","RPH")</f>
        <v>0</v>
      </c>
      <c r="N35" s="50">
        <f ca="1">+GETPIVOTDATA("XCB4",'cubi (2016)'!$A$3,"MA_HT","DGD","MA_QH","RDD")</f>
        <v>0</v>
      </c>
      <c r="O35" s="50">
        <f ca="1">+GETPIVOTDATA("XCB4",'cubi (2016)'!$A$3,"MA_HT","DGD","MA_QH","NTS")</f>
        <v>0</v>
      </c>
      <c r="P35" s="50">
        <f ca="1">+GETPIVOTDATA("XCB4",'cubi (2016)'!$A$3,"MA_HT","DGD","MA_QH","LMU")</f>
        <v>0</v>
      </c>
      <c r="Q35" s="50">
        <f ca="1">+GETPIVOTDATA("XCB4",'cubi (2016)'!$A$3,"MA_HT","DGD","MA_QH","NKH")</f>
        <v>0</v>
      </c>
      <c r="R35" s="48">
        <f ca="1" t="shared" si="20"/>
        <v>0</v>
      </c>
      <c r="S35" s="50">
        <f ca="1">+GETPIVOTDATA("XCB4",'cubi (2016)'!$A$3,"MA_HT","DGD","MA_QH","CQP")</f>
        <v>0</v>
      </c>
      <c r="T35" s="50">
        <f ca="1">+GETPIVOTDATA("XCB4",'cubi (2016)'!$A$3,"MA_HT","DGD","MA_QH","CAN")</f>
        <v>0</v>
      </c>
      <c r="U35" s="50">
        <f ca="1">+GETPIVOTDATA("XCB4",'cubi (2016)'!$A$3,"MA_HT","DGD","MA_QH","SKK")</f>
        <v>0</v>
      </c>
      <c r="V35" s="50">
        <f ca="1">+GETPIVOTDATA("XCB4",'cubi (2016)'!$A$3,"MA_HT","DGD","MA_QH","SKT")</f>
        <v>0</v>
      </c>
      <c r="W35" s="50">
        <f ca="1">+GETPIVOTDATA("XCB4",'cubi (2016)'!$A$3,"MA_HT","DGD","MA_QH","SKN")</f>
        <v>0</v>
      </c>
      <c r="X35" s="50">
        <f ca="1">+GETPIVOTDATA("XCB4",'cubi (2016)'!$A$3,"MA_HT","DGD","MA_QH","TMD")</f>
        <v>0</v>
      </c>
      <c r="Y35" s="50">
        <f ca="1">+GETPIVOTDATA("XCB4",'cubi (2016)'!$A$3,"MA_HT","DGD","MA_QH","SKC")</f>
        <v>0</v>
      </c>
      <c r="Z35" s="50">
        <f ca="1">+GETPIVOTDATA("XCB4",'cubi (2016)'!$A$3,"MA_HT","DGD","MA_QH","SKS")</f>
        <v>0</v>
      </c>
      <c r="AA35" s="52">
        <f ca="1">+SUM(AB35:AG35,AI35:AM35)</f>
        <v>0</v>
      </c>
      <c r="AB35" s="50">
        <f ca="1">+GETPIVOTDATA("XCB4",'cubi (2016)'!$A$3,"MA_HT","DGD","MA_QH","DGT")</f>
        <v>0</v>
      </c>
      <c r="AC35" s="50">
        <f ca="1">+GETPIVOTDATA("XCB4",'cubi (2016)'!$A$3,"MA_HT","DGD","MA_QH","DTL")</f>
        <v>0</v>
      </c>
      <c r="AD35" s="50">
        <f ca="1">+GETPIVOTDATA("XCB4",'cubi (2016)'!$A$3,"MA_HT","DGD","MA_QH","DNL")</f>
        <v>0</v>
      </c>
      <c r="AE35" s="50">
        <f ca="1">+GETPIVOTDATA("XCB4",'cubi (2016)'!$A$3,"MA_HT","DGD","MA_QH","DBV")</f>
        <v>0</v>
      </c>
      <c r="AF35" s="50">
        <f ca="1">+GETPIVOTDATA("XCB4",'cubi (2016)'!$A$3,"MA_HT","DGD","MA_QH","DVH")</f>
        <v>0</v>
      </c>
      <c r="AG35" s="50">
        <f ca="1">+GETPIVOTDATA("XCB4",'cubi (2016)'!$A$3,"MA_HT","DGD","MA_QH","DYT")</f>
        <v>0</v>
      </c>
      <c r="AH35" s="49" t="e">
        <f ca="1">$D35-$BF35</f>
        <v>#REF!</v>
      </c>
      <c r="AI35" s="50">
        <f ca="1">+GETPIVOTDATA("XCB4",'cubi (2016)'!$A$3,"MA_HT","DGD","MA_QH","DTT")</f>
        <v>0</v>
      </c>
      <c r="AJ35" s="50">
        <f ca="1">+GETPIVOTDATA("XCB4",'cubi (2016)'!$A$3,"MA_HT","DGD","MA_QH","NCK")</f>
        <v>0</v>
      </c>
      <c r="AK35" s="50">
        <f ca="1">+GETPIVOTDATA("XCB4",'cubi (2016)'!$A$3,"MA_HT","DGD","MA_QH","DXH")</f>
        <v>0</v>
      </c>
      <c r="AL35" s="50">
        <f ca="1">+GETPIVOTDATA("XCB4",'cubi (2016)'!$A$3,"MA_HT","DGD","MA_QH","DCH")</f>
        <v>0</v>
      </c>
      <c r="AM35" s="50">
        <f ca="1">+GETPIVOTDATA("XCB4",'cubi (2016)'!$A$3,"MA_HT","DGD","MA_QH","DKG")</f>
        <v>0</v>
      </c>
      <c r="AN35" s="50">
        <f ca="1">+GETPIVOTDATA("XCB4",'cubi (2016)'!$A$3,"MA_HT","DGD","MA_QH","DDT")</f>
        <v>0</v>
      </c>
      <c r="AO35" s="50">
        <f ca="1">+GETPIVOTDATA("XCB4",'cubi (2016)'!$A$3,"MA_HT","DGD","MA_QH","DDL")</f>
        <v>0</v>
      </c>
      <c r="AP35" s="50">
        <f ca="1">+GETPIVOTDATA("XCB4",'cubi (2016)'!$A$3,"MA_HT","DGD","MA_QH","DRA")</f>
        <v>0</v>
      </c>
      <c r="AQ35" s="50">
        <f ca="1">+GETPIVOTDATA("XCB4",'cubi (2016)'!$A$3,"MA_HT","DGD","MA_QH","ONT")</f>
        <v>0</v>
      </c>
      <c r="AR35" s="50">
        <f ca="1">+GETPIVOTDATA("XCB4",'cubi (2016)'!$A$3,"MA_HT","DGD","MA_QH","ODT")</f>
        <v>0</v>
      </c>
      <c r="AS35" s="50">
        <f ca="1">+GETPIVOTDATA("XCB4",'cubi (2016)'!$A$3,"MA_HT","DGD","MA_QH","TSC")</f>
        <v>0</v>
      </c>
      <c r="AT35" s="50">
        <f ca="1">+GETPIVOTDATA("XCB4",'cubi (2016)'!$A$3,"MA_HT","DGD","MA_QH","DTS")</f>
        <v>0</v>
      </c>
      <c r="AU35" s="50">
        <f ca="1">+GETPIVOTDATA("XCB4",'cubi (2016)'!$A$3,"MA_HT","DGD","MA_QH","DNG")</f>
        <v>0</v>
      </c>
      <c r="AV35" s="50">
        <f ca="1">+GETPIVOTDATA("XCB4",'cubi (2016)'!$A$3,"MA_HT","DGD","MA_QH","TON")</f>
        <v>0</v>
      </c>
      <c r="AW35" s="50">
        <f ca="1">+GETPIVOTDATA("XCB4",'cubi (2016)'!$A$3,"MA_HT","DGD","MA_QH","NTD")</f>
        <v>0</v>
      </c>
      <c r="AX35" s="50">
        <f ca="1">+GETPIVOTDATA("XCB4",'cubi (2016)'!$A$3,"MA_HT","DGD","MA_QH","SKX")</f>
        <v>0</v>
      </c>
      <c r="AY35" s="50">
        <f ca="1">+GETPIVOTDATA("XCB4",'cubi (2016)'!$A$3,"MA_HT","DGD","MA_QH","DSH")</f>
        <v>0</v>
      </c>
      <c r="AZ35" s="50">
        <f ca="1">+GETPIVOTDATA("XCB4",'cubi (2016)'!$A$3,"MA_HT","DGD","MA_QH","DKV")</f>
        <v>0</v>
      </c>
      <c r="BA35" s="88">
        <f ca="1">+GETPIVOTDATA("XCB4",'cubi (2016)'!$A$3,"MA_HT","DGD","MA_QH","TIN")</f>
        <v>0</v>
      </c>
      <c r="BB35" s="50">
        <f ca="1">+GETPIVOTDATA("XCB4",'cubi (2016)'!$A$3,"MA_HT","DGD","MA_QH","SON")</f>
        <v>0</v>
      </c>
      <c r="BC35" s="50">
        <f ca="1">+GETPIVOTDATA("XCB4",'cubi (2016)'!$A$3,"MA_HT","DGD","MA_QH","MNC")</f>
        <v>0</v>
      </c>
      <c r="BD35" s="50">
        <f ca="1">+GETPIVOTDATA("XCB4",'cubi (2016)'!$A$3,"MA_HT","DGD","MA_QH","PNK")</f>
        <v>0</v>
      </c>
      <c r="BE35" s="80">
        <f ca="1">+GETPIVOTDATA("XCB4",'cubi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+GETPIVOTDATA("XCB4",'cubi (2016)'!$A$3,"MA_HT","DTT","MA_QH","LUC")</f>
        <v>0</v>
      </c>
      <c r="H36" s="50">
        <f ca="1">+GETPIVOTDATA("XCB4",'cubi (2016)'!$A$3,"MA_HT","DTT","MA_QH","LUK")</f>
        <v>0</v>
      </c>
      <c r="I36" s="50">
        <f ca="1">+GETPIVOTDATA("XCB4",'cubi (2016)'!$A$3,"MA_HT","DTT","MA_QH","LUN")</f>
        <v>0</v>
      </c>
      <c r="J36" s="50">
        <f ca="1">+GETPIVOTDATA("XCB4",'cubi (2016)'!$A$3,"MA_HT","DTT","MA_QH","HNK")</f>
        <v>0</v>
      </c>
      <c r="K36" s="50">
        <f ca="1">+GETPIVOTDATA("XCB4",'cubi (2016)'!$A$3,"MA_HT","DTT","MA_QH","CLN")</f>
        <v>0</v>
      </c>
      <c r="L36" s="50">
        <f ca="1">+GETPIVOTDATA("XCB4",'cubi (2016)'!$A$3,"MA_HT","DTT","MA_QH","RSX")</f>
        <v>0</v>
      </c>
      <c r="M36" s="50">
        <f ca="1">+GETPIVOTDATA("XCB4",'cubi (2016)'!$A$3,"MA_HT","DTT","MA_QH","RPH")</f>
        <v>0</v>
      </c>
      <c r="N36" s="50">
        <f ca="1">+GETPIVOTDATA("XCB4",'cubi (2016)'!$A$3,"MA_HT","DTT","MA_QH","RDD")</f>
        <v>0</v>
      </c>
      <c r="O36" s="50">
        <f ca="1">+GETPIVOTDATA("XCB4",'cubi (2016)'!$A$3,"MA_HT","DTT","MA_QH","NTS")</f>
        <v>0</v>
      </c>
      <c r="P36" s="50">
        <f ca="1">+GETPIVOTDATA("XCB4",'cubi (2016)'!$A$3,"MA_HT","DTT","MA_QH","LMU")</f>
        <v>0</v>
      </c>
      <c r="Q36" s="50">
        <f ca="1">+GETPIVOTDATA("XCB4",'cubi (2016)'!$A$3,"MA_HT","DTT","MA_QH","NKH")</f>
        <v>0</v>
      </c>
      <c r="R36" s="48">
        <f ca="1" t="shared" si="20"/>
        <v>0</v>
      </c>
      <c r="S36" s="50">
        <f ca="1">+GETPIVOTDATA("XCB4",'cubi (2016)'!$A$3,"MA_HT","DTT","MA_QH","CQP")</f>
        <v>0</v>
      </c>
      <c r="T36" s="50">
        <f ca="1">+GETPIVOTDATA("XCB4",'cubi (2016)'!$A$3,"MA_HT","DTT","MA_QH","CAN")</f>
        <v>0</v>
      </c>
      <c r="U36" s="50">
        <f ca="1">+GETPIVOTDATA("XCB4",'cubi (2016)'!$A$3,"MA_HT","DTT","MA_QH","SKK")</f>
        <v>0</v>
      </c>
      <c r="V36" s="50">
        <f ca="1">+GETPIVOTDATA("XCB4",'cubi (2016)'!$A$3,"MA_HT","DTT","MA_QH","SKT")</f>
        <v>0</v>
      </c>
      <c r="W36" s="50">
        <f ca="1">+GETPIVOTDATA("XCB4",'cubi (2016)'!$A$3,"MA_HT","DTT","MA_QH","SKN")</f>
        <v>0</v>
      </c>
      <c r="X36" s="50">
        <f ca="1">+GETPIVOTDATA("XCB4",'cubi (2016)'!$A$3,"MA_HT","DTT","MA_QH","TMD")</f>
        <v>0</v>
      </c>
      <c r="Y36" s="50">
        <f ca="1">+GETPIVOTDATA("XCB4",'cubi (2016)'!$A$3,"MA_HT","DTT","MA_QH","SKC")</f>
        <v>0</v>
      </c>
      <c r="Z36" s="50">
        <f ca="1">+GETPIVOTDATA("XCB4",'cubi (2016)'!$A$3,"MA_HT","DTT","MA_QH","SKS")</f>
        <v>0</v>
      </c>
      <c r="AA36" s="52">
        <f ca="1">+SUM(AB36:AH36,AJ36:AM36)</f>
        <v>0</v>
      </c>
      <c r="AB36" s="50">
        <f ca="1">+GETPIVOTDATA("XCB4",'cubi (2016)'!$A$3,"MA_HT","DTT","MA_QH","DGT")</f>
        <v>0</v>
      </c>
      <c r="AC36" s="50">
        <f ca="1">+GETPIVOTDATA("XCB4",'cubi (2016)'!$A$3,"MA_HT","DTT","MA_QH","DTL")</f>
        <v>0</v>
      </c>
      <c r="AD36" s="50">
        <f ca="1">+GETPIVOTDATA("XCB4",'cubi (2016)'!$A$3,"MA_HT","DTT","MA_QH","DNL")</f>
        <v>0</v>
      </c>
      <c r="AE36" s="50">
        <f ca="1">+GETPIVOTDATA("XCB4",'cubi (2016)'!$A$3,"MA_HT","DTT","MA_QH","DBV")</f>
        <v>0</v>
      </c>
      <c r="AF36" s="50">
        <f ca="1">+GETPIVOTDATA("XCB4",'cubi (2016)'!$A$3,"MA_HT","DTT","MA_QH","DVH")</f>
        <v>0</v>
      </c>
      <c r="AG36" s="50">
        <f ca="1">+GETPIVOTDATA("XCB4",'cubi (2016)'!$A$3,"MA_HT","DTT","MA_QH","DYT")</f>
        <v>0</v>
      </c>
      <c r="AH36" s="50">
        <f ca="1">+GETPIVOTDATA("XCB4",'cubi (2016)'!$A$3,"MA_HT","DTT","MA_QH","DGD")</f>
        <v>0</v>
      </c>
      <c r="AI36" s="49" t="e">
        <f ca="1">$D36-$BF36</f>
        <v>#REF!</v>
      </c>
      <c r="AJ36" s="50">
        <f ca="1">+GETPIVOTDATA("XCB4",'cubi (2016)'!$A$3,"MA_HT","DTT","MA_QH","NCK")</f>
        <v>0</v>
      </c>
      <c r="AK36" s="50">
        <f ca="1">+GETPIVOTDATA("XCB4",'cubi (2016)'!$A$3,"MA_HT","DTT","MA_QH","DXH")</f>
        <v>0</v>
      </c>
      <c r="AL36" s="50">
        <f ca="1">+GETPIVOTDATA("XCB4",'cubi (2016)'!$A$3,"MA_HT","DTT","MA_QH","DCH")</f>
        <v>0</v>
      </c>
      <c r="AM36" s="50">
        <f ca="1">+GETPIVOTDATA("XCB4",'cubi (2016)'!$A$3,"MA_HT","DTT","MA_QH","DKG")</f>
        <v>0</v>
      </c>
      <c r="AN36" s="50">
        <f ca="1">+GETPIVOTDATA("XCB4",'cubi (2016)'!$A$3,"MA_HT","DTT","MA_QH","DDT")</f>
        <v>0</v>
      </c>
      <c r="AO36" s="50">
        <f ca="1">+GETPIVOTDATA("XCB4",'cubi (2016)'!$A$3,"MA_HT","DTT","MA_QH","DDL")</f>
        <v>0</v>
      </c>
      <c r="AP36" s="50">
        <f ca="1">+GETPIVOTDATA("XCB4",'cubi (2016)'!$A$3,"MA_HT","DTT","MA_QH","DRA")</f>
        <v>0</v>
      </c>
      <c r="AQ36" s="50">
        <f ca="1">+GETPIVOTDATA("XCB4",'cubi (2016)'!$A$3,"MA_HT","DTT","MA_QH","ONT")</f>
        <v>0</v>
      </c>
      <c r="AR36" s="50">
        <f ca="1">+GETPIVOTDATA("XCB4",'cubi (2016)'!$A$3,"MA_HT","DTT","MA_QH","ODT")</f>
        <v>0</v>
      </c>
      <c r="AS36" s="50">
        <f ca="1">+GETPIVOTDATA("XCB4",'cubi (2016)'!$A$3,"MA_HT","DTT","MA_QH","TSC")</f>
        <v>0</v>
      </c>
      <c r="AT36" s="50">
        <f ca="1">+GETPIVOTDATA("XCB4",'cubi (2016)'!$A$3,"MA_HT","DTT","MA_QH","DTS")</f>
        <v>0</v>
      </c>
      <c r="AU36" s="50">
        <f ca="1">+GETPIVOTDATA("XCB4",'cubi (2016)'!$A$3,"MA_HT","DTT","MA_QH","DNG")</f>
        <v>0</v>
      </c>
      <c r="AV36" s="50">
        <f ca="1">+GETPIVOTDATA("XCB4",'cubi (2016)'!$A$3,"MA_HT","DTT","MA_QH","TON")</f>
        <v>0</v>
      </c>
      <c r="AW36" s="50">
        <f ca="1">+GETPIVOTDATA("XCB4",'cubi (2016)'!$A$3,"MA_HT","DTT","MA_QH","NTD")</f>
        <v>0</v>
      </c>
      <c r="AX36" s="50">
        <f ca="1">+GETPIVOTDATA("XCB4",'cubi (2016)'!$A$3,"MA_HT","DTT","MA_QH","SKX")</f>
        <v>0</v>
      </c>
      <c r="AY36" s="50">
        <f ca="1">+GETPIVOTDATA("XCB4",'cubi (2016)'!$A$3,"MA_HT","DTT","MA_QH","DSH")</f>
        <v>0</v>
      </c>
      <c r="AZ36" s="50">
        <f ca="1">+GETPIVOTDATA("XCB4",'cubi (2016)'!$A$3,"MA_HT","DTT","MA_QH","DKV")</f>
        <v>0</v>
      </c>
      <c r="BA36" s="88">
        <f ca="1">+GETPIVOTDATA("XCB4",'cubi (2016)'!$A$3,"MA_HT","DTT","MA_QH","TIN")</f>
        <v>0</v>
      </c>
      <c r="BB36" s="50">
        <f ca="1">+GETPIVOTDATA("XCB4",'cubi (2016)'!$A$3,"MA_HT","DTT","MA_QH","SON")</f>
        <v>0</v>
      </c>
      <c r="BC36" s="50">
        <f ca="1">+GETPIVOTDATA("XCB4",'cubi (2016)'!$A$3,"MA_HT","DTT","MA_QH","MNC")</f>
        <v>0</v>
      </c>
      <c r="BD36" s="50">
        <f ca="1">+GETPIVOTDATA("XCB4",'cubi (2016)'!$A$3,"MA_HT","DTT","MA_QH","PNK")</f>
        <v>0</v>
      </c>
      <c r="BE36" s="80">
        <f ca="1">+GETPIVOTDATA("XCB4",'cubi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+GETPIVOTDATA("XCB4",'cubi (2016)'!$A$3,"MA_HT","NCK","MA_QH","LUC")</f>
        <v>0</v>
      </c>
      <c r="H37" s="50">
        <f ca="1">+GETPIVOTDATA("XCB4",'cubi (2016)'!$A$3,"MA_HT","NCK","MA_QH","LUK")</f>
        <v>0</v>
      </c>
      <c r="I37" s="50">
        <f ca="1">+GETPIVOTDATA("XCB4",'cubi (2016)'!$A$3,"MA_HT","NCK","MA_QH","LUN")</f>
        <v>0</v>
      </c>
      <c r="J37" s="50">
        <f ca="1">+GETPIVOTDATA("XCB4",'cubi (2016)'!$A$3,"MA_HT","NCK","MA_QH","HNK")</f>
        <v>0</v>
      </c>
      <c r="K37" s="50">
        <f ca="1">+GETPIVOTDATA("XCB4",'cubi (2016)'!$A$3,"MA_HT","NCK","MA_QH","CLN")</f>
        <v>0</v>
      </c>
      <c r="L37" s="50">
        <f ca="1">+GETPIVOTDATA("XCB4",'cubi (2016)'!$A$3,"MA_HT","NCK","MA_QH","RSX")</f>
        <v>0</v>
      </c>
      <c r="M37" s="50">
        <f ca="1">+GETPIVOTDATA("XCB4",'cubi (2016)'!$A$3,"MA_HT","NCK","MA_QH","RPH")</f>
        <v>0</v>
      </c>
      <c r="N37" s="50">
        <f ca="1">+GETPIVOTDATA("XCB4",'cubi (2016)'!$A$3,"MA_HT","NCK","MA_QH","RDD")</f>
        <v>0</v>
      </c>
      <c r="O37" s="50">
        <f ca="1">+GETPIVOTDATA("XCB4",'cubi (2016)'!$A$3,"MA_HT","NCK","MA_QH","NTS")</f>
        <v>0</v>
      </c>
      <c r="P37" s="50">
        <f ca="1">+GETPIVOTDATA("XCB4",'cubi (2016)'!$A$3,"MA_HT","NCK","MA_QH","LMU")</f>
        <v>0</v>
      </c>
      <c r="Q37" s="50">
        <f ca="1">+GETPIVOTDATA("XCB4",'cubi (2016)'!$A$3,"MA_HT","NCK","MA_QH","NKH")</f>
        <v>0</v>
      </c>
      <c r="R37" s="48">
        <f ca="1" t="shared" si="20"/>
        <v>0</v>
      </c>
      <c r="S37" s="50">
        <f ca="1">+GETPIVOTDATA("XCB4",'cubi (2016)'!$A$3,"MA_HT","NCK","MA_QH","CQP")</f>
        <v>0</v>
      </c>
      <c r="T37" s="50">
        <f ca="1">+GETPIVOTDATA("XCB4",'cubi (2016)'!$A$3,"MA_HT","NCK","MA_QH","CAN")</f>
        <v>0</v>
      </c>
      <c r="U37" s="50">
        <f ca="1">+GETPIVOTDATA("XCB4",'cubi (2016)'!$A$3,"MA_HT","NCK","MA_QH","SKK")</f>
        <v>0</v>
      </c>
      <c r="V37" s="50">
        <f ca="1">+GETPIVOTDATA("XCB4",'cubi (2016)'!$A$3,"MA_HT","NCK","MA_QH","SKT")</f>
        <v>0</v>
      </c>
      <c r="W37" s="50">
        <f ca="1">+GETPIVOTDATA("XCB4",'cubi (2016)'!$A$3,"MA_HT","NCK","MA_QH","SKN")</f>
        <v>0</v>
      </c>
      <c r="X37" s="50">
        <f ca="1">+GETPIVOTDATA("XCB4",'cubi (2016)'!$A$3,"MA_HT","NCK","MA_QH","TMD")</f>
        <v>0</v>
      </c>
      <c r="Y37" s="50">
        <f ca="1">+GETPIVOTDATA("XCB4",'cubi (2016)'!$A$3,"MA_HT","NCK","MA_QH","SKC")</f>
        <v>0</v>
      </c>
      <c r="Z37" s="50">
        <f ca="1">+GETPIVOTDATA("XCB4",'cubi (2016)'!$A$3,"MA_HT","NCK","MA_QH","SKS")</f>
        <v>0</v>
      </c>
      <c r="AA37" s="52">
        <f ca="1">+SUM(AB37:AI37,AK37:AM37)</f>
        <v>0</v>
      </c>
      <c r="AB37" s="50">
        <f ca="1">+GETPIVOTDATA("XCB4",'cubi (2016)'!$A$3,"MA_HT","NCK","MA_QH","DGT")</f>
        <v>0</v>
      </c>
      <c r="AC37" s="50">
        <f ca="1">+GETPIVOTDATA("XCB4",'cubi (2016)'!$A$3,"MA_HT","NCK","MA_QH","DTL")</f>
        <v>0</v>
      </c>
      <c r="AD37" s="50">
        <f ca="1">+GETPIVOTDATA("XCB4",'cubi (2016)'!$A$3,"MA_HT","NCK","MA_QH","DNL")</f>
        <v>0</v>
      </c>
      <c r="AE37" s="50">
        <f ca="1">+GETPIVOTDATA("XCB4",'cubi (2016)'!$A$3,"MA_HT","NCK","MA_QH","DBV")</f>
        <v>0</v>
      </c>
      <c r="AF37" s="50">
        <f ca="1">+GETPIVOTDATA("XCB4",'cubi (2016)'!$A$3,"MA_HT","NCK","MA_QH","DVH")</f>
        <v>0</v>
      </c>
      <c r="AG37" s="50">
        <f ca="1">+GETPIVOTDATA("XCB4",'cubi (2016)'!$A$3,"MA_HT","NCK","MA_QH","DYT")</f>
        <v>0</v>
      </c>
      <c r="AH37" s="50">
        <f ca="1">+GETPIVOTDATA("XCB4",'cubi (2016)'!$A$3,"MA_HT","NCK","MA_QH","DGD")</f>
        <v>0</v>
      </c>
      <c r="AI37" s="50">
        <f ca="1">+GETPIVOTDATA("XCB4",'cubi (2016)'!$A$3,"MA_HT","NCK","MA_QH","DTT")</f>
        <v>0</v>
      </c>
      <c r="AJ37" s="49" t="e">
        <f ca="1">$D37-$BF37</f>
        <v>#REF!</v>
      </c>
      <c r="AK37" s="50">
        <f ca="1">+GETPIVOTDATA("XCB4",'cubi (2016)'!$A$3,"MA_HT","NCK","MA_QH","DXH")</f>
        <v>0</v>
      </c>
      <c r="AL37" s="50">
        <f ca="1">+GETPIVOTDATA("XCB4",'cubi (2016)'!$A$3,"MA_HT","NCK","MA_QH","DCH")</f>
        <v>0</v>
      </c>
      <c r="AM37" s="50">
        <f ca="1">+GETPIVOTDATA("XCB4",'cubi (2016)'!$A$3,"MA_HT","NCK","MA_QH","DKG")</f>
        <v>0</v>
      </c>
      <c r="AN37" s="50">
        <f ca="1">+GETPIVOTDATA("XCB4",'cubi (2016)'!$A$3,"MA_HT","NCK","MA_QH","DDT")</f>
        <v>0</v>
      </c>
      <c r="AO37" s="50">
        <f ca="1">+GETPIVOTDATA("XCB4",'cubi (2016)'!$A$3,"MA_HT","NCK","MA_QH","DDL")</f>
        <v>0</v>
      </c>
      <c r="AP37" s="50">
        <f ca="1">+GETPIVOTDATA("XCB4",'cubi (2016)'!$A$3,"MA_HT","NCK","MA_QH","DRA")</f>
        <v>0</v>
      </c>
      <c r="AQ37" s="50">
        <f ca="1">+GETPIVOTDATA("XCB4",'cubi (2016)'!$A$3,"MA_HT","NCK","MA_QH","ONT")</f>
        <v>0</v>
      </c>
      <c r="AR37" s="50">
        <f ca="1">+GETPIVOTDATA("XCB4",'cubi (2016)'!$A$3,"MA_HT","NCK","MA_QH","ODT")</f>
        <v>0</v>
      </c>
      <c r="AS37" s="50">
        <f ca="1">+GETPIVOTDATA("XCB4",'cubi (2016)'!$A$3,"MA_HT","NCK","MA_QH","TSC")</f>
        <v>0</v>
      </c>
      <c r="AT37" s="50">
        <f ca="1">+GETPIVOTDATA("XCB4",'cubi (2016)'!$A$3,"MA_HT","NCK","MA_QH","DTS")</f>
        <v>0</v>
      </c>
      <c r="AU37" s="50">
        <f ca="1">+GETPIVOTDATA("XCB4",'cubi (2016)'!$A$3,"MA_HT","NCK","MA_QH","DNG")</f>
        <v>0</v>
      </c>
      <c r="AV37" s="50">
        <f ca="1">+GETPIVOTDATA("XCB4",'cubi (2016)'!$A$3,"MA_HT","NCK","MA_QH","TON")</f>
        <v>0</v>
      </c>
      <c r="AW37" s="50">
        <f ca="1">+GETPIVOTDATA("XCB4",'cubi (2016)'!$A$3,"MA_HT","NCK","MA_QH","NTD")</f>
        <v>0</v>
      </c>
      <c r="AX37" s="50">
        <f ca="1">+GETPIVOTDATA("XCB4",'cubi (2016)'!$A$3,"MA_HT","NCK","MA_QH","SKX")</f>
        <v>0</v>
      </c>
      <c r="AY37" s="50">
        <f ca="1">+GETPIVOTDATA("XCB4",'cubi (2016)'!$A$3,"MA_HT","NCK","MA_QH","DSH")</f>
        <v>0</v>
      </c>
      <c r="AZ37" s="50">
        <f ca="1">+GETPIVOTDATA("XCB4",'cubi (2016)'!$A$3,"MA_HT","NCK","MA_QH","DKV")</f>
        <v>0</v>
      </c>
      <c r="BA37" s="88">
        <f ca="1">+GETPIVOTDATA("XCB4",'cubi (2016)'!$A$3,"MA_HT","NCK","MA_QH","TIN")</f>
        <v>0</v>
      </c>
      <c r="BB37" s="50">
        <f ca="1">+GETPIVOTDATA("XCB4",'cubi (2016)'!$A$3,"MA_HT","NCK","MA_QH","SON")</f>
        <v>0</v>
      </c>
      <c r="BC37" s="50">
        <f ca="1">+GETPIVOTDATA("XCB4",'cubi (2016)'!$A$3,"MA_HT","NCK","MA_QH","MNC")</f>
        <v>0</v>
      </c>
      <c r="BD37" s="50">
        <f ca="1">+GETPIVOTDATA("XCB4",'cubi (2016)'!$A$3,"MA_HT","NCK","MA_QH","PNK")</f>
        <v>0</v>
      </c>
      <c r="BE37" s="80">
        <f ca="1">+GETPIVOTDATA("XCB4",'cubi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+GETPIVOTDATA("XCB4",'cubi (2016)'!$A$3,"MA_HT","DXH","MA_QH","LUC")</f>
        <v>0</v>
      </c>
      <c r="H38" s="50">
        <f ca="1">+GETPIVOTDATA("XCB4",'cubi (2016)'!$A$3,"MA_HT","DXH","MA_QH","LUK")</f>
        <v>0</v>
      </c>
      <c r="I38" s="50">
        <f ca="1">+GETPIVOTDATA("XCB4",'cubi (2016)'!$A$3,"MA_HT","DXH","MA_QH","LUN")</f>
        <v>0</v>
      </c>
      <c r="J38" s="50">
        <f ca="1">+GETPIVOTDATA("XCB4",'cubi (2016)'!$A$3,"MA_HT","DXH","MA_QH","HNK")</f>
        <v>0</v>
      </c>
      <c r="K38" s="50">
        <f ca="1">+GETPIVOTDATA("XCB4",'cubi (2016)'!$A$3,"MA_HT","DXH","MA_QH","CLN")</f>
        <v>0</v>
      </c>
      <c r="L38" s="50">
        <f ca="1">+GETPIVOTDATA("XCB4",'cubi (2016)'!$A$3,"MA_HT","DXH","MA_QH","RSX")</f>
        <v>0</v>
      </c>
      <c r="M38" s="50">
        <f ca="1">+GETPIVOTDATA("XCB4",'cubi (2016)'!$A$3,"MA_HT","DXH","MA_QH","RPH")</f>
        <v>0</v>
      </c>
      <c r="N38" s="50">
        <f ca="1">+GETPIVOTDATA("XCB4",'cubi (2016)'!$A$3,"MA_HT","DXH","MA_QH","RDD")</f>
        <v>0</v>
      </c>
      <c r="O38" s="50">
        <f ca="1">+GETPIVOTDATA("XCB4",'cubi (2016)'!$A$3,"MA_HT","DXH","MA_QH","NTS")</f>
        <v>0</v>
      </c>
      <c r="P38" s="50">
        <f ca="1">+GETPIVOTDATA("XCB4",'cubi (2016)'!$A$3,"MA_HT","DXH","MA_QH","LMU")</f>
        <v>0</v>
      </c>
      <c r="Q38" s="50">
        <f ca="1">+GETPIVOTDATA("XCB4",'cubi (2016)'!$A$3,"MA_HT","DXH","MA_QH","NKH")</f>
        <v>0</v>
      </c>
      <c r="R38" s="48">
        <f ca="1" t="shared" si="20"/>
        <v>0</v>
      </c>
      <c r="S38" s="50">
        <f ca="1">+GETPIVOTDATA("XCB4",'cubi (2016)'!$A$3,"MA_HT","DXH","MA_QH","CQP")</f>
        <v>0</v>
      </c>
      <c r="T38" s="50">
        <f ca="1">+GETPIVOTDATA("XCB4",'cubi (2016)'!$A$3,"MA_HT","DXH","MA_QH","CAN")</f>
        <v>0</v>
      </c>
      <c r="U38" s="50">
        <f ca="1">+GETPIVOTDATA("XCB4",'cubi (2016)'!$A$3,"MA_HT","DXH","MA_QH","SKK")</f>
        <v>0</v>
      </c>
      <c r="V38" s="50">
        <f ca="1">+GETPIVOTDATA("XCB4",'cubi (2016)'!$A$3,"MA_HT","DXH","MA_QH","SKT")</f>
        <v>0</v>
      </c>
      <c r="W38" s="50">
        <f ca="1">+GETPIVOTDATA("XCB4",'cubi (2016)'!$A$3,"MA_HT","DXH","MA_QH","SKN")</f>
        <v>0</v>
      </c>
      <c r="X38" s="50">
        <f ca="1">+GETPIVOTDATA("XCB4",'cubi (2016)'!$A$3,"MA_HT","DXH","MA_QH","TMD")</f>
        <v>0</v>
      </c>
      <c r="Y38" s="50">
        <f ca="1">+GETPIVOTDATA("XCB4",'cubi (2016)'!$A$3,"MA_HT","DXH","MA_QH","SKC")</f>
        <v>0</v>
      </c>
      <c r="Z38" s="50">
        <f ca="1">+GETPIVOTDATA("XCB4",'cubi (2016)'!$A$3,"MA_HT","DXH","MA_QH","SKS")</f>
        <v>0</v>
      </c>
      <c r="AA38" s="52">
        <f ca="1">+SUM(AB38:AJ38,AL38:AM38)</f>
        <v>0</v>
      </c>
      <c r="AB38" s="50">
        <f ca="1">+GETPIVOTDATA("XCB4",'cubi (2016)'!$A$3,"MA_HT","DXH","MA_QH","DGT")</f>
        <v>0</v>
      </c>
      <c r="AC38" s="50">
        <f ca="1">+GETPIVOTDATA("XCB4",'cubi (2016)'!$A$3,"MA_HT","DXH","MA_QH","DTL")</f>
        <v>0</v>
      </c>
      <c r="AD38" s="50">
        <f ca="1">+GETPIVOTDATA("XCB4",'cubi (2016)'!$A$3,"MA_HT","DXH","MA_QH","DNL")</f>
        <v>0</v>
      </c>
      <c r="AE38" s="50">
        <f ca="1">+GETPIVOTDATA("XCB4",'cubi (2016)'!$A$3,"MA_HT","DXH","MA_QH","DBV")</f>
        <v>0</v>
      </c>
      <c r="AF38" s="50">
        <f ca="1">+GETPIVOTDATA("XCB4",'cubi (2016)'!$A$3,"MA_HT","DXH","MA_QH","DVH")</f>
        <v>0</v>
      </c>
      <c r="AG38" s="50">
        <f ca="1">+GETPIVOTDATA("XCB4",'cubi (2016)'!$A$3,"MA_HT","DXH","MA_QH","DYT")</f>
        <v>0</v>
      </c>
      <c r="AH38" s="50">
        <f ca="1">+GETPIVOTDATA("XCB4",'cubi (2016)'!$A$3,"MA_HT","DXH","MA_QH","DGD")</f>
        <v>0</v>
      </c>
      <c r="AI38" s="50">
        <f ca="1">+GETPIVOTDATA("XCB4",'cubi (2016)'!$A$3,"MA_HT","DXH","MA_QH","DTT")</f>
        <v>0</v>
      </c>
      <c r="AJ38" s="50">
        <f ca="1">+GETPIVOTDATA("XCB4",'cubi (2016)'!$A$3,"MA_HT","DXH","MA_QH","NCK")</f>
        <v>0</v>
      </c>
      <c r="AK38" s="49" t="e">
        <f ca="1">$D38-$BF38</f>
        <v>#REF!</v>
      </c>
      <c r="AL38" s="50">
        <f ca="1">+GETPIVOTDATA("XCB4",'cubi (2016)'!$A$3,"MA_HT","DXH","MA_QH","DCH")</f>
        <v>0</v>
      </c>
      <c r="AM38" s="50">
        <f ca="1">+GETPIVOTDATA("XCB4",'cubi (2016)'!$A$3,"MA_HT","DXH","MA_QH","DKG")</f>
        <v>0</v>
      </c>
      <c r="AN38" s="50">
        <f ca="1">+GETPIVOTDATA("XCB4",'cubi (2016)'!$A$3,"MA_HT","DXH","MA_QH","DDT")</f>
        <v>0</v>
      </c>
      <c r="AO38" s="50">
        <f ca="1">+GETPIVOTDATA("XCB4",'cubi (2016)'!$A$3,"MA_HT","DXH","MA_QH","DDL")</f>
        <v>0</v>
      </c>
      <c r="AP38" s="50">
        <f ca="1">+GETPIVOTDATA("XCB4",'cubi (2016)'!$A$3,"MA_HT","DXH","MA_QH","DRA")</f>
        <v>0</v>
      </c>
      <c r="AQ38" s="50">
        <f ca="1">+GETPIVOTDATA("XCB4",'cubi (2016)'!$A$3,"MA_HT","DXH","MA_QH","ONT")</f>
        <v>0</v>
      </c>
      <c r="AR38" s="50">
        <f ca="1">+GETPIVOTDATA("XCB4",'cubi (2016)'!$A$3,"MA_HT","DXH","MA_QH","ODT")</f>
        <v>0</v>
      </c>
      <c r="AS38" s="50">
        <f ca="1">+GETPIVOTDATA("XCB4",'cubi (2016)'!$A$3,"MA_HT","DXH","MA_QH","TSC")</f>
        <v>0</v>
      </c>
      <c r="AT38" s="50">
        <f ca="1">+GETPIVOTDATA("XCB4",'cubi (2016)'!$A$3,"MA_HT","DXH","MA_QH","DTS")</f>
        <v>0</v>
      </c>
      <c r="AU38" s="50">
        <f ca="1">+GETPIVOTDATA("XCB4",'cubi (2016)'!$A$3,"MA_HT","DXH","MA_QH","DNG")</f>
        <v>0</v>
      </c>
      <c r="AV38" s="50">
        <f ca="1">+GETPIVOTDATA("XCB4",'cubi (2016)'!$A$3,"MA_HT","DXH","MA_QH","TON")</f>
        <v>0</v>
      </c>
      <c r="AW38" s="50">
        <f ca="1">+GETPIVOTDATA("XCB4",'cubi (2016)'!$A$3,"MA_HT","DXH","MA_QH","NTD")</f>
        <v>0</v>
      </c>
      <c r="AX38" s="50">
        <f ca="1">+GETPIVOTDATA("XCB4",'cubi (2016)'!$A$3,"MA_HT","DXH","MA_QH","SKX")</f>
        <v>0</v>
      </c>
      <c r="AY38" s="50">
        <f ca="1">+GETPIVOTDATA("XCB4",'cubi (2016)'!$A$3,"MA_HT","DXH","MA_QH","DSH")</f>
        <v>0</v>
      </c>
      <c r="AZ38" s="50">
        <f ca="1">+GETPIVOTDATA("XCB4",'cubi (2016)'!$A$3,"MA_HT","DXH","MA_QH","DKV")</f>
        <v>0</v>
      </c>
      <c r="BA38" s="88">
        <f ca="1">+GETPIVOTDATA("XCB4",'cubi (2016)'!$A$3,"MA_HT","DXH","MA_QH","TIN")</f>
        <v>0</v>
      </c>
      <c r="BB38" s="50">
        <f ca="1">+GETPIVOTDATA("XCB4",'cubi (2016)'!$A$3,"MA_HT","DXH","MA_QH","SON")</f>
        <v>0</v>
      </c>
      <c r="BC38" s="50">
        <f ca="1">+GETPIVOTDATA("XCB4",'cubi (2016)'!$A$3,"MA_HT","DXH","MA_QH","MNC")</f>
        <v>0</v>
      </c>
      <c r="BD38" s="50">
        <f ca="1">+GETPIVOTDATA("XCB4",'cubi (2016)'!$A$3,"MA_HT","DXH","MA_QH","PNK")</f>
        <v>0</v>
      </c>
      <c r="BE38" s="80">
        <f ca="1">+GETPIVOTDATA("XCB4",'cubi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+GETPIVOTDATA("XCB4",'cubi (2016)'!$A$3,"MA_HT","DCH","MA_QH","LUC")</f>
        <v>0</v>
      </c>
      <c r="H39" s="50">
        <f ca="1">+GETPIVOTDATA("XCB4",'cubi (2016)'!$A$3,"MA_HT","DCH","MA_QH","LUK")</f>
        <v>0</v>
      </c>
      <c r="I39" s="50">
        <f ca="1">+GETPIVOTDATA("XCB4",'cubi (2016)'!$A$3,"MA_HT","DCH","MA_QH","LUN")</f>
        <v>0</v>
      </c>
      <c r="J39" s="50">
        <f ca="1">+GETPIVOTDATA("XCB4",'cubi (2016)'!$A$3,"MA_HT","DCH","MA_QH","HNK")</f>
        <v>0</v>
      </c>
      <c r="K39" s="50">
        <f ca="1">+GETPIVOTDATA("XCB4",'cubi (2016)'!$A$3,"MA_HT","DCH","MA_QH","CLN")</f>
        <v>0</v>
      </c>
      <c r="L39" s="50">
        <f ca="1">+GETPIVOTDATA("XCB4",'cubi (2016)'!$A$3,"MA_HT","DCH","MA_QH","RSX")</f>
        <v>0</v>
      </c>
      <c r="M39" s="50">
        <f ca="1">+GETPIVOTDATA("XCB4",'cubi (2016)'!$A$3,"MA_HT","DCH","MA_QH","RPH")</f>
        <v>0</v>
      </c>
      <c r="N39" s="50">
        <f ca="1">+GETPIVOTDATA("XCB4",'cubi (2016)'!$A$3,"MA_HT","DCH","MA_QH","RDD")</f>
        <v>0</v>
      </c>
      <c r="O39" s="50">
        <f ca="1">+GETPIVOTDATA("XCB4",'cubi (2016)'!$A$3,"MA_HT","DCH","MA_QH","NTS")</f>
        <v>0</v>
      </c>
      <c r="P39" s="50">
        <f ca="1">+GETPIVOTDATA("XCB4",'cubi (2016)'!$A$3,"MA_HT","DCH","MA_QH","LMU")</f>
        <v>0</v>
      </c>
      <c r="Q39" s="50">
        <f ca="1">+GETPIVOTDATA("XCB4",'cubi (2016)'!$A$3,"MA_HT","DCH","MA_QH","NKH")</f>
        <v>0</v>
      </c>
      <c r="R39" s="48">
        <f ca="1" t="shared" si="20"/>
        <v>0</v>
      </c>
      <c r="S39" s="50">
        <f ca="1">+GETPIVOTDATA("XCB4",'cubi (2016)'!$A$3,"MA_HT","DCH","MA_QH","CQP")</f>
        <v>0</v>
      </c>
      <c r="T39" s="50">
        <f ca="1">+GETPIVOTDATA("XCB4",'cubi (2016)'!$A$3,"MA_HT","DCH","MA_QH","CAN")</f>
        <v>0</v>
      </c>
      <c r="U39" s="50">
        <f ca="1">+GETPIVOTDATA("XCB4",'cubi (2016)'!$A$3,"MA_HT","DCH","MA_QH","SKK")</f>
        <v>0</v>
      </c>
      <c r="V39" s="50">
        <f ca="1">+GETPIVOTDATA("XCB4",'cubi (2016)'!$A$3,"MA_HT","DCH","MA_QH","SKT")</f>
        <v>0</v>
      </c>
      <c r="W39" s="50">
        <f ca="1">+GETPIVOTDATA("XCB4",'cubi (2016)'!$A$3,"MA_HT","DCH","MA_QH","SKN")</f>
        <v>0</v>
      </c>
      <c r="X39" s="50">
        <f ca="1">+GETPIVOTDATA("XCB4",'cubi (2016)'!$A$3,"MA_HT","DCH","MA_QH","TMD")</f>
        <v>0</v>
      </c>
      <c r="Y39" s="50">
        <f ca="1">+GETPIVOTDATA("XCB4",'cubi (2016)'!$A$3,"MA_HT","DCH","MA_QH","SKC")</f>
        <v>0</v>
      </c>
      <c r="Z39" s="50">
        <f ca="1">+GETPIVOTDATA("XCB4",'cubi (2016)'!$A$3,"MA_HT","DCH","MA_QH","SKS")</f>
        <v>0</v>
      </c>
      <c r="AA39" s="52">
        <f ca="1">+SUM(AB39:AK39,AM39)</f>
        <v>0</v>
      </c>
      <c r="AB39" s="50">
        <f ca="1">+GETPIVOTDATA("XCB4",'cubi (2016)'!$A$3,"MA_HT","DCH","MA_QH","DGT")</f>
        <v>0</v>
      </c>
      <c r="AC39" s="50">
        <f ca="1">+GETPIVOTDATA("XCB4",'cubi (2016)'!$A$3,"MA_HT","DCH","MA_QH","DTL")</f>
        <v>0</v>
      </c>
      <c r="AD39" s="50">
        <f ca="1">+GETPIVOTDATA("XCB4",'cubi (2016)'!$A$3,"MA_HT","DCH","MA_QH","DNL")</f>
        <v>0</v>
      </c>
      <c r="AE39" s="50">
        <f ca="1">+GETPIVOTDATA("XCB4",'cubi (2016)'!$A$3,"MA_HT","DCH","MA_QH","DBV")</f>
        <v>0</v>
      </c>
      <c r="AF39" s="50">
        <f ca="1">+GETPIVOTDATA("XCB4",'cubi (2016)'!$A$3,"MA_HT","DCH","MA_QH","DVH")</f>
        <v>0</v>
      </c>
      <c r="AG39" s="50">
        <f ca="1">+GETPIVOTDATA("XCB4",'cubi (2016)'!$A$3,"MA_HT","DCH","MA_QH","DYT")</f>
        <v>0</v>
      </c>
      <c r="AH39" s="50">
        <f ca="1">+GETPIVOTDATA("XCB4",'cubi (2016)'!$A$3,"MA_HT","DCH","MA_QH","DGD")</f>
        <v>0</v>
      </c>
      <c r="AI39" s="50">
        <f ca="1">+GETPIVOTDATA("XCB4",'cubi (2016)'!$A$3,"MA_HT","DCH","MA_QH","DTT")</f>
        <v>0</v>
      </c>
      <c r="AJ39" s="50">
        <f ca="1">+GETPIVOTDATA("XCB4",'cubi (2016)'!$A$3,"MA_HT","DCH","MA_QH","NCK")</f>
        <v>0</v>
      </c>
      <c r="AK39" s="50">
        <f ca="1">+GETPIVOTDATA("XCB4",'cubi (2016)'!$A$3,"MA_HT","DCH","MA_QH","DXH")</f>
        <v>0</v>
      </c>
      <c r="AL39" s="49" t="e">
        <f ca="1">$D39-$BF39</f>
        <v>#REF!</v>
      </c>
      <c r="AM39" s="50">
        <f ca="1">+GETPIVOTDATA("XCB4",'cubi (2016)'!$A$3,"MA_HT","DXH","MA_QH","DKG")</f>
        <v>0</v>
      </c>
      <c r="AN39" s="50">
        <f ca="1">+GETPIVOTDATA("XCB4",'cubi (2016)'!$A$3,"MA_HT","DCH","MA_QH","DDT")</f>
        <v>0</v>
      </c>
      <c r="AO39" s="50">
        <f ca="1">+GETPIVOTDATA("XCB4",'cubi (2016)'!$A$3,"MA_HT","DCH","MA_QH","DDL")</f>
        <v>0</v>
      </c>
      <c r="AP39" s="50">
        <f ca="1">+GETPIVOTDATA("XCB4",'cubi (2016)'!$A$3,"MA_HT","DCH","MA_QH","DRA")</f>
        <v>0</v>
      </c>
      <c r="AQ39" s="50">
        <f ca="1">+GETPIVOTDATA("XCB4",'cubi (2016)'!$A$3,"MA_HT","DCH","MA_QH","ONT")</f>
        <v>0</v>
      </c>
      <c r="AR39" s="50">
        <f ca="1">+GETPIVOTDATA("XCB4",'cubi (2016)'!$A$3,"MA_HT","DCH","MA_QH","ODT")</f>
        <v>0</v>
      </c>
      <c r="AS39" s="50">
        <f ca="1">+GETPIVOTDATA("XCB4",'cubi (2016)'!$A$3,"MA_HT","DCH","MA_QH","TSC")</f>
        <v>0</v>
      </c>
      <c r="AT39" s="50">
        <f ca="1">+GETPIVOTDATA("XCB4",'cubi (2016)'!$A$3,"MA_HT","DCH","MA_QH","DTS")</f>
        <v>0</v>
      </c>
      <c r="AU39" s="50">
        <f ca="1">+GETPIVOTDATA("XCB4",'cubi (2016)'!$A$3,"MA_HT","DCH","MA_QH","DNG")</f>
        <v>0</v>
      </c>
      <c r="AV39" s="50">
        <f ca="1">+GETPIVOTDATA("XCB4",'cubi (2016)'!$A$3,"MA_HT","DCH","MA_QH","TON")</f>
        <v>0</v>
      </c>
      <c r="AW39" s="50">
        <f ca="1">+GETPIVOTDATA("XCB4",'cubi (2016)'!$A$3,"MA_HT","DCH","MA_QH","NTD")</f>
        <v>0</v>
      </c>
      <c r="AX39" s="50">
        <f ca="1">+GETPIVOTDATA("XCB4",'cubi (2016)'!$A$3,"MA_HT","DCH","MA_QH","SKX")</f>
        <v>0</v>
      </c>
      <c r="AY39" s="50">
        <f ca="1">+GETPIVOTDATA("XCB4",'cubi (2016)'!$A$3,"MA_HT","DCH","MA_QH","DSH")</f>
        <v>0</v>
      </c>
      <c r="AZ39" s="50">
        <f ca="1">+GETPIVOTDATA("XCB4",'cubi (2016)'!$A$3,"MA_HT","DCH","MA_QH","DKV")</f>
        <v>0</v>
      </c>
      <c r="BA39" s="88">
        <f ca="1">+GETPIVOTDATA("XCB4",'cubi (2016)'!$A$3,"MA_HT","DCH","MA_QH","TIN")</f>
        <v>0</v>
      </c>
      <c r="BB39" s="50">
        <f ca="1">+GETPIVOTDATA("XCB4",'cubi (2016)'!$A$3,"MA_HT","DCH","MA_QH","SON")</f>
        <v>0</v>
      </c>
      <c r="BC39" s="50">
        <f ca="1">+GETPIVOTDATA("XCB4",'cubi (2016)'!$A$3,"MA_HT","DCH","MA_QH","MNC")</f>
        <v>0</v>
      </c>
      <c r="BD39" s="50">
        <f ca="1">+GETPIVOTDATA("XCB4",'cubi (2016)'!$A$3,"MA_HT","DCH","MA_QH","PNK")</f>
        <v>0</v>
      </c>
      <c r="BE39" s="80">
        <f ca="1">+GETPIVOTDATA("XCB4",'cubi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+GETPIVOTDATA("XCB4",'cubi (2016)'!$A$3,"MA_HT","DKG","MA_QH","LUC")</f>
        <v>0</v>
      </c>
      <c r="H40" s="50">
        <f ca="1">+GETPIVOTDATA("XCB4",'cubi (2016)'!$A$3,"MA_HT","DKG","MA_QH","LUK")</f>
        <v>0</v>
      </c>
      <c r="I40" s="50">
        <f ca="1">+GETPIVOTDATA("XCB4",'cubi (2016)'!$A$3,"MA_HT","DKG","MA_QH","LUN")</f>
        <v>0</v>
      </c>
      <c r="J40" s="50">
        <f ca="1">+GETPIVOTDATA("XCB4",'cubi (2016)'!$A$3,"MA_HT","DKG","MA_QH","HNK")</f>
        <v>0</v>
      </c>
      <c r="K40" s="50">
        <f ca="1">+GETPIVOTDATA("XCB4",'cubi (2016)'!$A$3,"MA_HT","DKG","MA_QH","CLN")</f>
        <v>0</v>
      </c>
      <c r="L40" s="50">
        <f ca="1">+GETPIVOTDATA("XCB4",'cubi (2016)'!$A$3,"MA_HT","DKG","MA_QH","RSX")</f>
        <v>0</v>
      </c>
      <c r="M40" s="50">
        <f ca="1">+GETPIVOTDATA("XCB4",'cubi (2016)'!$A$3,"MA_HT","DKG","MA_QH","RPH")</f>
        <v>0</v>
      </c>
      <c r="N40" s="50">
        <f ca="1">+GETPIVOTDATA("XCB4",'cubi (2016)'!$A$3,"MA_HT","DKG","MA_QH","RDD")</f>
        <v>0</v>
      </c>
      <c r="O40" s="50">
        <f ca="1">+GETPIVOTDATA("XCB4",'cubi (2016)'!$A$3,"MA_HT","DKG","MA_QH","NTS")</f>
        <v>0</v>
      </c>
      <c r="P40" s="50">
        <f ca="1">+GETPIVOTDATA("XCB4",'cubi (2016)'!$A$3,"MA_HT","DKG","MA_QH","LMU")</f>
        <v>0</v>
      </c>
      <c r="Q40" s="50">
        <f ca="1">+GETPIVOTDATA("XCB4",'cubi (2016)'!$A$3,"MA_HT","DKG","MA_QH","NKH")</f>
        <v>0</v>
      </c>
      <c r="R40" s="48">
        <f ca="1" t="shared" si="20"/>
        <v>0</v>
      </c>
      <c r="S40" s="50">
        <f ca="1">+GETPIVOTDATA("XCB4",'cubi (2016)'!$A$3,"MA_HT","DKG","MA_QH","CQP")</f>
        <v>0</v>
      </c>
      <c r="T40" s="50">
        <f ca="1">+GETPIVOTDATA("XCB4",'cubi (2016)'!$A$3,"MA_HT","DKG","MA_QH","CAN")</f>
        <v>0</v>
      </c>
      <c r="U40" s="50">
        <f ca="1">+GETPIVOTDATA("XCB4",'cubi (2016)'!$A$3,"MA_HT","DKG","MA_QH","SKK")</f>
        <v>0</v>
      </c>
      <c r="V40" s="50">
        <f ca="1">+GETPIVOTDATA("XCB4",'cubi (2016)'!$A$3,"MA_HT","DKG","MA_QH","SKT")</f>
        <v>0</v>
      </c>
      <c r="W40" s="50">
        <f ca="1">+GETPIVOTDATA("XCB4",'cubi (2016)'!$A$3,"MA_HT","DKG","MA_QH","SKN")</f>
        <v>0</v>
      </c>
      <c r="X40" s="50">
        <f ca="1">+GETPIVOTDATA("XCB4",'cubi (2016)'!$A$3,"MA_HT","DKG","MA_QH","TMD")</f>
        <v>0</v>
      </c>
      <c r="Y40" s="50">
        <f ca="1">+GETPIVOTDATA("XCB4",'cubi (2016)'!$A$3,"MA_HT","DKG","MA_QH","SKC")</f>
        <v>0</v>
      </c>
      <c r="Z40" s="50">
        <f ca="1">+GETPIVOTDATA("XCB4",'cubi (2016)'!$A$3,"MA_HT","DKG","MA_QH","SKS")</f>
        <v>0</v>
      </c>
      <c r="AA40" s="52">
        <f ca="1">+SUM(AB40:AL40)</f>
        <v>0</v>
      </c>
      <c r="AB40" s="50">
        <f ca="1">+GETPIVOTDATA("XCB4",'cubi (2016)'!$A$3,"MA_HT","DKG","MA_QH","DGT")</f>
        <v>0</v>
      </c>
      <c r="AC40" s="50">
        <f ca="1">+GETPIVOTDATA("XCB4",'cubi (2016)'!$A$3,"MA_HT","DKG","MA_QH","DTL")</f>
        <v>0</v>
      </c>
      <c r="AD40" s="50">
        <f ca="1">+GETPIVOTDATA("XCB4",'cubi (2016)'!$A$3,"MA_HT","DKG","MA_QH","DNL")</f>
        <v>0</v>
      </c>
      <c r="AE40" s="50">
        <f ca="1">+GETPIVOTDATA("XCB4",'cubi (2016)'!$A$3,"MA_HT","DKG","MA_QH","DBV")</f>
        <v>0</v>
      </c>
      <c r="AF40" s="50">
        <f ca="1">+GETPIVOTDATA("XCB4",'cubi (2016)'!$A$3,"MA_HT","DKG","MA_QH","DVH")</f>
        <v>0</v>
      </c>
      <c r="AG40" s="50">
        <f ca="1">+GETPIVOTDATA("XCB4",'cubi (2016)'!$A$3,"MA_HT","DKG","MA_QH","DYT")</f>
        <v>0</v>
      </c>
      <c r="AH40" s="50">
        <f ca="1">+GETPIVOTDATA("XCB4",'cubi (2016)'!$A$3,"MA_HT","DKG","MA_QH","DGD")</f>
        <v>0</v>
      </c>
      <c r="AI40" s="50">
        <f ca="1">+GETPIVOTDATA("XCB4",'cubi (2016)'!$A$3,"MA_HT","DKG","MA_QH","DTT")</f>
        <v>0</v>
      </c>
      <c r="AJ40" s="50">
        <f ca="1">+GETPIVOTDATA("XCB4",'cubi (2016)'!$A$3,"MA_HT","DKG","MA_QH","NCK")</f>
        <v>0</v>
      </c>
      <c r="AK40" s="50">
        <f ca="1">+GETPIVOTDATA("XCB4",'cubi (2016)'!$A$3,"MA_HT","DKG","MA_QH","DXH")</f>
        <v>0</v>
      </c>
      <c r="AL40" s="60">
        <f ca="1">+GETPIVOTDATA("XCB4",'cubi (2016)'!$A$3,"MA_HT","DDT","MA_QH","DKG")</f>
        <v>0</v>
      </c>
      <c r="AM40" s="49" t="e">
        <f ca="1">$D40-$BF40</f>
        <v>#REF!</v>
      </c>
      <c r="AN40" s="50">
        <f ca="1">+GETPIVOTDATA("XCB4",'cubi (2016)'!$A$3,"MA_HT","DKG","MA_QH","DDT")</f>
        <v>0</v>
      </c>
      <c r="AO40" s="50">
        <f ca="1">+GETPIVOTDATA("XCB4",'cubi (2016)'!$A$3,"MA_HT","DKG","MA_QH","DDL")</f>
        <v>0</v>
      </c>
      <c r="AP40" s="50">
        <f ca="1">+GETPIVOTDATA("XCB4",'cubi (2016)'!$A$3,"MA_HT","DKG","MA_QH","DRA")</f>
        <v>0</v>
      </c>
      <c r="AQ40" s="50">
        <f ca="1">+GETPIVOTDATA("XCB4",'cubi (2016)'!$A$3,"MA_HT","DKG","MA_QH","ONT")</f>
        <v>0</v>
      </c>
      <c r="AR40" s="50">
        <f ca="1">+GETPIVOTDATA("XCB4",'cubi (2016)'!$A$3,"MA_HT","DKG","MA_QH","ODT")</f>
        <v>0</v>
      </c>
      <c r="AS40" s="50">
        <f ca="1">+GETPIVOTDATA("XCB4",'cubi (2016)'!$A$3,"MA_HT","DKG","MA_QH","TSC")</f>
        <v>0</v>
      </c>
      <c r="AT40" s="50">
        <f ca="1">+GETPIVOTDATA("XCB4",'cubi (2016)'!$A$3,"MA_HT","DKG","MA_QH","DTS")</f>
        <v>0</v>
      </c>
      <c r="AU40" s="50">
        <f ca="1">+GETPIVOTDATA("XCB4",'cubi (2016)'!$A$3,"MA_HT","DKG","MA_QH","DNG")</f>
        <v>0</v>
      </c>
      <c r="AV40" s="50">
        <f ca="1">+GETPIVOTDATA("XCB4",'cubi (2016)'!$A$3,"MA_HT","DKG","MA_QH","TON")</f>
        <v>0</v>
      </c>
      <c r="AW40" s="50">
        <f ca="1">+GETPIVOTDATA("XCB4",'cubi (2016)'!$A$3,"MA_HT","DKG","MA_QH","NTD")</f>
        <v>0</v>
      </c>
      <c r="AX40" s="50">
        <f ca="1">+GETPIVOTDATA("XCB4",'cubi (2016)'!$A$3,"MA_HT","DKG","MA_QH","SKX")</f>
        <v>0</v>
      </c>
      <c r="AY40" s="50">
        <f ca="1">+GETPIVOTDATA("XCB4",'cubi (2016)'!$A$3,"MA_HT","DKG","MA_QH","DSH")</f>
        <v>0</v>
      </c>
      <c r="AZ40" s="50">
        <f ca="1">+GETPIVOTDATA("XCB4",'cubi (2016)'!$A$3,"MA_HT","DKG","MA_QH","DKV")</f>
        <v>0</v>
      </c>
      <c r="BA40" s="88">
        <f ca="1">+GETPIVOTDATA("XCB4",'cubi (2016)'!$A$3,"MA_HT","DKG","MA_QH","TIN")</f>
        <v>0</v>
      </c>
      <c r="BB40" s="50">
        <f ca="1">+GETPIVOTDATA("XCB4",'cubi (2016)'!$A$3,"MA_HT","DKG","MA_QH","SON")</f>
        <v>0</v>
      </c>
      <c r="BC40" s="50">
        <f ca="1">+GETPIVOTDATA("XCB4",'cubi (2016)'!$A$3,"MA_HT","DKG","MA_QH","MNC")</f>
        <v>0</v>
      </c>
      <c r="BD40" s="50">
        <f ca="1">+GETPIVOTDATA("XCB4",'cubi (2016)'!$A$3,"MA_HT","DKG","MA_QH","PNK")</f>
        <v>0</v>
      </c>
      <c r="BE40" s="80">
        <f ca="1">+GETPIVOTDATA("XCB4",'cubi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+GETPIVOTDATA("XCB4",'cubi (2016)'!$A$3,"MA_HT","DDT","MA_QH","LUC")</f>
        <v>0</v>
      </c>
      <c r="H41" s="60">
        <f ca="1">+GETPIVOTDATA("XCB4",'cubi (2016)'!$A$3,"MA_HT","DDT","MA_QH","LUK")</f>
        <v>0</v>
      </c>
      <c r="I41" s="60">
        <f ca="1">+GETPIVOTDATA("XCB4",'cubi (2016)'!$A$3,"MA_HT","DDT","MA_QH","LUN")</f>
        <v>0</v>
      </c>
      <c r="J41" s="60">
        <f ca="1">+GETPIVOTDATA("XCB4",'cubi (2016)'!$A$3,"MA_HT","DDT","MA_QH","HNK")</f>
        <v>0</v>
      </c>
      <c r="K41" s="60">
        <f ca="1">+GETPIVOTDATA("XCB4",'cubi (2016)'!$A$3,"MA_HT","DDT","MA_QH","CLN")</f>
        <v>0</v>
      </c>
      <c r="L41" s="60">
        <f ca="1">+GETPIVOTDATA("XCB4",'cubi (2016)'!$A$3,"MA_HT","DDT","MA_QH","RSX")</f>
        <v>0</v>
      </c>
      <c r="M41" s="60">
        <f ca="1">+GETPIVOTDATA("XCB4",'cubi (2016)'!$A$3,"MA_HT","DDT","MA_QH","RPH")</f>
        <v>0</v>
      </c>
      <c r="N41" s="60">
        <f ca="1">+GETPIVOTDATA("XCB4",'cubi (2016)'!$A$3,"MA_HT","DDT","MA_QH","RDD")</f>
        <v>0</v>
      </c>
      <c r="O41" s="60">
        <f ca="1">+GETPIVOTDATA("XCB4",'cubi (2016)'!$A$3,"MA_HT","DDT","MA_QH","NTS")</f>
        <v>0</v>
      </c>
      <c r="P41" s="60">
        <f ca="1">+GETPIVOTDATA("XCB4",'cubi (2016)'!$A$3,"MA_HT","DDT","MA_QH","LMU")</f>
        <v>0</v>
      </c>
      <c r="Q41" s="60">
        <f ca="1">+GETPIVOTDATA("XCB4",'cubi (2016)'!$A$3,"MA_HT","DDT","MA_QH","NKH")</f>
        <v>0</v>
      </c>
      <c r="R41" s="78">
        <f ca="1">SUM(S41:AA41,AO41:BD41)</f>
        <v>0</v>
      </c>
      <c r="S41" s="60">
        <f ca="1">+GETPIVOTDATA("XCB4",'cubi (2016)'!$A$3,"MA_HT","DDT","MA_QH","CQP")</f>
        <v>0</v>
      </c>
      <c r="T41" s="60">
        <f ca="1">+GETPIVOTDATA("XCB4",'cubi (2016)'!$A$3,"MA_HT","DDT","MA_QH","CAN")</f>
        <v>0</v>
      </c>
      <c r="U41" s="60">
        <f ca="1">+GETPIVOTDATA("XCB4",'cubi (2016)'!$A$3,"MA_HT","DDT","MA_QH","SKK")</f>
        <v>0</v>
      </c>
      <c r="V41" s="60">
        <f ca="1">+GETPIVOTDATA("XCB4",'cubi (2016)'!$A$3,"MA_HT","DDT","MA_QH","SKT")</f>
        <v>0</v>
      </c>
      <c r="W41" s="60">
        <f ca="1">+GETPIVOTDATA("XCB4",'cubi (2016)'!$A$3,"MA_HT","DDT","MA_QH","SKN")</f>
        <v>0</v>
      </c>
      <c r="X41" s="60">
        <f ca="1">+GETPIVOTDATA("XCB4",'cubi (2016)'!$A$3,"MA_HT","DDT","MA_QH","TMD")</f>
        <v>0</v>
      </c>
      <c r="Y41" s="60">
        <f ca="1">+GETPIVOTDATA("XCB4",'cubi (2016)'!$A$3,"MA_HT","DDT","MA_QH","SKC")</f>
        <v>0</v>
      </c>
      <c r="Z41" s="60">
        <f ca="1">+GETPIVOTDATA("XCB4",'cubi (2016)'!$A$3,"MA_HT","DDT","MA_QH","SKS")</f>
        <v>0</v>
      </c>
      <c r="AA41" s="59">
        <f ca="1" t="shared" ref="AA41:AA58" si="21">+SUM(AB41:AM41)</f>
        <v>0</v>
      </c>
      <c r="AB41" s="60">
        <f ca="1">+GETPIVOTDATA("XCB4",'cubi (2016)'!$A$3,"MA_HT","DDT","MA_QH","DGT")</f>
        <v>0</v>
      </c>
      <c r="AC41" s="60">
        <f ca="1">+GETPIVOTDATA("XCB4",'cubi (2016)'!$A$3,"MA_HT","DDT","MA_QH","DTL")</f>
        <v>0</v>
      </c>
      <c r="AD41" s="60">
        <f ca="1">+GETPIVOTDATA("XCB4",'cubi (2016)'!$A$3,"MA_HT","DDT","MA_QH","DNL")</f>
        <v>0</v>
      </c>
      <c r="AE41" s="60">
        <f ca="1">+GETPIVOTDATA("XCB4",'cubi (2016)'!$A$3,"MA_HT","DDT","MA_QH","DBV")</f>
        <v>0</v>
      </c>
      <c r="AF41" s="60">
        <f ca="1">+GETPIVOTDATA("XCB4",'cubi (2016)'!$A$3,"MA_HT","DDT","MA_QH","DVH")</f>
        <v>0</v>
      </c>
      <c r="AG41" s="60">
        <f ca="1">+GETPIVOTDATA("XCB4",'cubi (2016)'!$A$3,"MA_HT","DDT","MA_QH","DYT")</f>
        <v>0</v>
      </c>
      <c r="AH41" s="60">
        <f ca="1">+GETPIVOTDATA("XCB4",'cubi (2016)'!$A$3,"MA_HT","DDT","MA_QH","DGD")</f>
        <v>0</v>
      </c>
      <c r="AI41" s="60">
        <f ca="1">+GETPIVOTDATA("XCB4",'cubi (2016)'!$A$3,"MA_HT","DDT","MA_QH","DTT")</f>
        <v>0</v>
      </c>
      <c r="AJ41" s="60">
        <f ca="1">+GETPIVOTDATA("XCB4",'cubi (2016)'!$A$3,"MA_HT","DDT","MA_QH","NCK")</f>
        <v>0</v>
      </c>
      <c r="AK41" s="60">
        <f ca="1">+GETPIVOTDATA("XCB4",'cubi (2016)'!$A$3,"MA_HT","DDT","MA_QH","DXH")</f>
        <v>0</v>
      </c>
      <c r="AL41" s="60">
        <f ca="1">+GETPIVOTDATA("XCB4",'cubi (2016)'!$A$3,"MA_HT","DDT","MA_QH","DCH")</f>
        <v>0</v>
      </c>
      <c r="AM41" s="60">
        <f ca="1">+GETPIVOTDATA("XCB4",'cubi (2016)'!$A$3,"MA_HT","DDT","MA_QH","DKG")</f>
        <v>0</v>
      </c>
      <c r="AN41" s="81" t="e">
        <f ca="1">$D41-$BF41</f>
        <v>#REF!</v>
      </c>
      <c r="AO41" s="60">
        <f ca="1">+GETPIVOTDATA("XCB4",'cubi (2016)'!$A$3,"MA_HT","DDT","MA_QH","DDL")</f>
        <v>0</v>
      </c>
      <c r="AP41" s="60">
        <f ca="1">+GETPIVOTDATA("XCB4",'cubi (2016)'!$A$3,"MA_HT","DDT","MA_QH","DRA")</f>
        <v>0</v>
      </c>
      <c r="AQ41" s="60">
        <f ca="1">+GETPIVOTDATA("XCB4",'cubi (2016)'!$A$3,"MA_HT","DDT","MA_QH","ONT")</f>
        <v>0</v>
      </c>
      <c r="AR41" s="60">
        <f ca="1">+GETPIVOTDATA("XCB4",'cubi (2016)'!$A$3,"MA_HT","DDT","MA_QH","ODT")</f>
        <v>0</v>
      </c>
      <c r="AS41" s="60">
        <f ca="1">+GETPIVOTDATA("XCB4",'cubi (2016)'!$A$3,"MA_HT","DDT","MA_QH","TSC")</f>
        <v>0</v>
      </c>
      <c r="AT41" s="60">
        <f ca="1">+GETPIVOTDATA("XCB4",'cubi (2016)'!$A$3,"MA_HT","DDT","MA_QH","DTS")</f>
        <v>0</v>
      </c>
      <c r="AU41" s="60">
        <f ca="1">+GETPIVOTDATA("XCB4",'cubi (2016)'!$A$3,"MA_HT","DDT","MA_QH","DNG")</f>
        <v>0</v>
      </c>
      <c r="AV41" s="60">
        <f ca="1">+GETPIVOTDATA("XCB4",'cubi (2016)'!$A$3,"MA_HT","DDT","MA_QH","TON")</f>
        <v>0</v>
      </c>
      <c r="AW41" s="60">
        <f ca="1">+GETPIVOTDATA("XCB4",'cubi (2016)'!$A$3,"MA_HT","DDT","MA_QH","NTD")</f>
        <v>0</v>
      </c>
      <c r="AX41" s="60">
        <f ca="1">+GETPIVOTDATA("XCB4",'cubi (2016)'!$A$3,"MA_HT","DDT","MA_QH","SKX")</f>
        <v>0</v>
      </c>
      <c r="AY41" s="60">
        <f ca="1">+GETPIVOTDATA("XCB4",'cubi (2016)'!$A$3,"MA_HT","DDT","MA_QH","DSH")</f>
        <v>0</v>
      </c>
      <c r="AZ41" s="60">
        <f ca="1">+GETPIVOTDATA("XCB4",'cubi (2016)'!$A$3,"MA_HT","DDT","MA_QH","DKV")</f>
        <v>0</v>
      </c>
      <c r="BA41" s="90">
        <f ca="1">+GETPIVOTDATA("XCB4",'cubi (2016)'!$A$3,"MA_HT","DDT","MA_QH","TIN")</f>
        <v>0</v>
      </c>
      <c r="BB41" s="91">
        <f ca="1">+GETPIVOTDATA("XCB4",'cubi (2016)'!$A$3,"MA_HT","DDT","MA_QH","SON")</f>
        <v>0</v>
      </c>
      <c r="BC41" s="91">
        <f ca="1">+GETPIVOTDATA("XCB4",'cubi (2016)'!$A$3,"MA_HT","DDT","MA_QH","MNC")</f>
        <v>0</v>
      </c>
      <c r="BD41" s="60">
        <f ca="1">+GETPIVOTDATA("XCB4",'cubi (2016)'!$A$3,"MA_HT","DDT","MA_QH","PNK")</f>
        <v>0</v>
      </c>
      <c r="BE41" s="111">
        <f ca="1">+GETPIVOTDATA("XCB4",'cubi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+GETPIVOTDATA("XCB4",'cubi (2016)'!$A$3,"MA_HT","DDL","MA_QH","LUC")</f>
        <v>0</v>
      </c>
      <c r="H42" s="22">
        <f ca="1">+GETPIVOTDATA("XCB4",'cubi (2016)'!$A$3,"MA_HT","DDL","MA_QH","LUK")</f>
        <v>0</v>
      </c>
      <c r="I42" s="22">
        <f ca="1">+GETPIVOTDATA("XCB4",'cubi (2016)'!$A$3,"MA_HT","DDL","MA_QH","LUN")</f>
        <v>0</v>
      </c>
      <c r="J42" s="22">
        <f ca="1">+GETPIVOTDATA("XCB4",'cubi (2016)'!$A$3,"MA_HT","DDL","MA_QH","HNK")</f>
        <v>0</v>
      </c>
      <c r="K42" s="22">
        <f ca="1">+GETPIVOTDATA("XCB4",'cubi (2016)'!$A$3,"MA_HT","DDL","MA_QH","CLN")</f>
        <v>0</v>
      </c>
      <c r="L42" s="22">
        <f ca="1">+GETPIVOTDATA("XCB4",'cubi (2016)'!$A$3,"MA_HT","DDL","MA_QH","RSX")</f>
        <v>0</v>
      </c>
      <c r="M42" s="22">
        <f ca="1">+GETPIVOTDATA("XCB4",'cubi (2016)'!$A$3,"MA_HT","DDL","MA_QH","RPH")</f>
        <v>0</v>
      </c>
      <c r="N42" s="22">
        <f ca="1">+GETPIVOTDATA("XCB4",'cubi (2016)'!$A$3,"MA_HT","DDL","MA_QH","RDD")</f>
        <v>0</v>
      </c>
      <c r="O42" s="22">
        <f ca="1">+GETPIVOTDATA("XCB4",'cubi (2016)'!$A$3,"MA_HT","DDL","MA_QH","NTS")</f>
        <v>0</v>
      </c>
      <c r="P42" s="22">
        <f ca="1">+GETPIVOTDATA("XCB4",'cubi (2016)'!$A$3,"MA_HT","DDL","MA_QH","LMU")</f>
        <v>0</v>
      </c>
      <c r="Q42" s="22">
        <f ca="1">+GETPIVOTDATA("XCB4",'cubi (2016)'!$A$3,"MA_HT","DDL","MA_QH","NKH")</f>
        <v>0</v>
      </c>
      <c r="R42" s="79">
        <f ca="1">SUM(S42:AA42,AN42,AP42:BD42)</f>
        <v>0</v>
      </c>
      <c r="S42" s="22">
        <f ca="1">+GETPIVOTDATA("XCB4",'cubi (2016)'!$A$3,"MA_HT","DDL","MA_QH","CQP")</f>
        <v>0</v>
      </c>
      <c r="T42" s="22">
        <f ca="1">+GETPIVOTDATA("XCB4",'cubi (2016)'!$A$3,"MA_HT","DDL","MA_QH","CAN")</f>
        <v>0</v>
      </c>
      <c r="U42" s="22">
        <f ca="1">+GETPIVOTDATA("XCB4",'cubi (2016)'!$A$3,"MA_HT","DDL","MA_QH","SKK")</f>
        <v>0</v>
      </c>
      <c r="V42" s="22">
        <f ca="1">+GETPIVOTDATA("XCB4",'cubi (2016)'!$A$3,"MA_HT","DDL","MA_QH","SKT")</f>
        <v>0</v>
      </c>
      <c r="W42" s="22">
        <f ca="1">+GETPIVOTDATA("XCB4",'cubi (2016)'!$A$3,"MA_HT","DDL","MA_QH","SKN")</f>
        <v>0</v>
      </c>
      <c r="X42" s="22">
        <f ca="1">+GETPIVOTDATA("XCB4",'cubi (2016)'!$A$3,"MA_HT","DDL","MA_QH","TMD")</f>
        <v>0</v>
      </c>
      <c r="Y42" s="22">
        <f ca="1">+GETPIVOTDATA("XCB4",'cubi (2016)'!$A$3,"MA_HT","DDL","MA_QH","SKC")</f>
        <v>0</v>
      </c>
      <c r="Z42" s="22">
        <f ca="1">+GETPIVOTDATA("XCB4",'cubi (2016)'!$A$3,"MA_HT","DDL","MA_QH","SKS")</f>
        <v>0</v>
      </c>
      <c r="AA42" s="52">
        <f ca="1" t="shared" si="21"/>
        <v>0</v>
      </c>
      <c r="AB42" s="22">
        <f ca="1">+GETPIVOTDATA("XCB4",'cubi (2016)'!$A$3,"MA_HT","DDL","MA_QH","DGT")</f>
        <v>0</v>
      </c>
      <c r="AC42" s="22">
        <f ca="1">+GETPIVOTDATA("XCB4",'cubi (2016)'!$A$3,"MA_HT","DDL","MA_QH","DTL")</f>
        <v>0</v>
      </c>
      <c r="AD42" s="22">
        <f ca="1">+GETPIVOTDATA("XCB4",'cubi (2016)'!$A$3,"MA_HT","DDL","MA_QH","DNL")</f>
        <v>0</v>
      </c>
      <c r="AE42" s="22">
        <f ca="1">+GETPIVOTDATA("XCB4",'cubi (2016)'!$A$3,"MA_HT","DDL","MA_QH","DBV")</f>
        <v>0</v>
      </c>
      <c r="AF42" s="22">
        <f ca="1">+GETPIVOTDATA("XCB4",'cubi (2016)'!$A$3,"MA_HT","DDL","MA_QH","DVH")</f>
        <v>0</v>
      </c>
      <c r="AG42" s="22">
        <f ca="1">+GETPIVOTDATA("XCB4",'cubi (2016)'!$A$3,"MA_HT","DDL","MA_QH","DYT")</f>
        <v>0</v>
      </c>
      <c r="AH42" s="22">
        <f ca="1">+GETPIVOTDATA("XCB4",'cubi (2016)'!$A$3,"MA_HT","DDL","MA_QH","DGD")</f>
        <v>0</v>
      </c>
      <c r="AI42" s="22">
        <f ca="1">+GETPIVOTDATA("XCB4",'cubi (2016)'!$A$3,"MA_HT","DDL","MA_QH","DTT")</f>
        <v>0</v>
      </c>
      <c r="AJ42" s="22">
        <f ca="1">+GETPIVOTDATA("XCB4",'cubi (2016)'!$A$3,"MA_HT","DDL","MA_QH","NCK")</f>
        <v>0</v>
      </c>
      <c r="AK42" s="22">
        <f ca="1">+GETPIVOTDATA("XCB4",'cubi (2016)'!$A$3,"MA_HT","DDL","MA_QH","DXH")</f>
        <v>0</v>
      </c>
      <c r="AL42" s="22">
        <f ca="1">+GETPIVOTDATA("XCB4",'cubi (2016)'!$A$3,"MA_HT","DDL","MA_QH","DCH")</f>
        <v>0</v>
      </c>
      <c r="AM42" s="22">
        <f ca="1">+GETPIVOTDATA("XCB4",'cubi (2016)'!$A$3,"MA_HT","DDL","MA_QH","DKG")</f>
        <v>0</v>
      </c>
      <c r="AN42" s="22">
        <f ca="1">+GETPIVOTDATA("XCB4",'cubi (2016)'!$A$3,"MA_HT","DDL","MA_QH","DDT")</f>
        <v>0</v>
      </c>
      <c r="AO42" s="43" t="e">
        <f ca="1">$D42-$BF42</f>
        <v>#REF!</v>
      </c>
      <c r="AP42" s="22">
        <f ca="1">+GETPIVOTDATA("XCB4",'cubi (2016)'!$A$3,"MA_HT","DDL","MA_QH","DRA")</f>
        <v>0</v>
      </c>
      <c r="AQ42" s="22">
        <f ca="1">+GETPIVOTDATA("XCB4",'cubi (2016)'!$A$3,"MA_HT","DDL","MA_QH","ONT")</f>
        <v>0</v>
      </c>
      <c r="AR42" s="22">
        <f ca="1">+GETPIVOTDATA("XCB4",'cubi (2016)'!$A$3,"MA_HT","DDL","MA_QH","ODT")</f>
        <v>0</v>
      </c>
      <c r="AS42" s="22">
        <f ca="1">+GETPIVOTDATA("XCB4",'cubi (2016)'!$A$3,"MA_HT","DDL","MA_QH","TSC")</f>
        <v>0</v>
      </c>
      <c r="AT42" s="22">
        <f ca="1">+GETPIVOTDATA("XCB4",'cubi (2016)'!$A$3,"MA_HT","DDL","MA_QH","DTS")</f>
        <v>0</v>
      </c>
      <c r="AU42" s="22">
        <f ca="1">+GETPIVOTDATA("XCB4",'cubi (2016)'!$A$3,"MA_HT","DDL","MA_QH","DNG")</f>
        <v>0</v>
      </c>
      <c r="AV42" s="22">
        <f ca="1">+GETPIVOTDATA("XCB4",'cubi (2016)'!$A$3,"MA_HT","DDL","MA_QH","TON")</f>
        <v>0</v>
      </c>
      <c r="AW42" s="22">
        <f ca="1">+GETPIVOTDATA("XCB4",'cubi (2016)'!$A$3,"MA_HT","DDL","MA_QH","NTD")</f>
        <v>0</v>
      </c>
      <c r="AX42" s="22">
        <f ca="1">+GETPIVOTDATA("XCB4",'cubi (2016)'!$A$3,"MA_HT","DDL","MA_QH","SKX")</f>
        <v>0</v>
      </c>
      <c r="AY42" s="22">
        <f ca="1">+GETPIVOTDATA("XCB4",'cubi (2016)'!$A$3,"MA_HT","DDL","MA_QH","DSH")</f>
        <v>0</v>
      </c>
      <c r="AZ42" s="22">
        <f ca="1">+GETPIVOTDATA("XCB4",'cubi (2016)'!$A$3,"MA_HT","DDL","MA_QH","DKV")</f>
        <v>0</v>
      </c>
      <c r="BA42" s="89">
        <f ca="1">+GETPIVOTDATA("XCB4",'cubi (2016)'!$A$3,"MA_HT","DDL","MA_QH","TIN")</f>
        <v>0</v>
      </c>
      <c r="BB42" s="50">
        <f ca="1">+GETPIVOTDATA("XCB4",'cubi (2016)'!$A$3,"MA_HT","DDL","MA_QH","SON")</f>
        <v>0</v>
      </c>
      <c r="BC42" s="50">
        <f ca="1">+GETPIVOTDATA("XCB4",'cubi (2016)'!$A$3,"MA_HT","DDL","MA_QH","MNC")</f>
        <v>0</v>
      </c>
      <c r="BD42" s="22">
        <f ca="1">+GETPIVOTDATA("XCB4",'cubi (2016)'!$A$3,"MA_HT","DDL","MA_QH","PNK")</f>
        <v>0</v>
      </c>
      <c r="BE42" s="71">
        <f ca="1">+GETPIVOTDATA("XCB4",'cubi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+GETPIVOTDATA("XCB4",'cubi (2016)'!$A$3,"MA_HT","DRA","MA_QH","LUC")</f>
        <v>0</v>
      </c>
      <c r="H43" s="22">
        <f ca="1">+GETPIVOTDATA("XCB4",'cubi (2016)'!$A$3,"MA_HT","DRA","MA_QH","LUK")</f>
        <v>0</v>
      </c>
      <c r="I43" s="22">
        <f ca="1">+GETPIVOTDATA("XCB4",'cubi (2016)'!$A$3,"MA_HT","DRA","MA_QH","LUN")</f>
        <v>0</v>
      </c>
      <c r="J43" s="22">
        <f ca="1">+GETPIVOTDATA("XCB4",'cubi (2016)'!$A$3,"MA_HT","DRA","MA_QH","HNK")</f>
        <v>0</v>
      </c>
      <c r="K43" s="22">
        <f ca="1">+GETPIVOTDATA("XCB4",'cubi (2016)'!$A$3,"MA_HT","DRA","MA_QH","CLN")</f>
        <v>0</v>
      </c>
      <c r="L43" s="22">
        <f ca="1">+GETPIVOTDATA("XCB4",'cubi (2016)'!$A$3,"MA_HT","DRA","MA_QH","RSX")</f>
        <v>0</v>
      </c>
      <c r="M43" s="22">
        <f ca="1">+GETPIVOTDATA("XCB4",'cubi (2016)'!$A$3,"MA_HT","DRA","MA_QH","RPH")</f>
        <v>0</v>
      </c>
      <c r="N43" s="22">
        <f ca="1">+GETPIVOTDATA("XCB4",'cubi (2016)'!$A$3,"MA_HT","DRA","MA_QH","RDD")</f>
        <v>0</v>
      </c>
      <c r="O43" s="22">
        <f ca="1">+GETPIVOTDATA("XCB4",'cubi (2016)'!$A$3,"MA_HT","DRA","MA_QH","NTS")</f>
        <v>0</v>
      </c>
      <c r="P43" s="22">
        <f ca="1">+GETPIVOTDATA("XCB4",'cubi (2016)'!$A$3,"MA_HT","DRA","MA_QH","LMU")</f>
        <v>0</v>
      </c>
      <c r="Q43" s="22">
        <f ca="1">+GETPIVOTDATA("XCB4",'cubi (2016)'!$A$3,"MA_HT","DRA","MA_QH","NKH")</f>
        <v>0</v>
      </c>
      <c r="R43" s="79">
        <f ca="1">SUM(S43:AA43,AN43:AO43,AQ43:BD43)</f>
        <v>0</v>
      </c>
      <c r="S43" s="22">
        <f ca="1">+GETPIVOTDATA("XCB4",'cubi (2016)'!$A$3,"MA_HT","DRA","MA_QH","CQP")</f>
        <v>0</v>
      </c>
      <c r="T43" s="22">
        <f ca="1">+GETPIVOTDATA("XCB4",'cubi (2016)'!$A$3,"MA_HT","DRA","MA_QH","CAN")</f>
        <v>0</v>
      </c>
      <c r="U43" s="22">
        <f ca="1">+GETPIVOTDATA("XCB4",'cubi (2016)'!$A$3,"MA_HT","DRA","MA_QH","SKK")</f>
        <v>0</v>
      </c>
      <c r="V43" s="22">
        <f ca="1">+GETPIVOTDATA("XCB4",'cubi (2016)'!$A$3,"MA_HT","DRA","MA_QH","SKT")</f>
        <v>0</v>
      </c>
      <c r="W43" s="22">
        <f ca="1">+GETPIVOTDATA("XCB4",'cubi (2016)'!$A$3,"MA_HT","DRA","MA_QH","SKN")</f>
        <v>0</v>
      </c>
      <c r="X43" s="22">
        <f ca="1">+GETPIVOTDATA("XCB4",'cubi (2016)'!$A$3,"MA_HT","DRA","MA_QH","TMD")</f>
        <v>0</v>
      </c>
      <c r="Y43" s="22">
        <f ca="1">+GETPIVOTDATA("XCB4",'cubi (2016)'!$A$3,"MA_HT","DRA","MA_QH","SKC")</f>
        <v>0</v>
      </c>
      <c r="Z43" s="22">
        <f ca="1">+GETPIVOTDATA("XCB4",'cubi (2016)'!$A$3,"MA_HT","DRA","MA_QH","SKS")</f>
        <v>0</v>
      </c>
      <c r="AA43" s="52">
        <f ca="1" t="shared" si="21"/>
        <v>0</v>
      </c>
      <c r="AB43" s="22">
        <f ca="1">+GETPIVOTDATA("XCB4",'cubi (2016)'!$A$3,"MA_HT","DRA","MA_QH","DGT")</f>
        <v>0</v>
      </c>
      <c r="AC43" s="22">
        <f ca="1">+GETPIVOTDATA("XCB4",'cubi (2016)'!$A$3,"MA_HT","DRA","MA_QH","DTL")</f>
        <v>0</v>
      </c>
      <c r="AD43" s="22">
        <f ca="1">+GETPIVOTDATA("XCB4",'cubi (2016)'!$A$3,"MA_HT","DRA","MA_QH","DNL")</f>
        <v>0</v>
      </c>
      <c r="AE43" s="22">
        <f ca="1">+GETPIVOTDATA("XCB4",'cubi (2016)'!$A$3,"MA_HT","DRA","MA_QH","DBV")</f>
        <v>0</v>
      </c>
      <c r="AF43" s="22">
        <f ca="1">+GETPIVOTDATA("XCB4",'cubi (2016)'!$A$3,"MA_HT","DRA","MA_QH","DVH")</f>
        <v>0</v>
      </c>
      <c r="AG43" s="22">
        <f ca="1">+GETPIVOTDATA("XCB4",'cubi (2016)'!$A$3,"MA_HT","DRA","MA_QH","DYT")</f>
        <v>0</v>
      </c>
      <c r="AH43" s="22">
        <f ca="1">+GETPIVOTDATA("XCB4",'cubi (2016)'!$A$3,"MA_HT","DRA","MA_QH","DGD")</f>
        <v>0</v>
      </c>
      <c r="AI43" s="22">
        <f ca="1">+GETPIVOTDATA("XCB4",'cubi (2016)'!$A$3,"MA_HT","DRA","MA_QH","DTT")</f>
        <v>0</v>
      </c>
      <c r="AJ43" s="22">
        <f ca="1">+GETPIVOTDATA("XCB4",'cubi (2016)'!$A$3,"MA_HT","DRA","MA_QH","NCK")</f>
        <v>0</v>
      </c>
      <c r="AK43" s="22">
        <f ca="1">+GETPIVOTDATA("XCB4",'cubi (2016)'!$A$3,"MA_HT","DRA","MA_QH","DXH")</f>
        <v>0</v>
      </c>
      <c r="AL43" s="22">
        <f ca="1">+GETPIVOTDATA("XCB4",'cubi (2016)'!$A$3,"MA_HT","DRA","MA_QH","DCH")</f>
        <v>0</v>
      </c>
      <c r="AM43" s="22">
        <f ca="1">+GETPIVOTDATA("XCB4",'cubi (2016)'!$A$3,"MA_HT","DRA","MA_QH","DKG")</f>
        <v>0</v>
      </c>
      <c r="AN43" s="22">
        <f ca="1">+GETPIVOTDATA("XCB4",'cubi (2016)'!$A$3,"MA_HT","DRA","MA_QH","DDT")</f>
        <v>0</v>
      </c>
      <c r="AO43" s="22">
        <f ca="1">+GETPIVOTDATA("XCB4",'cubi (2016)'!$A$3,"MA_HT","DRA","MA_QH","DDL")</f>
        <v>0</v>
      </c>
      <c r="AP43" s="43" t="e">
        <f ca="1">$D43-$BF43</f>
        <v>#REF!</v>
      </c>
      <c r="AQ43" s="22">
        <f ca="1">+GETPIVOTDATA("XCB4",'cubi (2016)'!$A$3,"MA_HT","DRA","MA_QH","ONT")</f>
        <v>0</v>
      </c>
      <c r="AR43" s="22">
        <f ca="1">+GETPIVOTDATA("XCB4",'cubi (2016)'!$A$3,"MA_HT","DRA","MA_QH","ODT")</f>
        <v>0</v>
      </c>
      <c r="AS43" s="22">
        <f ca="1">+GETPIVOTDATA("XCB4",'cubi (2016)'!$A$3,"MA_HT","DRA","MA_QH","TSC")</f>
        <v>0</v>
      </c>
      <c r="AT43" s="22">
        <f ca="1">+GETPIVOTDATA("XCB4",'cubi (2016)'!$A$3,"MA_HT","DRA","MA_QH","DTS")</f>
        <v>0</v>
      </c>
      <c r="AU43" s="22">
        <f ca="1">+GETPIVOTDATA("XCB4",'cubi (2016)'!$A$3,"MA_HT","DRA","MA_QH","DNG")</f>
        <v>0</v>
      </c>
      <c r="AV43" s="22">
        <f ca="1">+GETPIVOTDATA("XCB4",'cubi (2016)'!$A$3,"MA_HT","DRA","MA_QH","TON")</f>
        <v>0</v>
      </c>
      <c r="AW43" s="22">
        <f ca="1">+GETPIVOTDATA("XCB4",'cubi (2016)'!$A$3,"MA_HT","DRA","MA_QH","NTD")</f>
        <v>0</v>
      </c>
      <c r="AX43" s="22">
        <f ca="1">+GETPIVOTDATA("XCB4",'cubi (2016)'!$A$3,"MA_HT","DRA","MA_QH","SKX")</f>
        <v>0</v>
      </c>
      <c r="AY43" s="22">
        <f ca="1">+GETPIVOTDATA("XCB4",'cubi (2016)'!$A$3,"MA_HT","DRA","MA_QH","DSH")</f>
        <v>0</v>
      </c>
      <c r="AZ43" s="22">
        <f ca="1">+GETPIVOTDATA("XCB4",'cubi (2016)'!$A$3,"MA_HT","DRA","MA_QH","DKV")</f>
        <v>0</v>
      </c>
      <c r="BA43" s="89">
        <f ca="1">+GETPIVOTDATA("XCB4",'cubi (2016)'!$A$3,"MA_HT","DRA","MA_QH","TIN")</f>
        <v>0</v>
      </c>
      <c r="BB43" s="50">
        <f ca="1">+GETPIVOTDATA("XCB4",'cubi (2016)'!$A$3,"MA_HT","DRA","MA_QH","SON")</f>
        <v>0</v>
      </c>
      <c r="BC43" s="50">
        <f ca="1">+GETPIVOTDATA("XCB4",'cubi (2016)'!$A$3,"MA_HT","DRA","MA_QH","MNC")</f>
        <v>0</v>
      </c>
      <c r="BD43" s="22">
        <f ca="1">+GETPIVOTDATA("XCB4",'cubi (2016)'!$A$3,"MA_HT","DRA","MA_QH","PNK")</f>
        <v>0</v>
      </c>
      <c r="BE43" s="71">
        <f ca="1">+GETPIVOTDATA("XCB4",'cubi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+GETPIVOTDATA("XCB4",'cubi (2016)'!$A$3,"MA_HT","ONT","MA_QH","LUC")</f>
        <v>0</v>
      </c>
      <c r="H44" s="22">
        <f ca="1">+GETPIVOTDATA("XCB4",'cubi (2016)'!$A$3,"MA_HT","ONT","MA_QH","LUK")</f>
        <v>0</v>
      </c>
      <c r="I44" s="22">
        <f ca="1">+GETPIVOTDATA("XCB4",'cubi (2016)'!$A$3,"MA_HT","ONT","MA_QH","LUN")</f>
        <v>0</v>
      </c>
      <c r="J44" s="22">
        <f ca="1">+GETPIVOTDATA("XCB4",'cubi (2016)'!$A$3,"MA_HT","ONT","MA_QH","HNK")</f>
        <v>0</v>
      </c>
      <c r="K44" s="22">
        <f ca="1">+GETPIVOTDATA("XCB4",'cubi (2016)'!$A$3,"MA_HT","ONT","MA_QH","CLN")</f>
        <v>0</v>
      </c>
      <c r="L44" s="22">
        <f ca="1">+GETPIVOTDATA("XCB4",'cubi (2016)'!$A$3,"MA_HT","ONT","MA_QH","RSX")</f>
        <v>0</v>
      </c>
      <c r="M44" s="22">
        <f ca="1">+GETPIVOTDATA("XCB4",'cubi (2016)'!$A$3,"MA_HT","ONT","MA_QH","RPH")</f>
        <v>0</v>
      </c>
      <c r="N44" s="22">
        <f ca="1">+GETPIVOTDATA("XCB4",'cubi (2016)'!$A$3,"MA_HT","ONT","MA_QH","RDD")</f>
        <v>0</v>
      </c>
      <c r="O44" s="22">
        <f ca="1">+GETPIVOTDATA("XCB4",'cubi (2016)'!$A$3,"MA_HT","ONT","MA_QH","NTS")</f>
        <v>0</v>
      </c>
      <c r="P44" s="22">
        <f ca="1">+GETPIVOTDATA("XCB4",'cubi (2016)'!$A$3,"MA_HT","ONT","MA_QH","LMU")</f>
        <v>0</v>
      </c>
      <c r="Q44" s="22">
        <f ca="1">+GETPIVOTDATA("XCB4",'cubi (2016)'!$A$3,"MA_HT","ONT","MA_QH","NKH")</f>
        <v>0</v>
      </c>
      <c r="R44" s="79">
        <f ca="1">SUM(S44:AA44,AN44:AP44,AR44:BD44)</f>
        <v>0</v>
      </c>
      <c r="S44" s="22">
        <f ca="1">+GETPIVOTDATA("XCB4",'cubi (2016)'!$A$3,"MA_HT","ONT","MA_QH","CQP")</f>
        <v>0</v>
      </c>
      <c r="T44" s="22">
        <f ca="1">+GETPIVOTDATA("XCB4",'cubi (2016)'!$A$3,"MA_HT","ONT","MA_QH","CAN")</f>
        <v>0</v>
      </c>
      <c r="U44" s="22">
        <f ca="1">+GETPIVOTDATA("XCB4",'cubi (2016)'!$A$3,"MA_HT","ONT","MA_QH","SKK")</f>
        <v>0</v>
      </c>
      <c r="V44" s="22">
        <f ca="1">+GETPIVOTDATA("XCB4",'cubi (2016)'!$A$3,"MA_HT","ONT","MA_QH","SKT")</f>
        <v>0</v>
      </c>
      <c r="W44" s="22">
        <f ca="1">+GETPIVOTDATA("XCB4",'cubi (2016)'!$A$3,"MA_HT","ONT","MA_QH","SKN")</f>
        <v>0</v>
      </c>
      <c r="X44" s="22">
        <f ca="1">+GETPIVOTDATA("XCB4",'cubi (2016)'!$A$3,"MA_HT","ONT","MA_QH","TMD")</f>
        <v>0</v>
      </c>
      <c r="Y44" s="22">
        <f ca="1">+GETPIVOTDATA("XCB4",'cubi (2016)'!$A$3,"MA_HT","ONT","MA_QH","SKC")</f>
        <v>0</v>
      </c>
      <c r="Z44" s="22">
        <f ca="1">+GETPIVOTDATA("XCB4",'cubi (2016)'!$A$3,"MA_HT","ONT","MA_QH","SKS")</f>
        <v>0</v>
      </c>
      <c r="AA44" s="52">
        <f ca="1" t="shared" si="21"/>
        <v>0</v>
      </c>
      <c r="AB44" s="22">
        <f ca="1">+GETPIVOTDATA("XCB4",'cubi (2016)'!$A$3,"MA_HT","ONT","MA_QH","DGT")</f>
        <v>0</v>
      </c>
      <c r="AC44" s="22">
        <f ca="1">+GETPIVOTDATA("XCB4",'cubi (2016)'!$A$3,"MA_HT","ONT","MA_QH","DTL")</f>
        <v>0</v>
      </c>
      <c r="AD44" s="22">
        <f ca="1">+GETPIVOTDATA("XCB4",'cubi (2016)'!$A$3,"MA_HT","ONT","MA_QH","DNL")</f>
        <v>0</v>
      </c>
      <c r="AE44" s="22">
        <f ca="1">+GETPIVOTDATA("XCB4",'cubi (2016)'!$A$3,"MA_HT","ONT","MA_QH","DBV")</f>
        <v>0</v>
      </c>
      <c r="AF44" s="22">
        <f ca="1">+GETPIVOTDATA("XCB4",'cubi (2016)'!$A$3,"MA_HT","ONT","MA_QH","DVH")</f>
        <v>0</v>
      </c>
      <c r="AG44" s="22">
        <f ca="1">+GETPIVOTDATA("XCB4",'cubi (2016)'!$A$3,"MA_HT","ONT","MA_QH","DYT")</f>
        <v>0</v>
      </c>
      <c r="AH44" s="22">
        <f ca="1">+GETPIVOTDATA("XCB4",'cubi (2016)'!$A$3,"MA_HT","ONT","MA_QH","DGD")</f>
        <v>0</v>
      </c>
      <c r="AI44" s="22">
        <f ca="1">+GETPIVOTDATA("XCB4",'cubi (2016)'!$A$3,"MA_HT","ONT","MA_QH","DTT")</f>
        <v>0</v>
      </c>
      <c r="AJ44" s="22">
        <f ca="1">+GETPIVOTDATA("XCB4",'cubi (2016)'!$A$3,"MA_HT","ONT","MA_QH","NCK")</f>
        <v>0</v>
      </c>
      <c r="AK44" s="22">
        <f ca="1">+GETPIVOTDATA("XCB4",'cubi (2016)'!$A$3,"MA_HT","ONT","MA_QH","DXH")</f>
        <v>0</v>
      </c>
      <c r="AL44" s="22">
        <f ca="1">+GETPIVOTDATA("XCB4",'cubi (2016)'!$A$3,"MA_HT","ONT","MA_QH","DCH")</f>
        <v>0</v>
      </c>
      <c r="AM44" s="22">
        <f ca="1">+GETPIVOTDATA("XCB4",'cubi (2016)'!$A$3,"MA_HT","ONT","MA_QH","DKG")</f>
        <v>0</v>
      </c>
      <c r="AN44" s="22">
        <f ca="1">+GETPIVOTDATA("XCB4",'cubi (2016)'!$A$3,"MA_HT","ONT","MA_QH","DDT")</f>
        <v>0</v>
      </c>
      <c r="AO44" s="22">
        <f ca="1">+GETPIVOTDATA("XCB4",'cubi (2016)'!$A$3,"MA_HT","ONT","MA_QH","DDL")</f>
        <v>0</v>
      </c>
      <c r="AP44" s="22">
        <f ca="1">+GETPIVOTDATA("XCB4",'cubi (2016)'!$A$3,"MA_HT","ONT","MA_QH","DRA")</f>
        <v>0</v>
      </c>
      <c r="AQ44" s="43" t="e">
        <f ca="1">$D44-$BF44</f>
        <v>#REF!</v>
      </c>
      <c r="AR44" s="22">
        <f ca="1">+GETPIVOTDATA("XCB4",'cubi (2016)'!$A$3,"MA_HT","ONT","MA_QH","ODT")</f>
        <v>0</v>
      </c>
      <c r="AS44" s="22">
        <f ca="1">+GETPIVOTDATA("XCB4",'cubi (2016)'!$A$3,"MA_HT","ONT","MA_QH","TSC")</f>
        <v>0</v>
      </c>
      <c r="AT44" s="22">
        <f ca="1">+GETPIVOTDATA("XCB4",'cubi (2016)'!$A$3,"MA_HT","ONT","MA_QH","DTS")</f>
        <v>0</v>
      </c>
      <c r="AU44" s="22">
        <f ca="1">+GETPIVOTDATA("XCB4",'cubi (2016)'!$A$3,"MA_HT","ONT","MA_QH","DNG")</f>
        <v>0</v>
      </c>
      <c r="AV44" s="22">
        <f ca="1">+GETPIVOTDATA("XCB4",'cubi (2016)'!$A$3,"MA_HT","ONT","MA_QH","TON")</f>
        <v>0</v>
      </c>
      <c r="AW44" s="22">
        <f ca="1">+GETPIVOTDATA("XCB4",'cubi (2016)'!$A$3,"MA_HT","ONT","MA_QH","NTD")</f>
        <v>0</v>
      </c>
      <c r="AX44" s="22">
        <f ca="1">+GETPIVOTDATA("XCB4",'cubi (2016)'!$A$3,"MA_HT","ONT","MA_QH","SKX")</f>
        <v>0</v>
      </c>
      <c r="AY44" s="22">
        <f ca="1">+GETPIVOTDATA("XCB4",'cubi (2016)'!$A$3,"MA_HT","ONT","MA_QH","DSH")</f>
        <v>0</v>
      </c>
      <c r="AZ44" s="22">
        <f ca="1">+GETPIVOTDATA("XCB4",'cubi (2016)'!$A$3,"MA_HT","ONT","MA_QH","DKV")</f>
        <v>0</v>
      </c>
      <c r="BA44" s="89">
        <f ca="1">+GETPIVOTDATA("XCB4",'cubi (2016)'!$A$3,"MA_HT","ONT","MA_QH","TIN")</f>
        <v>0</v>
      </c>
      <c r="BB44" s="50">
        <f ca="1">+GETPIVOTDATA("XCB4",'cubi (2016)'!$A$3,"MA_HT","ONT","MA_QH","SON")</f>
        <v>0</v>
      </c>
      <c r="BC44" s="50">
        <f ca="1">+GETPIVOTDATA("XCB4",'cubi (2016)'!$A$3,"MA_HT","ONT","MA_QH","MNC")</f>
        <v>0</v>
      </c>
      <c r="BD44" s="22">
        <f ca="1">+GETPIVOTDATA("XCB4",'cubi (2016)'!$A$3,"MA_HT","ONT","MA_QH","PNK")</f>
        <v>0</v>
      </c>
      <c r="BE44" s="71">
        <f ca="1">+GETPIVOTDATA("XCB4",'cubi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+GETPIVOTDATA("XCB4",'cubi (2016)'!$A$3,"MA_HT","ODT","MA_QH","LUC")</f>
        <v>0</v>
      </c>
      <c r="H45" s="67">
        <f ca="1">+GETPIVOTDATA("XCB4",'cubi (2016)'!$A$3,"MA_HT","ODT","MA_QH","LUK")</f>
        <v>0</v>
      </c>
      <c r="I45" s="67">
        <f ca="1">+GETPIVOTDATA("XCB4",'cubi (2016)'!$A$3,"MA_HT","ODT","MA_QH","LUN")</f>
        <v>0</v>
      </c>
      <c r="J45" s="67">
        <f ca="1">+GETPIVOTDATA("XCB4",'cubi (2016)'!$A$3,"MA_HT","ODT","MA_QH","HNK")</f>
        <v>0</v>
      </c>
      <c r="K45" s="67">
        <f ca="1">+GETPIVOTDATA("XCB4",'cubi (2016)'!$A$3,"MA_HT","ODT","MA_QH","CLN")</f>
        <v>0</v>
      </c>
      <c r="L45" s="67">
        <f ca="1">+GETPIVOTDATA("XCB4",'cubi (2016)'!$A$3,"MA_HT","ODT","MA_QH","RSX")</f>
        <v>0</v>
      </c>
      <c r="M45" s="67">
        <f ca="1">+GETPIVOTDATA("XCB4",'cubi (2016)'!$A$3,"MA_HT","ODT","MA_QH","RPH")</f>
        <v>0</v>
      </c>
      <c r="N45" s="67">
        <f ca="1">+GETPIVOTDATA("XCB4",'cubi (2016)'!$A$3,"MA_HT","ODT","MA_QH","RDD")</f>
        <v>0</v>
      </c>
      <c r="O45" s="67">
        <f ca="1">+GETPIVOTDATA("XCB4",'cubi (2016)'!$A$3,"MA_HT","ODT","MA_QH","NTS")</f>
        <v>0</v>
      </c>
      <c r="P45" s="67">
        <f ca="1">+GETPIVOTDATA("XCB4",'cubi (2016)'!$A$3,"MA_HT","ODT","MA_QH","LMU")</f>
        <v>0</v>
      </c>
      <c r="Q45" s="67">
        <f ca="1">+GETPIVOTDATA("XCB4",'cubi (2016)'!$A$3,"MA_HT","ODT","MA_QH","NKH")</f>
        <v>0</v>
      </c>
      <c r="R45" s="79">
        <f ca="1">SUM(S45:AA45,AN45:AQ45,AS45:BD45)</f>
        <v>0</v>
      </c>
      <c r="S45" s="67">
        <f ca="1">+GETPIVOTDATA("XCB4",'cubi (2016)'!$A$3,"MA_HT","ODT","MA_QH","CQP")</f>
        <v>0</v>
      </c>
      <c r="T45" s="67">
        <f ca="1">+GETPIVOTDATA("XCB4",'cubi (2016)'!$A$3,"MA_HT","ODT","MA_QH","CAN")</f>
        <v>0</v>
      </c>
      <c r="U45" s="67">
        <f ca="1">+GETPIVOTDATA("XCB4",'cubi (2016)'!$A$3,"MA_HT","ODT","MA_QH","SKK")</f>
        <v>0</v>
      </c>
      <c r="V45" s="67">
        <f ca="1">+GETPIVOTDATA("XCB4",'cubi (2016)'!$A$3,"MA_HT","ODT","MA_QH","SKT")</f>
        <v>0</v>
      </c>
      <c r="W45" s="67">
        <f ca="1">+GETPIVOTDATA("XCB4",'cubi (2016)'!$A$3,"MA_HT","ODT","MA_QH","SKN")</f>
        <v>0</v>
      </c>
      <c r="X45" s="67">
        <f ca="1">+GETPIVOTDATA("XCB4",'cubi (2016)'!$A$3,"MA_HT","ODT","MA_QH","TMD")</f>
        <v>0</v>
      </c>
      <c r="Y45" s="67">
        <f ca="1">+GETPIVOTDATA("XCB4",'cubi (2016)'!$A$3,"MA_HT","ODT","MA_QH","SKC")</f>
        <v>0</v>
      </c>
      <c r="Z45" s="67">
        <f ca="1">+GETPIVOTDATA("XCB4",'cubi (2016)'!$A$3,"MA_HT","ODT","MA_QH","SKS")</f>
        <v>0</v>
      </c>
      <c r="AA45" s="66">
        <f ca="1" t="shared" si="21"/>
        <v>0</v>
      </c>
      <c r="AB45" s="67">
        <f ca="1">+GETPIVOTDATA("XCB4",'cubi (2016)'!$A$3,"MA_HT","ODT","MA_QH","DGT")</f>
        <v>0</v>
      </c>
      <c r="AC45" s="67">
        <f ca="1">+GETPIVOTDATA("XCB4",'cubi (2016)'!$A$3,"MA_HT","ODT","MA_QH","DTL")</f>
        <v>0</v>
      </c>
      <c r="AD45" s="67">
        <f ca="1">+GETPIVOTDATA("XCB4",'cubi (2016)'!$A$3,"MA_HT","ODT","MA_QH","DNL")</f>
        <v>0</v>
      </c>
      <c r="AE45" s="67">
        <f ca="1">+GETPIVOTDATA("XCB4",'cubi (2016)'!$A$3,"MA_HT","ODT","MA_QH","DBV")</f>
        <v>0</v>
      </c>
      <c r="AF45" s="67">
        <f ca="1">+GETPIVOTDATA("XCB4",'cubi (2016)'!$A$3,"MA_HT","ODT","MA_QH","DVH")</f>
        <v>0</v>
      </c>
      <c r="AG45" s="67">
        <f ca="1">+GETPIVOTDATA("XCB4",'cubi (2016)'!$A$3,"MA_HT","ODT","MA_QH","DYT")</f>
        <v>0</v>
      </c>
      <c r="AH45" s="67">
        <f ca="1">+GETPIVOTDATA("XCB4",'cubi (2016)'!$A$3,"MA_HT","ODT","MA_QH","DGD")</f>
        <v>0</v>
      </c>
      <c r="AI45" s="67">
        <f ca="1">+GETPIVOTDATA("XCB4",'cubi (2016)'!$A$3,"MA_HT","ODT","MA_QH","DTT")</f>
        <v>0</v>
      </c>
      <c r="AJ45" s="67">
        <f ca="1">+GETPIVOTDATA("XCB4",'cubi (2016)'!$A$3,"MA_HT","ODT","MA_QH","NCK")</f>
        <v>0</v>
      </c>
      <c r="AK45" s="67">
        <f ca="1">+GETPIVOTDATA("XCB4",'cubi (2016)'!$A$3,"MA_HT","ODT","MA_QH","DXH")</f>
        <v>0</v>
      </c>
      <c r="AL45" s="67">
        <f ca="1">+GETPIVOTDATA("XCB4",'cubi (2016)'!$A$3,"MA_HT","ODT","MA_QH","DCH")</f>
        <v>0</v>
      </c>
      <c r="AM45" s="67">
        <f ca="1">+GETPIVOTDATA("XCB4",'cubi (2016)'!$A$3,"MA_HT","ODT","MA_QH","DKG")</f>
        <v>0</v>
      </c>
      <c r="AN45" s="67">
        <f ca="1">+GETPIVOTDATA("XCB4",'cubi (2016)'!$A$3,"MA_HT","ODT","MA_QH","DDT")</f>
        <v>0</v>
      </c>
      <c r="AO45" s="67">
        <f ca="1">+GETPIVOTDATA("XCB4",'cubi (2016)'!$A$3,"MA_HT","ODT","MA_QH","DDL")</f>
        <v>0</v>
      </c>
      <c r="AP45" s="67">
        <f ca="1">+GETPIVOTDATA("XCB4",'cubi (2016)'!$A$3,"MA_HT","ODT","MA_QH","DRA")</f>
        <v>0</v>
      </c>
      <c r="AQ45" s="67">
        <f ca="1">+GETPIVOTDATA("XCB4",'cubi (2016)'!$A$3,"MA_HT","ODT","MA_QH","ONT")</f>
        <v>0</v>
      </c>
      <c r="AR45" s="82" t="e">
        <f ca="1">$D45-$BF45</f>
        <v>#REF!</v>
      </c>
      <c r="AS45" s="67">
        <f ca="1">+GETPIVOTDATA("XCB4",'cubi (2016)'!$A$3,"MA_HT","ODT","MA_QH","TSC")</f>
        <v>0</v>
      </c>
      <c r="AT45" s="67">
        <f ca="1">+GETPIVOTDATA("XCB4",'cubi (2016)'!$A$3,"MA_HT","ODT","MA_QH","DTS")</f>
        <v>0</v>
      </c>
      <c r="AU45" s="67">
        <f ca="1">+GETPIVOTDATA("XCB4",'cubi (2016)'!$A$3,"MA_HT","ODT","MA_QH","DNG")</f>
        <v>0</v>
      </c>
      <c r="AV45" s="67">
        <f ca="1">+GETPIVOTDATA("XCB4",'cubi (2016)'!$A$3,"MA_HT","ODT","MA_QH","TON")</f>
        <v>0</v>
      </c>
      <c r="AW45" s="67">
        <f ca="1">+GETPIVOTDATA("XCB4",'cubi (2016)'!$A$3,"MA_HT","ODT","MA_QH","NTD")</f>
        <v>0</v>
      </c>
      <c r="AX45" s="67">
        <f ca="1">+GETPIVOTDATA("XCB4",'cubi (2016)'!$A$3,"MA_HT","ODT","MA_QH","SKX")</f>
        <v>0</v>
      </c>
      <c r="AY45" s="67">
        <f ca="1">+GETPIVOTDATA("XCB4",'cubi (2016)'!$A$3,"MA_HT","ODT","MA_QH","DSH")</f>
        <v>0</v>
      </c>
      <c r="AZ45" s="67">
        <f ca="1">+GETPIVOTDATA("XCB4",'cubi (2016)'!$A$3,"MA_HT","ODT","MA_QH","DKV")</f>
        <v>0</v>
      </c>
      <c r="BA45" s="92">
        <f ca="1">+GETPIVOTDATA("XCB4",'cubi (2016)'!$A$3,"MA_HT","ODT","MA_QH","TIN")</f>
        <v>0</v>
      </c>
      <c r="BB45" s="93">
        <f ca="1">+GETPIVOTDATA("XCB4",'cubi (2016)'!$A$3,"MA_HT","ODT","MA_QH","SON")</f>
        <v>0</v>
      </c>
      <c r="BC45" s="93">
        <f ca="1">+GETPIVOTDATA("XCB4",'cubi (2016)'!$A$3,"MA_HT","ODT","MA_QH","MNC")</f>
        <v>0</v>
      </c>
      <c r="BD45" s="67">
        <f ca="1">+GETPIVOTDATA("XCB4",'cubi (2016)'!$A$3,"MA_HT","ODT","MA_QH","PNK")</f>
        <v>0</v>
      </c>
      <c r="BE45" s="116">
        <f ca="1">+GETPIVOTDATA("XCB4",'cubi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+GETPIVOTDATA("XCB4",'cubi (2016)'!$A$3,"MA_HT","TSC","MA_QH","LUC")</f>
        <v>0</v>
      </c>
      <c r="H46" s="22">
        <f ca="1">+GETPIVOTDATA("XCB4",'cubi (2016)'!$A$3,"MA_HT","TSC","MA_QH","LUK")</f>
        <v>0</v>
      </c>
      <c r="I46" s="22">
        <f ca="1">+GETPIVOTDATA("XCB4",'cubi (2016)'!$A$3,"MA_HT","TSC","MA_QH","LUN")</f>
        <v>0</v>
      </c>
      <c r="J46" s="22">
        <f ca="1">+GETPIVOTDATA("XCB4",'cubi (2016)'!$A$3,"MA_HT","TSC","MA_QH","HNK")</f>
        <v>0</v>
      </c>
      <c r="K46" s="22">
        <f ca="1">+GETPIVOTDATA("XCB4",'cubi (2016)'!$A$3,"MA_HT","TSC","MA_QH","CLN")</f>
        <v>0</v>
      </c>
      <c r="L46" s="22">
        <f ca="1">+GETPIVOTDATA("XCB4",'cubi (2016)'!$A$3,"MA_HT","TSC","MA_QH","RSX")</f>
        <v>0</v>
      </c>
      <c r="M46" s="22">
        <f ca="1">+GETPIVOTDATA("XCB4",'cubi (2016)'!$A$3,"MA_HT","TSC","MA_QH","RPH")</f>
        <v>0</v>
      </c>
      <c r="N46" s="22">
        <f ca="1">+GETPIVOTDATA("XCB4",'cubi (2016)'!$A$3,"MA_HT","TSC","MA_QH","RDD")</f>
        <v>0</v>
      </c>
      <c r="O46" s="22">
        <f ca="1">+GETPIVOTDATA("XCB4",'cubi (2016)'!$A$3,"MA_HT","TSC","MA_QH","NTS")</f>
        <v>0</v>
      </c>
      <c r="P46" s="22">
        <f ca="1">+GETPIVOTDATA("XCB4",'cubi (2016)'!$A$3,"MA_HT","TSC","MA_QH","LMU")</f>
        <v>0</v>
      </c>
      <c r="Q46" s="22">
        <f ca="1">+GETPIVOTDATA("XCB4",'cubi (2016)'!$A$3,"MA_HT","TSC","MA_QH","NKH")</f>
        <v>0</v>
      </c>
      <c r="R46" s="48">
        <f ca="1">SUM(S46:AA46,AN46:AR46,AT46:BD46)</f>
        <v>0</v>
      </c>
      <c r="S46" s="22">
        <f ca="1">+GETPIVOTDATA("XCB4",'cubi (2016)'!$A$3,"MA_HT","TSC","MA_QH","CQP")</f>
        <v>0</v>
      </c>
      <c r="T46" s="22">
        <f ca="1">+GETPIVOTDATA("XCB4",'cubi (2016)'!$A$3,"MA_HT","TSC","MA_QH","CAN")</f>
        <v>0</v>
      </c>
      <c r="U46" s="22">
        <f ca="1">+GETPIVOTDATA("XCB4",'cubi (2016)'!$A$3,"MA_HT","TSC","MA_QH","SKK")</f>
        <v>0</v>
      </c>
      <c r="V46" s="22">
        <f ca="1">+GETPIVOTDATA("XCB4",'cubi (2016)'!$A$3,"MA_HT","TSC","MA_QH","SKT")</f>
        <v>0</v>
      </c>
      <c r="W46" s="22">
        <f ca="1">+GETPIVOTDATA("XCB4",'cubi (2016)'!$A$3,"MA_HT","TSC","MA_QH","SKN")</f>
        <v>0</v>
      </c>
      <c r="X46" s="22">
        <f ca="1">+GETPIVOTDATA("XCB4",'cubi (2016)'!$A$3,"MA_HT","TSC","MA_QH","TMD")</f>
        <v>0</v>
      </c>
      <c r="Y46" s="22">
        <f ca="1">+GETPIVOTDATA("XCB4",'cubi (2016)'!$A$3,"MA_HT","TSC","MA_QH","SKC")</f>
        <v>0</v>
      </c>
      <c r="Z46" s="22">
        <f ca="1">+GETPIVOTDATA("XCB4",'cubi (2016)'!$A$3,"MA_HT","TSC","MA_QH","SKS")</f>
        <v>0</v>
      </c>
      <c r="AA46" s="52">
        <f ca="1" t="shared" si="21"/>
        <v>0</v>
      </c>
      <c r="AB46" s="22">
        <f ca="1">+GETPIVOTDATA("XCB4",'cubi (2016)'!$A$3,"MA_HT","TSC","MA_QH","DGT")</f>
        <v>0</v>
      </c>
      <c r="AC46" s="22">
        <f ca="1">+GETPIVOTDATA("XCB4",'cubi (2016)'!$A$3,"MA_HT","TSC","MA_QH","DTL")</f>
        <v>0</v>
      </c>
      <c r="AD46" s="22">
        <f ca="1">+GETPIVOTDATA("XCB4",'cubi (2016)'!$A$3,"MA_HT","TSC","MA_QH","DNL")</f>
        <v>0</v>
      </c>
      <c r="AE46" s="22">
        <f ca="1">+GETPIVOTDATA("XCB4",'cubi (2016)'!$A$3,"MA_HT","TSC","MA_QH","DBV")</f>
        <v>0</v>
      </c>
      <c r="AF46" s="22">
        <f ca="1">+GETPIVOTDATA("XCB4",'cubi (2016)'!$A$3,"MA_HT","TSC","MA_QH","DVH")</f>
        <v>0</v>
      </c>
      <c r="AG46" s="22">
        <f ca="1">+GETPIVOTDATA("XCB4",'cubi (2016)'!$A$3,"MA_HT","TSC","MA_QH","DYT")</f>
        <v>0</v>
      </c>
      <c r="AH46" s="22">
        <f ca="1">+GETPIVOTDATA("XCB4",'cubi (2016)'!$A$3,"MA_HT","TSC","MA_QH","DGD")</f>
        <v>0</v>
      </c>
      <c r="AI46" s="22">
        <f ca="1">+GETPIVOTDATA("XCB4",'cubi (2016)'!$A$3,"MA_HT","TSC","MA_QH","DTT")</f>
        <v>0</v>
      </c>
      <c r="AJ46" s="22">
        <f ca="1">+GETPIVOTDATA("XCB4",'cubi (2016)'!$A$3,"MA_HT","TSC","MA_QH","NCK")</f>
        <v>0</v>
      </c>
      <c r="AK46" s="22">
        <f ca="1">+GETPIVOTDATA("XCB4",'cubi (2016)'!$A$3,"MA_HT","TSC","MA_QH","DXH")</f>
        <v>0</v>
      </c>
      <c r="AL46" s="22">
        <f ca="1">+GETPIVOTDATA("XCB4",'cubi (2016)'!$A$3,"MA_HT","TSC","MA_QH","DCH")</f>
        <v>0</v>
      </c>
      <c r="AM46" s="22">
        <f ca="1">+GETPIVOTDATA("XCB4",'cubi (2016)'!$A$3,"MA_HT","TSC","MA_QH","DKG")</f>
        <v>0</v>
      </c>
      <c r="AN46" s="22">
        <f ca="1">+GETPIVOTDATA("XCB4",'cubi (2016)'!$A$3,"MA_HT","TSC","MA_QH","DDT")</f>
        <v>0</v>
      </c>
      <c r="AO46" s="22">
        <f ca="1">+GETPIVOTDATA("XCB4",'cubi (2016)'!$A$3,"MA_HT","TSC","MA_QH","DDL")</f>
        <v>0</v>
      </c>
      <c r="AP46" s="22">
        <f ca="1">+GETPIVOTDATA("XCB4",'cubi (2016)'!$A$3,"MA_HT","TSC","MA_QH","DRA")</f>
        <v>0</v>
      </c>
      <c r="AQ46" s="22">
        <f ca="1">+GETPIVOTDATA("XCB4",'cubi (2016)'!$A$3,"MA_HT","TSC","MA_QH","ONT")</f>
        <v>0</v>
      </c>
      <c r="AR46" s="22">
        <f ca="1">+GETPIVOTDATA("XCB4",'cubi (2016)'!$A$3,"MA_HT","TSC","MA_QH","ODT")</f>
        <v>0</v>
      </c>
      <c r="AS46" s="43" t="e">
        <f ca="1">$D46-$BF46</f>
        <v>#REF!</v>
      </c>
      <c r="AT46" s="22">
        <f ca="1">+GETPIVOTDATA("XCB4",'cubi (2016)'!$A$3,"MA_HT","TSC","MA_QH","DTS")</f>
        <v>0</v>
      </c>
      <c r="AU46" s="22">
        <f ca="1">+GETPIVOTDATA("XCB4",'cubi (2016)'!$A$3,"MA_HT","TSC","MA_QH","DNG")</f>
        <v>0</v>
      </c>
      <c r="AV46" s="22">
        <f ca="1">+GETPIVOTDATA("XCB4",'cubi (2016)'!$A$3,"MA_HT","TSC","MA_QH","TON")</f>
        <v>0</v>
      </c>
      <c r="AW46" s="22">
        <f ca="1">+GETPIVOTDATA("XCB4",'cubi (2016)'!$A$3,"MA_HT","TSC","MA_QH","NTD")</f>
        <v>0</v>
      </c>
      <c r="AX46" s="22">
        <f ca="1">+GETPIVOTDATA("XCB4",'cubi (2016)'!$A$3,"MA_HT","TSC","MA_QH","SKX")</f>
        <v>0</v>
      </c>
      <c r="AY46" s="22">
        <f ca="1">+GETPIVOTDATA("XCB4",'cubi (2016)'!$A$3,"MA_HT","TSC","MA_QH","DSH")</f>
        <v>0</v>
      </c>
      <c r="AZ46" s="22">
        <f ca="1">+GETPIVOTDATA("XCB4",'cubi (2016)'!$A$3,"MA_HT","TSC","MA_QH","DKV")</f>
        <v>0</v>
      </c>
      <c r="BA46" s="89">
        <f ca="1">+GETPIVOTDATA("XCB4",'cubi (2016)'!$A$3,"MA_HT","TSC","MA_QH","TIN")</f>
        <v>0</v>
      </c>
      <c r="BB46" s="50">
        <f ca="1">+GETPIVOTDATA("XCB4",'cubi (2016)'!$A$3,"MA_HT","TSC","MA_QH","SON")</f>
        <v>0</v>
      </c>
      <c r="BC46" s="50">
        <f ca="1">+GETPIVOTDATA("XCB4",'cubi (2016)'!$A$3,"MA_HT","TSC","MA_QH","MNC")</f>
        <v>0</v>
      </c>
      <c r="BD46" s="22">
        <f ca="1">+GETPIVOTDATA("XCB4",'cubi (2016)'!$A$3,"MA_HT","TSC","MA_QH","PNK")</f>
        <v>0</v>
      </c>
      <c r="BE46" s="71">
        <f ca="1">+GETPIVOTDATA("XCB4",'cubi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+GETPIVOTDATA("XCB4",'cubi (2016)'!$A$3,"MA_HT","DTS","MA_QH","LUC")</f>
        <v>0</v>
      </c>
      <c r="H47" s="60">
        <f ca="1">+GETPIVOTDATA("XCB4",'cubi (2016)'!$A$3,"MA_HT","DTS","MA_QH","LUK")</f>
        <v>0</v>
      </c>
      <c r="I47" s="60">
        <f ca="1">+GETPIVOTDATA("XCB4",'cubi (2016)'!$A$3,"MA_HT","DTS","MA_QH","LUN")</f>
        <v>0</v>
      </c>
      <c r="J47" s="60">
        <f ca="1">+GETPIVOTDATA("XCB4",'cubi (2016)'!$A$3,"MA_HT","DTS","MA_QH","HNK")</f>
        <v>0</v>
      </c>
      <c r="K47" s="60">
        <f ca="1">+GETPIVOTDATA("XCB4",'cubi (2016)'!$A$3,"MA_HT","DTS","MA_QH","CLN")</f>
        <v>0</v>
      </c>
      <c r="L47" s="60">
        <f ca="1">+GETPIVOTDATA("XCB4",'cubi (2016)'!$A$3,"MA_HT","DTS","MA_QH","RSX")</f>
        <v>0</v>
      </c>
      <c r="M47" s="60">
        <f ca="1">+GETPIVOTDATA("XCB4",'cubi (2016)'!$A$3,"MA_HT","DTS","MA_QH","RPH")</f>
        <v>0</v>
      </c>
      <c r="N47" s="60">
        <f ca="1">+GETPIVOTDATA("XCB4",'cubi (2016)'!$A$3,"MA_HT","DTS","MA_QH","RDD")</f>
        <v>0</v>
      </c>
      <c r="O47" s="60">
        <f ca="1">+GETPIVOTDATA("XCB4",'cubi (2016)'!$A$3,"MA_HT","DTS","MA_QH","NTS")</f>
        <v>0</v>
      </c>
      <c r="P47" s="60">
        <f ca="1">+GETPIVOTDATA("XCB4",'cubi (2016)'!$A$3,"MA_HT","DTS","MA_QH","LMU")</f>
        <v>0</v>
      </c>
      <c r="Q47" s="60">
        <f ca="1">+GETPIVOTDATA("XCB4",'cubi (2016)'!$A$3,"MA_HT","DTS","MA_QH","NKH")</f>
        <v>0</v>
      </c>
      <c r="R47" s="78">
        <f ca="1">SUM(S47:AA47,AN47:AS47,AU47:BD47)</f>
        <v>0</v>
      </c>
      <c r="S47" s="60">
        <f ca="1">+GETPIVOTDATA("XCB4",'cubi (2016)'!$A$3,"MA_HT","DTS","MA_QH","CQP")</f>
        <v>0</v>
      </c>
      <c r="T47" s="60">
        <f ca="1">+GETPIVOTDATA("XCB4",'cubi (2016)'!$A$3,"MA_HT","DTS","MA_QH","CAN")</f>
        <v>0</v>
      </c>
      <c r="U47" s="60">
        <f ca="1">+GETPIVOTDATA("XCB4",'cubi (2016)'!$A$3,"MA_HT","DTS","MA_QH","SKK")</f>
        <v>0</v>
      </c>
      <c r="V47" s="60">
        <f ca="1">+GETPIVOTDATA("XCB4",'cubi (2016)'!$A$3,"MA_HT","DTS","MA_QH","SKT")</f>
        <v>0</v>
      </c>
      <c r="W47" s="60">
        <f ca="1">+GETPIVOTDATA("XCB4",'cubi (2016)'!$A$3,"MA_HT","DTS","MA_QH","SKN")</f>
        <v>0</v>
      </c>
      <c r="X47" s="60">
        <f ca="1">+GETPIVOTDATA("XCB4",'cubi (2016)'!$A$3,"MA_HT","DTS","MA_QH","TMD")</f>
        <v>0</v>
      </c>
      <c r="Y47" s="60">
        <f ca="1">+GETPIVOTDATA("XCB4",'cubi (2016)'!$A$3,"MA_HT","DTS","MA_QH","SKC")</f>
        <v>0</v>
      </c>
      <c r="Z47" s="60">
        <f ca="1">+GETPIVOTDATA("XCB4",'cubi (2016)'!$A$3,"MA_HT","DTS","MA_QH","SKS")</f>
        <v>0</v>
      </c>
      <c r="AA47" s="59">
        <f ca="1" t="shared" si="21"/>
        <v>0</v>
      </c>
      <c r="AB47" s="60">
        <f ca="1">+GETPIVOTDATA("XCB4",'cubi (2016)'!$A$3,"MA_HT","DTS","MA_QH","DGT")</f>
        <v>0</v>
      </c>
      <c r="AC47" s="60">
        <f ca="1">+GETPIVOTDATA("XCB4",'cubi (2016)'!$A$3,"MA_HT","DTS","MA_QH","DTL")</f>
        <v>0</v>
      </c>
      <c r="AD47" s="60">
        <f ca="1">+GETPIVOTDATA("XCB4",'cubi (2016)'!$A$3,"MA_HT","DTS","MA_QH","DNL")</f>
        <v>0</v>
      </c>
      <c r="AE47" s="60">
        <f ca="1">+GETPIVOTDATA("XCB4",'cubi (2016)'!$A$3,"MA_HT","DTS","MA_QH","DBV")</f>
        <v>0</v>
      </c>
      <c r="AF47" s="60">
        <f ca="1">+GETPIVOTDATA("XCB4",'cubi (2016)'!$A$3,"MA_HT","DTS","MA_QH","DVH")</f>
        <v>0</v>
      </c>
      <c r="AG47" s="60">
        <f ca="1">+GETPIVOTDATA("XCB4",'cubi (2016)'!$A$3,"MA_HT","DTS","MA_QH","DYT")</f>
        <v>0</v>
      </c>
      <c r="AH47" s="60">
        <f ca="1">+GETPIVOTDATA("XCB4",'cubi (2016)'!$A$3,"MA_HT","DTS","MA_QH","DGD")</f>
        <v>0</v>
      </c>
      <c r="AI47" s="60">
        <f ca="1">+GETPIVOTDATA("XCB4",'cubi (2016)'!$A$3,"MA_HT","DTS","MA_QH","DTT")</f>
        <v>0</v>
      </c>
      <c r="AJ47" s="60">
        <f ca="1">+GETPIVOTDATA("XCB4",'cubi (2016)'!$A$3,"MA_HT","DTS","MA_QH","NCK")</f>
        <v>0</v>
      </c>
      <c r="AK47" s="60">
        <f ca="1">+GETPIVOTDATA("XCB4",'cubi (2016)'!$A$3,"MA_HT","DTS","MA_QH","DXH")</f>
        <v>0</v>
      </c>
      <c r="AL47" s="60">
        <f ca="1">+GETPIVOTDATA("XCB4",'cubi (2016)'!$A$3,"MA_HT","DTS","MA_QH","DCH")</f>
        <v>0</v>
      </c>
      <c r="AM47" s="60">
        <f ca="1">+GETPIVOTDATA("XCB4",'cubi (2016)'!$A$3,"MA_HT","DTS","MA_QH","DKG")</f>
        <v>0</v>
      </c>
      <c r="AN47" s="60">
        <f ca="1">+GETPIVOTDATA("XCB4",'cubi (2016)'!$A$3,"MA_HT","DTS","MA_QH","DDT")</f>
        <v>0</v>
      </c>
      <c r="AO47" s="60">
        <f ca="1">+GETPIVOTDATA("XCB4",'cubi (2016)'!$A$3,"MA_HT","DTS","MA_QH","DDL")</f>
        <v>0</v>
      </c>
      <c r="AP47" s="60">
        <f ca="1">+GETPIVOTDATA("XCB4",'cubi (2016)'!$A$3,"MA_HT","DTS","MA_QH","DRA")</f>
        <v>0</v>
      </c>
      <c r="AQ47" s="60">
        <f ca="1">+GETPIVOTDATA("XCB4",'cubi (2016)'!$A$3,"MA_HT","DTS","MA_QH","ONT")</f>
        <v>0</v>
      </c>
      <c r="AR47" s="60">
        <f ca="1">+GETPIVOTDATA("XCB4",'cubi (2016)'!$A$3,"MA_HT","DTS","MA_QH","ODT")</f>
        <v>0</v>
      </c>
      <c r="AS47" s="60">
        <f ca="1">+GETPIVOTDATA("XCB4",'cubi (2016)'!$A$3,"MA_HT","DTS","MA_QH","TSC")</f>
        <v>0</v>
      </c>
      <c r="AT47" s="81" t="e">
        <f ca="1">$D47-$BF47</f>
        <v>#REF!</v>
      </c>
      <c r="AU47" s="60">
        <f ca="1">+GETPIVOTDATA("XCB4",'cubi (2016)'!$A$3,"MA_HT","DTS","MA_QH","DNG")</f>
        <v>0</v>
      </c>
      <c r="AV47" s="60">
        <f ca="1">+GETPIVOTDATA("XCB4",'cubi (2016)'!$A$3,"MA_HT","DTS","MA_QH","TON")</f>
        <v>0</v>
      </c>
      <c r="AW47" s="60">
        <f ca="1">+GETPIVOTDATA("XCB4",'cubi (2016)'!$A$3,"MA_HT","DTS","MA_QH","NTD")</f>
        <v>0</v>
      </c>
      <c r="AX47" s="60">
        <f ca="1">+GETPIVOTDATA("XCB4",'cubi (2016)'!$A$3,"MA_HT","DTS","MA_QH","SKX")</f>
        <v>0</v>
      </c>
      <c r="AY47" s="60">
        <f ca="1">+GETPIVOTDATA("XCB4",'cubi (2016)'!$A$3,"MA_HT","DTS","MA_QH","DSH")</f>
        <v>0</v>
      </c>
      <c r="AZ47" s="60">
        <f ca="1">+GETPIVOTDATA("XCB4",'cubi (2016)'!$A$3,"MA_HT","DTS","MA_QH","DKV")</f>
        <v>0</v>
      </c>
      <c r="BA47" s="90">
        <f ca="1">+GETPIVOTDATA("XCB4",'cubi (2016)'!$A$3,"MA_HT","DTS","MA_QH","TIN")</f>
        <v>0</v>
      </c>
      <c r="BB47" s="91">
        <f ca="1">+GETPIVOTDATA("XCB4",'cubi (2016)'!$A$3,"MA_HT","DTS","MA_QH","SON")</f>
        <v>0</v>
      </c>
      <c r="BC47" s="91">
        <f ca="1">+GETPIVOTDATA("XCB4",'cubi (2016)'!$A$3,"MA_HT","DTS","MA_QH","MNC")</f>
        <v>0</v>
      </c>
      <c r="BD47" s="60">
        <f ca="1">+GETPIVOTDATA("XCB4",'cubi (2016)'!$A$3,"MA_HT","DTS","MA_QH","PNK")</f>
        <v>0</v>
      </c>
      <c r="BE47" s="111">
        <f ca="1">+GETPIVOTDATA("XCB4",'cubi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+GETPIVOTDATA("XCB4",'cubi (2016)'!$A$3,"MA_HT","DNG","MA_QH","LUC")</f>
        <v>0</v>
      </c>
      <c r="H48" s="22">
        <f ca="1">+GETPIVOTDATA("XCB4",'cubi (2016)'!$A$3,"MA_HT","DNG","MA_QH","LUK")</f>
        <v>0</v>
      </c>
      <c r="I48" s="22">
        <f ca="1">+GETPIVOTDATA("XCB4",'cubi (2016)'!$A$3,"MA_HT","DNG","MA_QH","LUN")</f>
        <v>0</v>
      </c>
      <c r="J48" s="22">
        <f ca="1">+GETPIVOTDATA("XCB4",'cubi (2016)'!$A$3,"MA_HT","DNG","MA_QH","HNK")</f>
        <v>0</v>
      </c>
      <c r="K48" s="22">
        <f ca="1">+GETPIVOTDATA("XCB4",'cubi (2016)'!$A$3,"MA_HT","DNG","MA_QH","CLN")</f>
        <v>0</v>
      </c>
      <c r="L48" s="22">
        <f ca="1">+GETPIVOTDATA("XCB4",'cubi (2016)'!$A$3,"MA_HT","DNG","MA_QH","RSX")</f>
        <v>0</v>
      </c>
      <c r="M48" s="22">
        <f ca="1">+GETPIVOTDATA("XCB4",'cubi (2016)'!$A$3,"MA_HT","DNG","MA_QH","RPH")</f>
        <v>0</v>
      </c>
      <c r="N48" s="22">
        <f ca="1">+GETPIVOTDATA("XCB4",'cubi (2016)'!$A$3,"MA_HT","DNG","MA_QH","RDD")</f>
        <v>0</v>
      </c>
      <c r="O48" s="22">
        <f ca="1">+GETPIVOTDATA("XCB4",'cubi (2016)'!$A$3,"MA_HT","DNG","MA_QH","NTS")</f>
        <v>0</v>
      </c>
      <c r="P48" s="22">
        <f ca="1">+GETPIVOTDATA("XCB4",'cubi (2016)'!$A$3,"MA_HT","DNG","MA_QH","LMU")</f>
        <v>0</v>
      </c>
      <c r="Q48" s="22">
        <f ca="1">+GETPIVOTDATA("XCB4",'cubi (2016)'!$A$3,"MA_HT","DNG","MA_QH","NKH")</f>
        <v>0</v>
      </c>
      <c r="R48" s="79">
        <f ca="1">SUM(S48:AA48,AN48:AT48,AV48:BD48)</f>
        <v>0</v>
      </c>
      <c r="S48" s="22">
        <f ca="1">+GETPIVOTDATA("XCB4",'cubi (2016)'!$A$3,"MA_HT","DNG","MA_QH","CQP")</f>
        <v>0</v>
      </c>
      <c r="T48" s="22">
        <f ca="1">+GETPIVOTDATA("XCB4",'cubi (2016)'!$A$3,"MA_HT","DNG","MA_QH","CAN")</f>
        <v>0</v>
      </c>
      <c r="U48" s="22">
        <f ca="1">+GETPIVOTDATA("XCB4",'cubi (2016)'!$A$3,"MA_HT","DNG","MA_QH","SKK")</f>
        <v>0</v>
      </c>
      <c r="V48" s="22">
        <f ca="1">+GETPIVOTDATA("XCB4",'cubi (2016)'!$A$3,"MA_HT","DNG","MA_QH","SKT")</f>
        <v>0</v>
      </c>
      <c r="W48" s="22">
        <f ca="1">+GETPIVOTDATA("XCB4",'cubi (2016)'!$A$3,"MA_HT","DNG","MA_QH","SKN")</f>
        <v>0</v>
      </c>
      <c r="X48" s="22">
        <f ca="1">+GETPIVOTDATA("XCB4",'cubi (2016)'!$A$3,"MA_HT","DNG","MA_QH","TMD")</f>
        <v>0</v>
      </c>
      <c r="Y48" s="22">
        <f ca="1">+GETPIVOTDATA("XCB4",'cubi (2016)'!$A$3,"MA_HT","DNG","MA_QH","SKC")</f>
        <v>0</v>
      </c>
      <c r="Z48" s="22">
        <f ca="1">+GETPIVOTDATA("XCB4",'cubi (2016)'!$A$3,"MA_HT","DNG","MA_QH","SKS")</f>
        <v>0</v>
      </c>
      <c r="AA48" s="52">
        <f ca="1" t="shared" si="21"/>
        <v>0</v>
      </c>
      <c r="AB48" s="22">
        <f ca="1">+GETPIVOTDATA("XCB4",'cubi (2016)'!$A$3,"MA_HT","DNG","MA_QH","DGT")</f>
        <v>0</v>
      </c>
      <c r="AC48" s="22">
        <f ca="1">+GETPIVOTDATA("XCB4",'cubi (2016)'!$A$3,"MA_HT","DNG","MA_QH","DTL")</f>
        <v>0</v>
      </c>
      <c r="AD48" s="22">
        <f ca="1">+GETPIVOTDATA("XCB4",'cubi (2016)'!$A$3,"MA_HT","DNG","MA_QH","DNL")</f>
        <v>0</v>
      </c>
      <c r="AE48" s="22">
        <f ca="1">+GETPIVOTDATA("XCB4",'cubi (2016)'!$A$3,"MA_HT","DNG","MA_QH","DBV")</f>
        <v>0</v>
      </c>
      <c r="AF48" s="22">
        <f ca="1">+GETPIVOTDATA("XCB4",'cubi (2016)'!$A$3,"MA_HT","DNG","MA_QH","DVH")</f>
        <v>0</v>
      </c>
      <c r="AG48" s="22">
        <f ca="1">+GETPIVOTDATA("XCB4",'cubi (2016)'!$A$3,"MA_HT","DNG","MA_QH","DYT")</f>
        <v>0</v>
      </c>
      <c r="AH48" s="22">
        <f ca="1">+GETPIVOTDATA("XCB4",'cubi (2016)'!$A$3,"MA_HT","DNG","MA_QH","DGD")</f>
        <v>0</v>
      </c>
      <c r="AI48" s="22">
        <f ca="1">+GETPIVOTDATA("XCB4",'cubi (2016)'!$A$3,"MA_HT","DNG","MA_QH","DTT")</f>
        <v>0</v>
      </c>
      <c r="AJ48" s="22">
        <f ca="1">+GETPIVOTDATA("XCB4",'cubi (2016)'!$A$3,"MA_HT","DNG","MA_QH","NCK")</f>
        <v>0</v>
      </c>
      <c r="AK48" s="22">
        <f ca="1">+GETPIVOTDATA("XCB4",'cubi (2016)'!$A$3,"MA_HT","DNG","MA_QH","DXH")</f>
        <v>0</v>
      </c>
      <c r="AL48" s="22">
        <f ca="1">+GETPIVOTDATA("XCB4",'cubi (2016)'!$A$3,"MA_HT","DNG","MA_QH","DCH")</f>
        <v>0</v>
      </c>
      <c r="AM48" s="22">
        <f ca="1">+GETPIVOTDATA("XCB4",'cubi (2016)'!$A$3,"MA_HT","DNG","MA_QH","DKG")</f>
        <v>0</v>
      </c>
      <c r="AN48" s="22">
        <f ca="1">+GETPIVOTDATA("XCB4",'cubi (2016)'!$A$3,"MA_HT","DNG","MA_QH","DDT")</f>
        <v>0</v>
      </c>
      <c r="AO48" s="22">
        <f ca="1">+GETPIVOTDATA("XCB4",'cubi (2016)'!$A$3,"MA_HT","DNG","MA_QH","DDL")</f>
        <v>0</v>
      </c>
      <c r="AP48" s="22">
        <f ca="1">+GETPIVOTDATA("XCB4",'cubi (2016)'!$A$3,"MA_HT","DNG","MA_QH","DRA")</f>
        <v>0</v>
      </c>
      <c r="AQ48" s="22">
        <f ca="1">+GETPIVOTDATA("XCB4",'cubi (2016)'!$A$3,"MA_HT","DNG","MA_QH","ONT")</f>
        <v>0</v>
      </c>
      <c r="AR48" s="22">
        <f ca="1">+GETPIVOTDATA("XCB4",'cubi (2016)'!$A$3,"MA_HT","DNG","MA_QH","ODT")</f>
        <v>0</v>
      </c>
      <c r="AS48" s="22">
        <f ca="1">+GETPIVOTDATA("XCB4",'cubi (2016)'!$A$3,"MA_HT","DNG","MA_QH","TSC")</f>
        <v>0</v>
      </c>
      <c r="AT48" s="22">
        <f ca="1">+GETPIVOTDATA("XCB4",'cubi (2016)'!$A$3,"MA_HT","DNG","MA_QH","DTS")</f>
        <v>0</v>
      </c>
      <c r="AU48" s="43" t="e">
        <f ca="1">$D48-$BF48</f>
        <v>#REF!</v>
      </c>
      <c r="AV48" s="22">
        <f ca="1">+GETPIVOTDATA("XCB4",'cubi (2016)'!$A$3,"MA_HT","DNG","MA_QH","TON")</f>
        <v>0</v>
      </c>
      <c r="AW48" s="22">
        <f ca="1">+GETPIVOTDATA("XCB4",'cubi (2016)'!$A$3,"MA_HT","DNG","MA_QH","NTD")</f>
        <v>0</v>
      </c>
      <c r="AX48" s="22">
        <f ca="1">+GETPIVOTDATA("XCB4",'cubi (2016)'!$A$3,"MA_HT","DNG","MA_QH","SKX")</f>
        <v>0</v>
      </c>
      <c r="AY48" s="22">
        <f ca="1">+GETPIVOTDATA("XCB4",'cubi (2016)'!$A$3,"MA_HT","DNG","MA_QH","DSH")</f>
        <v>0</v>
      </c>
      <c r="AZ48" s="22">
        <f ca="1">+GETPIVOTDATA("XCB4",'cubi (2016)'!$A$3,"MA_HT","DNG","MA_QH","DKV")</f>
        <v>0</v>
      </c>
      <c r="BA48" s="89">
        <f ca="1">+GETPIVOTDATA("XCB4",'cubi (2016)'!$A$3,"MA_HT","DNG","MA_QH","TIN")</f>
        <v>0</v>
      </c>
      <c r="BB48" s="50">
        <f ca="1">+GETPIVOTDATA("XCB4",'cubi (2016)'!$A$3,"MA_HT","DNG","MA_QH","SON")</f>
        <v>0</v>
      </c>
      <c r="BC48" s="50">
        <f ca="1">+GETPIVOTDATA("XCB4",'cubi (2016)'!$A$3,"MA_HT","DNG","MA_QH","MNC")</f>
        <v>0</v>
      </c>
      <c r="BD48" s="22">
        <f ca="1">+GETPIVOTDATA("XCB4",'cubi (2016)'!$A$3,"MA_HT","DNG","MA_QH","PNK")</f>
        <v>0</v>
      </c>
      <c r="BE48" s="71">
        <f ca="1">+GETPIVOTDATA("XCB4",'cubi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+GETPIVOTDATA("XCB4",'cubi (2016)'!$A$3,"MA_HT","TON","MA_QH","LUC")</f>
        <v>0</v>
      </c>
      <c r="H49" s="22">
        <f ca="1">+GETPIVOTDATA("XCB4",'cubi (2016)'!$A$3,"MA_HT","TON","MA_QH","LUK")</f>
        <v>0</v>
      </c>
      <c r="I49" s="22">
        <f ca="1">+GETPIVOTDATA("XCB4",'cubi (2016)'!$A$3,"MA_HT","TON","MA_QH","LUN")</f>
        <v>0</v>
      </c>
      <c r="J49" s="22">
        <f ca="1">+GETPIVOTDATA("XCB4",'cubi (2016)'!$A$3,"MA_HT","TON","MA_QH","HNK")</f>
        <v>0</v>
      </c>
      <c r="K49" s="22">
        <f ca="1">+GETPIVOTDATA("XCB4",'cubi (2016)'!$A$3,"MA_HT","TON","MA_QH","CLN")</f>
        <v>0</v>
      </c>
      <c r="L49" s="22">
        <f ca="1">+GETPIVOTDATA("XCB4",'cubi (2016)'!$A$3,"MA_HT","TON","MA_QH","RSX")</f>
        <v>0</v>
      </c>
      <c r="M49" s="22">
        <f ca="1">+GETPIVOTDATA("XCB4",'cubi (2016)'!$A$3,"MA_HT","TON","MA_QH","RPH")</f>
        <v>0</v>
      </c>
      <c r="N49" s="22">
        <f ca="1">+GETPIVOTDATA("XCB4",'cubi (2016)'!$A$3,"MA_HT","TON","MA_QH","RDD")</f>
        <v>0</v>
      </c>
      <c r="O49" s="22">
        <f ca="1">+GETPIVOTDATA("XCB4",'cubi (2016)'!$A$3,"MA_HT","TON","MA_QH","NTS")</f>
        <v>0</v>
      </c>
      <c r="P49" s="22">
        <f ca="1">+GETPIVOTDATA("XCB4",'cubi (2016)'!$A$3,"MA_HT","TON","MA_QH","LMU")</f>
        <v>0</v>
      </c>
      <c r="Q49" s="22">
        <f ca="1">+GETPIVOTDATA("XCB4",'cubi (2016)'!$A$3,"MA_HT","TON","MA_QH","NKH")</f>
        <v>0</v>
      </c>
      <c r="R49" s="79">
        <f ca="1">SUM(S49:AA49,AN49:AU49,AW49:BD49)</f>
        <v>0</v>
      </c>
      <c r="S49" s="22">
        <f ca="1">+GETPIVOTDATA("XCB4",'cubi (2016)'!$A$3,"MA_HT","TON","MA_QH","CQP")</f>
        <v>0</v>
      </c>
      <c r="T49" s="22">
        <f ca="1">+GETPIVOTDATA("XCB4",'cubi (2016)'!$A$3,"MA_HT","TON","MA_QH","CAN")</f>
        <v>0</v>
      </c>
      <c r="U49" s="22">
        <f ca="1">+GETPIVOTDATA("XCB4",'cubi (2016)'!$A$3,"MA_HT","TON","MA_QH","SKK")</f>
        <v>0</v>
      </c>
      <c r="V49" s="22">
        <f ca="1">+GETPIVOTDATA("XCB4",'cubi (2016)'!$A$3,"MA_HT","TON","MA_QH","SKT")</f>
        <v>0</v>
      </c>
      <c r="W49" s="22">
        <f ca="1">+GETPIVOTDATA("XCB4",'cubi (2016)'!$A$3,"MA_HT","TON","MA_QH","SKN")</f>
        <v>0</v>
      </c>
      <c r="X49" s="22">
        <f ca="1">+GETPIVOTDATA("XCB4",'cubi (2016)'!$A$3,"MA_HT","TON","MA_QH","TMD")</f>
        <v>0</v>
      </c>
      <c r="Y49" s="22">
        <f ca="1">+GETPIVOTDATA("XCB4",'cubi (2016)'!$A$3,"MA_HT","TON","MA_QH","SKC")</f>
        <v>0</v>
      </c>
      <c r="Z49" s="22">
        <f ca="1">+GETPIVOTDATA("XCB4",'cubi (2016)'!$A$3,"MA_HT","TON","MA_QH","SKS")</f>
        <v>0</v>
      </c>
      <c r="AA49" s="52">
        <f ca="1" t="shared" si="21"/>
        <v>0</v>
      </c>
      <c r="AB49" s="22">
        <f ca="1">+GETPIVOTDATA("XCB4",'cubi (2016)'!$A$3,"MA_HT","TON","MA_QH","DGT")</f>
        <v>0</v>
      </c>
      <c r="AC49" s="22">
        <f ca="1">+GETPIVOTDATA("XCB4",'cubi (2016)'!$A$3,"MA_HT","TON","MA_QH","DTL")</f>
        <v>0</v>
      </c>
      <c r="AD49" s="22">
        <f ca="1">+GETPIVOTDATA("XCB4",'cubi (2016)'!$A$3,"MA_HT","TON","MA_QH","DNL")</f>
        <v>0</v>
      </c>
      <c r="AE49" s="22">
        <f ca="1">+GETPIVOTDATA("XCB4",'cubi (2016)'!$A$3,"MA_HT","TON","MA_QH","DBV")</f>
        <v>0</v>
      </c>
      <c r="AF49" s="22">
        <f ca="1">+GETPIVOTDATA("XCB4",'cubi (2016)'!$A$3,"MA_HT","TON","MA_QH","DVH")</f>
        <v>0</v>
      </c>
      <c r="AG49" s="22">
        <f ca="1">+GETPIVOTDATA("XCB4",'cubi (2016)'!$A$3,"MA_HT","TON","MA_QH","DYT")</f>
        <v>0</v>
      </c>
      <c r="AH49" s="22">
        <f ca="1">+GETPIVOTDATA("XCB4",'cubi (2016)'!$A$3,"MA_HT","TON","MA_QH","DGD")</f>
        <v>0</v>
      </c>
      <c r="AI49" s="22">
        <f ca="1">+GETPIVOTDATA("XCB4",'cubi (2016)'!$A$3,"MA_HT","TON","MA_QH","DTT")</f>
        <v>0</v>
      </c>
      <c r="AJ49" s="22">
        <f ca="1">+GETPIVOTDATA("XCB4",'cubi (2016)'!$A$3,"MA_HT","TON","MA_QH","NCK")</f>
        <v>0</v>
      </c>
      <c r="AK49" s="22">
        <f ca="1">+GETPIVOTDATA("XCB4",'cubi (2016)'!$A$3,"MA_HT","TON","MA_QH","DXH")</f>
        <v>0</v>
      </c>
      <c r="AL49" s="22">
        <f ca="1">+GETPIVOTDATA("XCB4",'cubi (2016)'!$A$3,"MA_HT","TON","MA_QH","DCH")</f>
        <v>0</v>
      </c>
      <c r="AM49" s="22">
        <f ca="1">+GETPIVOTDATA("XCB4",'cubi (2016)'!$A$3,"MA_HT","TON","MA_QH","DKG")</f>
        <v>0</v>
      </c>
      <c r="AN49" s="22">
        <f ca="1">+GETPIVOTDATA("XCB4",'cubi (2016)'!$A$3,"MA_HT","TON","MA_QH","DDT")</f>
        <v>0</v>
      </c>
      <c r="AO49" s="22">
        <f ca="1">+GETPIVOTDATA("XCB4",'cubi (2016)'!$A$3,"MA_HT","TON","MA_QH","DDL")</f>
        <v>0</v>
      </c>
      <c r="AP49" s="22">
        <f ca="1">+GETPIVOTDATA("XCB4",'cubi (2016)'!$A$3,"MA_HT","TON","MA_QH","DRA")</f>
        <v>0</v>
      </c>
      <c r="AQ49" s="22">
        <f ca="1">+GETPIVOTDATA("XCB4",'cubi (2016)'!$A$3,"MA_HT","TON","MA_QH","ONT")</f>
        <v>0</v>
      </c>
      <c r="AR49" s="22">
        <f ca="1">+GETPIVOTDATA("XCB4",'cubi (2016)'!$A$3,"MA_HT","TON","MA_QH","ODT")</f>
        <v>0</v>
      </c>
      <c r="AS49" s="22">
        <f ca="1">+GETPIVOTDATA("XCB4",'cubi (2016)'!$A$3,"MA_HT","TON","MA_QH","TSC")</f>
        <v>0</v>
      </c>
      <c r="AT49" s="22">
        <f ca="1">+GETPIVOTDATA("XCB4",'cubi (2016)'!$A$3,"MA_HT","TON","MA_QH","DTS")</f>
        <v>0</v>
      </c>
      <c r="AU49" s="22">
        <f ca="1">+GETPIVOTDATA("XCB4",'cubi (2016)'!$A$3,"MA_HT","TON","MA_QH","DNG")</f>
        <v>0</v>
      </c>
      <c r="AV49" s="43" t="e">
        <f ca="1">$D49-$BF49</f>
        <v>#REF!</v>
      </c>
      <c r="AW49" s="22">
        <f ca="1">+GETPIVOTDATA("XCB4",'cubi (2016)'!$A$3,"MA_HT","TON","MA_QH","NTD")</f>
        <v>0</v>
      </c>
      <c r="AX49" s="22">
        <f ca="1">+GETPIVOTDATA("XCB4",'cubi (2016)'!$A$3,"MA_HT","TON","MA_QH","SKX")</f>
        <v>0</v>
      </c>
      <c r="AY49" s="22">
        <f ca="1">+GETPIVOTDATA("XCB4",'cubi (2016)'!$A$3,"MA_HT","TON","MA_QH","DSH")</f>
        <v>0</v>
      </c>
      <c r="AZ49" s="22">
        <f ca="1">+GETPIVOTDATA("XCB4",'cubi (2016)'!$A$3,"MA_HT","TON","MA_QH","DKV")</f>
        <v>0</v>
      </c>
      <c r="BA49" s="89">
        <f ca="1">+GETPIVOTDATA("XCB4",'cubi (2016)'!$A$3,"MA_HT","TON","MA_QH","TIN")</f>
        <v>0</v>
      </c>
      <c r="BB49" s="50">
        <f ca="1">+GETPIVOTDATA("XCB4",'cubi (2016)'!$A$3,"MA_HT","TON","MA_QH","SON")</f>
        <v>0</v>
      </c>
      <c r="BC49" s="50">
        <f ca="1">+GETPIVOTDATA("XCB4",'cubi (2016)'!$A$3,"MA_HT","TON","MA_QH","MNC")</f>
        <v>0</v>
      </c>
      <c r="BD49" s="22">
        <f ca="1">+GETPIVOTDATA("XCB4",'cubi (2016)'!$A$3,"MA_HT","TON","MA_QH","PNK")</f>
        <v>0</v>
      </c>
      <c r="BE49" s="71">
        <f ca="1">+GETPIVOTDATA("XCB4",'cubi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+GETPIVOTDATA("XCB4",'cubi (2016)'!$A$3,"MA_HT","NTD","MA_QH","LUC")</f>
        <v>0</v>
      </c>
      <c r="H50" s="22">
        <f ca="1">+GETPIVOTDATA("XCB4",'cubi (2016)'!$A$3,"MA_HT","NTD","MA_QH","LUK")</f>
        <v>0</v>
      </c>
      <c r="I50" s="22">
        <f ca="1">+GETPIVOTDATA("XCB4",'cubi (2016)'!$A$3,"MA_HT","NTD","MA_QH","LUN")</f>
        <v>0</v>
      </c>
      <c r="J50" s="22">
        <f ca="1">+GETPIVOTDATA("XCB4",'cubi (2016)'!$A$3,"MA_HT","NTD","MA_QH","HNK")</f>
        <v>0</v>
      </c>
      <c r="K50" s="22">
        <f ca="1">+GETPIVOTDATA("XCB4",'cubi (2016)'!$A$3,"MA_HT","NTD","MA_QH","CLN")</f>
        <v>0</v>
      </c>
      <c r="L50" s="22">
        <f ca="1">+GETPIVOTDATA("XCB4",'cubi (2016)'!$A$3,"MA_HT","NTD","MA_QH","RSX")</f>
        <v>0</v>
      </c>
      <c r="M50" s="22">
        <f ca="1">+GETPIVOTDATA("XCB4",'cubi (2016)'!$A$3,"MA_HT","NTD","MA_QH","RPH")</f>
        <v>0</v>
      </c>
      <c r="N50" s="22">
        <f ca="1">+GETPIVOTDATA("XCB4",'cubi (2016)'!$A$3,"MA_HT","NTD","MA_QH","RDD")</f>
        <v>0</v>
      </c>
      <c r="O50" s="22">
        <f ca="1">+GETPIVOTDATA("XCB4",'cubi (2016)'!$A$3,"MA_HT","NTD","MA_QH","NTS")</f>
        <v>0</v>
      </c>
      <c r="P50" s="22">
        <f ca="1">+GETPIVOTDATA("XCB4",'cubi (2016)'!$A$3,"MA_HT","NTD","MA_QH","LMU")</f>
        <v>0</v>
      </c>
      <c r="Q50" s="22">
        <f ca="1">+GETPIVOTDATA("XCB4",'cubi (2016)'!$A$3,"MA_HT","NTD","MA_QH","NKH")</f>
        <v>0</v>
      </c>
      <c r="R50" s="79">
        <f ca="1">SUM(S50:AA50,AN50:AV50,AX50:BD50)</f>
        <v>0</v>
      </c>
      <c r="S50" s="22">
        <f ca="1">+GETPIVOTDATA("XCB4",'cubi (2016)'!$A$3,"MA_HT","NTD","MA_QH","CQP")</f>
        <v>0</v>
      </c>
      <c r="T50" s="22">
        <f ca="1">+GETPIVOTDATA("XCB4",'cubi (2016)'!$A$3,"MA_HT","NTD","MA_QH","CAN")</f>
        <v>0</v>
      </c>
      <c r="U50" s="22">
        <f ca="1">+GETPIVOTDATA("XCB4",'cubi (2016)'!$A$3,"MA_HT","NTD","MA_QH","SKK")</f>
        <v>0</v>
      </c>
      <c r="V50" s="22">
        <f ca="1">+GETPIVOTDATA("XCB4",'cubi (2016)'!$A$3,"MA_HT","NTD","MA_QH","SKT")</f>
        <v>0</v>
      </c>
      <c r="W50" s="22">
        <f ca="1">+GETPIVOTDATA("XCB4",'cubi (2016)'!$A$3,"MA_HT","NTD","MA_QH","SKN")</f>
        <v>0</v>
      </c>
      <c r="X50" s="22">
        <f ca="1">+GETPIVOTDATA("XCB4",'cubi (2016)'!$A$3,"MA_HT","NTD","MA_QH","TMD")</f>
        <v>0</v>
      </c>
      <c r="Y50" s="22">
        <f ca="1">+GETPIVOTDATA("XCB4",'cubi (2016)'!$A$3,"MA_HT","NTD","MA_QH","SKC")</f>
        <v>0</v>
      </c>
      <c r="Z50" s="22">
        <f ca="1">+GETPIVOTDATA("XCB4",'cubi (2016)'!$A$3,"MA_HT","NTD","MA_QH","SKS")</f>
        <v>0</v>
      </c>
      <c r="AA50" s="52">
        <f ca="1" t="shared" si="21"/>
        <v>0</v>
      </c>
      <c r="AB50" s="22">
        <f ca="1">+GETPIVOTDATA("XCB4",'cubi (2016)'!$A$3,"MA_HT","NTD","MA_QH","DGT")</f>
        <v>0</v>
      </c>
      <c r="AC50" s="22">
        <f ca="1">+GETPIVOTDATA("XCB4",'cubi (2016)'!$A$3,"MA_HT","NTD","MA_QH","DTL")</f>
        <v>0</v>
      </c>
      <c r="AD50" s="22">
        <f ca="1">+GETPIVOTDATA("XCB4",'cubi (2016)'!$A$3,"MA_HT","NTD","MA_QH","DNL")</f>
        <v>0</v>
      </c>
      <c r="AE50" s="22">
        <f ca="1">+GETPIVOTDATA("XCB4",'cubi (2016)'!$A$3,"MA_HT","NTD","MA_QH","DBV")</f>
        <v>0</v>
      </c>
      <c r="AF50" s="22">
        <f ca="1">+GETPIVOTDATA("XCB4",'cubi (2016)'!$A$3,"MA_HT","NTD","MA_QH","DVH")</f>
        <v>0</v>
      </c>
      <c r="AG50" s="22">
        <f ca="1">+GETPIVOTDATA("XCB4",'cubi (2016)'!$A$3,"MA_HT","NTD","MA_QH","DYT")</f>
        <v>0</v>
      </c>
      <c r="AH50" s="22">
        <f ca="1">+GETPIVOTDATA("XCB4",'cubi (2016)'!$A$3,"MA_HT","NTD","MA_QH","DGD")</f>
        <v>0</v>
      </c>
      <c r="AI50" s="22">
        <f ca="1">+GETPIVOTDATA("XCB4",'cubi (2016)'!$A$3,"MA_HT","NTD","MA_QH","DTT")</f>
        <v>0</v>
      </c>
      <c r="AJ50" s="22">
        <f ca="1">+GETPIVOTDATA("XCB4",'cubi (2016)'!$A$3,"MA_HT","NTD","MA_QH","NCK")</f>
        <v>0</v>
      </c>
      <c r="AK50" s="22">
        <f ca="1">+GETPIVOTDATA("XCB4",'cubi (2016)'!$A$3,"MA_HT","NTD","MA_QH","DXH")</f>
        <v>0</v>
      </c>
      <c r="AL50" s="22">
        <f ca="1">+GETPIVOTDATA("XCB4",'cubi (2016)'!$A$3,"MA_HT","NTD","MA_QH","DCH")</f>
        <v>0</v>
      </c>
      <c r="AM50" s="22">
        <f ca="1">+GETPIVOTDATA("XCB4",'cubi (2016)'!$A$3,"MA_HT","NTD","MA_QH","DKG")</f>
        <v>0</v>
      </c>
      <c r="AN50" s="22">
        <f ca="1">+GETPIVOTDATA("XCB4",'cubi (2016)'!$A$3,"MA_HT","NTD","MA_QH","DDT")</f>
        <v>0</v>
      </c>
      <c r="AO50" s="22">
        <f ca="1">+GETPIVOTDATA("XCB4",'cubi (2016)'!$A$3,"MA_HT","NTD","MA_QH","DDL")</f>
        <v>0</v>
      </c>
      <c r="AP50" s="22">
        <f ca="1">+GETPIVOTDATA("XCB4",'cubi (2016)'!$A$3,"MA_HT","NTD","MA_QH","DRA")</f>
        <v>0</v>
      </c>
      <c r="AQ50" s="22">
        <f ca="1">+GETPIVOTDATA("XCB4",'cubi (2016)'!$A$3,"MA_HT","NTD","MA_QH","ONT")</f>
        <v>0</v>
      </c>
      <c r="AR50" s="22">
        <f ca="1">+GETPIVOTDATA("XCB4",'cubi (2016)'!$A$3,"MA_HT","NTD","MA_QH","ODT")</f>
        <v>0</v>
      </c>
      <c r="AS50" s="22">
        <f ca="1">+GETPIVOTDATA("XCB4",'cubi (2016)'!$A$3,"MA_HT","NTD","MA_QH","TSC")</f>
        <v>0</v>
      </c>
      <c r="AT50" s="22">
        <f ca="1">+GETPIVOTDATA("XCB4",'cubi (2016)'!$A$3,"MA_HT","NTD","MA_QH","DTS")</f>
        <v>0</v>
      </c>
      <c r="AU50" s="22">
        <f ca="1">+GETPIVOTDATA("XCB4",'cubi (2016)'!$A$3,"MA_HT","NTD","MA_QH","DNG")</f>
        <v>0</v>
      </c>
      <c r="AV50" s="22">
        <f ca="1">+GETPIVOTDATA("XCB4",'cubi (2016)'!$A$3,"MA_HT","NTD","MA_QH","TON")</f>
        <v>0</v>
      </c>
      <c r="AW50" s="43" t="e">
        <f ca="1">$D50-$BF50</f>
        <v>#REF!</v>
      </c>
      <c r="AX50" s="22">
        <f ca="1">+GETPIVOTDATA("XCB4",'cubi (2016)'!$A$3,"MA_HT","NTD","MA_QH","SKX")</f>
        <v>0</v>
      </c>
      <c r="AY50" s="22">
        <f ca="1">+GETPIVOTDATA("XCB4",'cubi (2016)'!$A$3,"MA_HT","NTD","MA_QH","DSH")</f>
        <v>0</v>
      </c>
      <c r="AZ50" s="22">
        <f ca="1">+GETPIVOTDATA("XCB4",'cubi (2016)'!$A$3,"MA_HT","NTD","MA_QH","DKV")</f>
        <v>0</v>
      </c>
      <c r="BA50" s="89">
        <f ca="1">+GETPIVOTDATA("XCB4",'cubi (2016)'!$A$3,"MA_HT","NTD","MA_QH","TIN")</f>
        <v>0</v>
      </c>
      <c r="BB50" s="50">
        <f ca="1">+GETPIVOTDATA("XCB4",'cubi (2016)'!$A$3,"MA_HT","NTD","MA_QH","SON")</f>
        <v>0</v>
      </c>
      <c r="BC50" s="50">
        <f ca="1">+GETPIVOTDATA("XCB4",'cubi (2016)'!$A$3,"MA_HT","NTD","MA_QH","MNC")</f>
        <v>0</v>
      </c>
      <c r="BD50" s="22">
        <f ca="1">+GETPIVOTDATA("XCB4",'cubi (2016)'!$A$3,"MA_HT","NTD","MA_QH","PNK")</f>
        <v>0</v>
      </c>
      <c r="BE50" s="71">
        <f ca="1">+GETPIVOTDATA("XCB4",'cubi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+GETPIVOTDATA("XCB4",'cubi (2016)'!$A$3,"MA_HT","SKX","MA_QH","LUC")</f>
        <v>0</v>
      </c>
      <c r="H51" s="22">
        <f ca="1">+GETPIVOTDATA("XCB4",'cubi (2016)'!$A$3,"MA_HT","SKX","MA_QH","LUK")</f>
        <v>0</v>
      </c>
      <c r="I51" s="22">
        <f ca="1">+GETPIVOTDATA("XCB4",'cubi (2016)'!$A$3,"MA_HT","SKX","MA_QH","LUN")</f>
        <v>0</v>
      </c>
      <c r="J51" s="22">
        <f ca="1">+GETPIVOTDATA("XCB4",'cubi (2016)'!$A$3,"MA_HT","SKX","MA_QH","HNK")</f>
        <v>0</v>
      </c>
      <c r="K51" s="22">
        <f ca="1">+GETPIVOTDATA("XCB4",'cubi (2016)'!$A$3,"MA_HT","SKX","MA_QH","CLN")</f>
        <v>0</v>
      </c>
      <c r="L51" s="22">
        <f ca="1">+GETPIVOTDATA("XCB4",'cubi (2016)'!$A$3,"MA_HT","SKX","MA_QH","RSX")</f>
        <v>0</v>
      </c>
      <c r="M51" s="22">
        <f ca="1">+GETPIVOTDATA("XCB4",'cubi (2016)'!$A$3,"MA_HT","SKX","MA_QH","RPH")</f>
        <v>0</v>
      </c>
      <c r="N51" s="22">
        <f ca="1">+GETPIVOTDATA("XCB4",'cubi (2016)'!$A$3,"MA_HT","SKX","MA_QH","RDD")</f>
        <v>0</v>
      </c>
      <c r="O51" s="22">
        <f ca="1">+GETPIVOTDATA("XCB4",'cubi (2016)'!$A$3,"MA_HT","SKX","MA_QH","NTS")</f>
        <v>0</v>
      </c>
      <c r="P51" s="22">
        <f ca="1">+GETPIVOTDATA("XCB4",'cubi (2016)'!$A$3,"MA_HT","SKX","MA_QH","LMU")</f>
        <v>0</v>
      </c>
      <c r="Q51" s="22">
        <f ca="1">+GETPIVOTDATA("XCB4",'cubi (2016)'!$A$3,"MA_HT","SKX","MA_QH","NKH")</f>
        <v>0</v>
      </c>
      <c r="R51" s="79">
        <f ca="1">SUM(S51:AA51,AN51:AW51,AY51:BD51)</f>
        <v>0</v>
      </c>
      <c r="S51" s="22">
        <f ca="1">+GETPIVOTDATA("XCB4",'cubi (2016)'!$A$3,"MA_HT","SKX","MA_QH","CQP")</f>
        <v>0</v>
      </c>
      <c r="T51" s="22">
        <f ca="1">+GETPIVOTDATA("XCB4",'cubi (2016)'!$A$3,"MA_HT","SKX","MA_QH","CAN")</f>
        <v>0</v>
      </c>
      <c r="U51" s="22">
        <f ca="1">+GETPIVOTDATA("XCB4",'cubi (2016)'!$A$3,"MA_HT","SKX","MA_QH","SKK")</f>
        <v>0</v>
      </c>
      <c r="V51" s="22">
        <f ca="1">+GETPIVOTDATA("XCB4",'cubi (2016)'!$A$3,"MA_HT","SKX","MA_QH","SKT")</f>
        <v>0</v>
      </c>
      <c r="W51" s="22">
        <f ca="1">+GETPIVOTDATA("XCB4",'cubi (2016)'!$A$3,"MA_HT","SKX","MA_QH","SKN")</f>
        <v>0</v>
      </c>
      <c r="X51" s="22">
        <f ca="1">+GETPIVOTDATA("XCB4",'cubi (2016)'!$A$3,"MA_HT","SKX","MA_QH","TMD")</f>
        <v>0</v>
      </c>
      <c r="Y51" s="22">
        <f ca="1">+GETPIVOTDATA("XCB4",'cubi (2016)'!$A$3,"MA_HT","SKX","MA_QH","SKC")</f>
        <v>0</v>
      </c>
      <c r="Z51" s="22">
        <f ca="1">+GETPIVOTDATA("XCB4",'cubi (2016)'!$A$3,"MA_HT","SKX","MA_QH","SKS")</f>
        <v>0</v>
      </c>
      <c r="AA51" s="52">
        <f ca="1" t="shared" si="21"/>
        <v>0</v>
      </c>
      <c r="AB51" s="22">
        <f ca="1">+GETPIVOTDATA("XCB4",'cubi (2016)'!$A$3,"MA_HT","SKX","MA_QH","DGT")</f>
        <v>0</v>
      </c>
      <c r="AC51" s="22">
        <f ca="1">+GETPIVOTDATA("XCB4",'cubi (2016)'!$A$3,"MA_HT","SKX","MA_QH","DTL")</f>
        <v>0</v>
      </c>
      <c r="AD51" s="22">
        <f ca="1">+GETPIVOTDATA("XCB4",'cubi (2016)'!$A$3,"MA_HT","SKX","MA_QH","DNL")</f>
        <v>0</v>
      </c>
      <c r="AE51" s="22">
        <f ca="1">+GETPIVOTDATA("XCB4",'cubi (2016)'!$A$3,"MA_HT","SKX","MA_QH","DBV")</f>
        <v>0</v>
      </c>
      <c r="AF51" s="22">
        <f ca="1">+GETPIVOTDATA("XCB4",'cubi (2016)'!$A$3,"MA_HT","SKX","MA_QH","DVH")</f>
        <v>0</v>
      </c>
      <c r="AG51" s="22">
        <f ca="1">+GETPIVOTDATA("XCB4",'cubi (2016)'!$A$3,"MA_HT","SKX","MA_QH","DYT")</f>
        <v>0</v>
      </c>
      <c r="AH51" s="22">
        <f ca="1">+GETPIVOTDATA("XCB4",'cubi (2016)'!$A$3,"MA_HT","SKX","MA_QH","DGD")</f>
        <v>0</v>
      </c>
      <c r="AI51" s="22">
        <f ca="1">+GETPIVOTDATA("XCB4",'cubi (2016)'!$A$3,"MA_HT","SKX","MA_QH","DTT")</f>
        <v>0</v>
      </c>
      <c r="AJ51" s="22">
        <f ca="1">+GETPIVOTDATA("XCB4",'cubi (2016)'!$A$3,"MA_HT","SKX","MA_QH","NCK")</f>
        <v>0</v>
      </c>
      <c r="AK51" s="22">
        <f ca="1">+GETPIVOTDATA("XCB4",'cubi (2016)'!$A$3,"MA_HT","SKX","MA_QH","DXH")</f>
        <v>0</v>
      </c>
      <c r="AL51" s="22">
        <f ca="1">+GETPIVOTDATA("XCB4",'cubi (2016)'!$A$3,"MA_HT","SKX","MA_QH","DCH")</f>
        <v>0</v>
      </c>
      <c r="AM51" s="22">
        <f ca="1">+GETPIVOTDATA("XCB4",'cubi (2016)'!$A$3,"MA_HT","SKX","MA_QH","DKG")</f>
        <v>0</v>
      </c>
      <c r="AN51" s="22">
        <f ca="1">+GETPIVOTDATA("XCB4",'cubi (2016)'!$A$3,"MA_HT","SKX","MA_QH","DDT")</f>
        <v>0</v>
      </c>
      <c r="AO51" s="22">
        <f ca="1">+GETPIVOTDATA("XCB4",'cubi (2016)'!$A$3,"MA_HT","SKX","MA_QH","DDL")</f>
        <v>0</v>
      </c>
      <c r="AP51" s="22">
        <f ca="1">+GETPIVOTDATA("XCB4",'cubi (2016)'!$A$3,"MA_HT","SKX","MA_QH","DRA")</f>
        <v>0</v>
      </c>
      <c r="AQ51" s="22">
        <f ca="1">+GETPIVOTDATA("XCB4",'cubi (2016)'!$A$3,"MA_HT","SKX","MA_QH","ONT")</f>
        <v>0</v>
      </c>
      <c r="AR51" s="22">
        <f ca="1">+GETPIVOTDATA("XCB4",'cubi (2016)'!$A$3,"MA_HT","SKX","MA_QH","ODT")</f>
        <v>0</v>
      </c>
      <c r="AS51" s="22">
        <f ca="1">+GETPIVOTDATA("XCB4",'cubi (2016)'!$A$3,"MA_HT","SKX","MA_QH","TSC")</f>
        <v>0</v>
      </c>
      <c r="AT51" s="22">
        <f ca="1">+GETPIVOTDATA("XCB4",'cubi (2016)'!$A$3,"MA_HT","SKX","MA_QH","DTS")</f>
        <v>0</v>
      </c>
      <c r="AU51" s="22">
        <f ca="1">+GETPIVOTDATA("XCB4",'cubi (2016)'!$A$3,"MA_HT","SKX","MA_QH","DNG")</f>
        <v>0</v>
      </c>
      <c r="AV51" s="22">
        <f ca="1">+GETPIVOTDATA("XCB4",'cubi (2016)'!$A$3,"MA_HT","SKX","MA_QH","TON")</f>
        <v>0</v>
      </c>
      <c r="AW51" s="22">
        <f ca="1">+GETPIVOTDATA("XCB4",'cubi (2016)'!$A$3,"MA_HT","SKX","MA_QH","NTD")</f>
        <v>0</v>
      </c>
      <c r="AX51" s="43" t="e">
        <f ca="1">$D51-$BF51</f>
        <v>#REF!</v>
      </c>
      <c r="AY51" s="22">
        <f ca="1">+GETPIVOTDATA("XCB4",'cubi (2016)'!$A$3,"MA_HT","SKX","MA_QH","DSH")</f>
        <v>0</v>
      </c>
      <c r="AZ51" s="22">
        <f ca="1">+GETPIVOTDATA("XCB4",'cubi (2016)'!$A$3,"MA_HT","SKX","MA_QH","DKV")</f>
        <v>0</v>
      </c>
      <c r="BA51" s="89">
        <f ca="1">+GETPIVOTDATA("XCB4",'cubi (2016)'!$A$3,"MA_HT","SKX","MA_QH","TIN")</f>
        <v>0</v>
      </c>
      <c r="BB51" s="50">
        <f ca="1">+GETPIVOTDATA("XCB4",'cubi (2016)'!$A$3,"MA_HT","SKX","MA_QH","SON")</f>
        <v>0</v>
      </c>
      <c r="BC51" s="50">
        <f ca="1">+GETPIVOTDATA("XCB4",'cubi (2016)'!$A$3,"MA_HT","SKX","MA_QH","MNC")</f>
        <v>0</v>
      </c>
      <c r="BD51" s="22">
        <f ca="1">+GETPIVOTDATA("XCB4",'cubi (2016)'!$A$3,"MA_HT","SKX","MA_QH","PNK")</f>
        <v>0</v>
      </c>
      <c r="BE51" s="71">
        <f ca="1">+GETPIVOTDATA("XCB4",'cubi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+GETPIVOTDATA("XCB4",'cubi (2016)'!$A$3,"MA_HT","DSH","MA_QH","LUC")</f>
        <v>0</v>
      </c>
      <c r="H52" s="22">
        <f ca="1">+GETPIVOTDATA("XCB4",'cubi (2016)'!$A$3,"MA_HT","DSH","MA_QH","LUK")</f>
        <v>0</v>
      </c>
      <c r="I52" s="22">
        <f ca="1">+GETPIVOTDATA("XCB4",'cubi (2016)'!$A$3,"MA_HT","DSH","MA_QH","LUN")</f>
        <v>0</v>
      </c>
      <c r="J52" s="22">
        <f ca="1">+GETPIVOTDATA("XCB4",'cubi (2016)'!$A$3,"MA_HT","DSH","MA_QH","HNK")</f>
        <v>0</v>
      </c>
      <c r="K52" s="22">
        <f ca="1">+GETPIVOTDATA("XCB4",'cubi (2016)'!$A$3,"MA_HT","DSH","MA_QH","CLN")</f>
        <v>0</v>
      </c>
      <c r="L52" s="22">
        <f ca="1">+GETPIVOTDATA("XCB4",'cubi (2016)'!$A$3,"MA_HT","DSH","MA_QH","RSX")</f>
        <v>0</v>
      </c>
      <c r="M52" s="22">
        <f ca="1">+GETPIVOTDATA("XCB4",'cubi (2016)'!$A$3,"MA_HT","DSH","MA_QH","RPH")</f>
        <v>0</v>
      </c>
      <c r="N52" s="22">
        <f ca="1">+GETPIVOTDATA("XCB4",'cubi (2016)'!$A$3,"MA_HT","DSH","MA_QH","RDD")</f>
        <v>0</v>
      </c>
      <c r="O52" s="22">
        <f ca="1">+GETPIVOTDATA("XCB4",'cubi (2016)'!$A$3,"MA_HT","DSH","MA_QH","NTS")</f>
        <v>0</v>
      </c>
      <c r="P52" s="22">
        <f ca="1">+GETPIVOTDATA("XCB4",'cubi (2016)'!$A$3,"MA_HT","DSH","MA_QH","LMU")</f>
        <v>0</v>
      </c>
      <c r="Q52" s="22">
        <f ca="1">+GETPIVOTDATA("XCB4",'cubi (2016)'!$A$3,"MA_HT","DSH","MA_QH","NKH")</f>
        <v>0</v>
      </c>
      <c r="R52" s="79">
        <f ca="1">SUM(S52:AA52,AN52:AX52,AZ52:BD52)</f>
        <v>0</v>
      </c>
      <c r="S52" s="22">
        <f ca="1">+GETPIVOTDATA("XCB4",'cubi (2016)'!$A$3,"MA_HT","DSH","MA_QH","CQP")</f>
        <v>0</v>
      </c>
      <c r="T52" s="22">
        <f ca="1">+GETPIVOTDATA("XCB4",'cubi (2016)'!$A$3,"MA_HT","DSH","MA_QH","CAN")</f>
        <v>0</v>
      </c>
      <c r="U52" s="22">
        <f ca="1">+GETPIVOTDATA("XCB4",'cubi (2016)'!$A$3,"MA_HT","DSH","MA_QH","SKK")</f>
        <v>0</v>
      </c>
      <c r="V52" s="22">
        <f ca="1">+GETPIVOTDATA("XCB4",'cubi (2016)'!$A$3,"MA_HT","DSH","MA_QH","SKT")</f>
        <v>0</v>
      </c>
      <c r="W52" s="22">
        <f ca="1">+GETPIVOTDATA("XCB4",'cubi (2016)'!$A$3,"MA_HT","DSH","MA_QH","SKN")</f>
        <v>0</v>
      </c>
      <c r="X52" s="22">
        <f ca="1">+GETPIVOTDATA("XCB4",'cubi (2016)'!$A$3,"MA_HT","DSH","MA_QH","TMD")</f>
        <v>0</v>
      </c>
      <c r="Y52" s="22">
        <f ca="1">+GETPIVOTDATA("XCB4",'cubi (2016)'!$A$3,"MA_HT","DSH","MA_QH","SKC")</f>
        <v>0</v>
      </c>
      <c r="Z52" s="22">
        <f ca="1">+GETPIVOTDATA("XCB4",'cubi (2016)'!$A$3,"MA_HT","DSH","MA_QH","SKS")</f>
        <v>0</v>
      </c>
      <c r="AA52" s="52">
        <f ca="1" t="shared" si="21"/>
        <v>0</v>
      </c>
      <c r="AB52" s="22">
        <f ca="1">+GETPIVOTDATA("XCB4",'cubi (2016)'!$A$3,"MA_HT","DSH","MA_QH","DGT")</f>
        <v>0</v>
      </c>
      <c r="AC52" s="22">
        <f ca="1">+GETPIVOTDATA("XCB4",'cubi (2016)'!$A$3,"MA_HT","DSH","MA_QH","DTL")</f>
        <v>0</v>
      </c>
      <c r="AD52" s="22">
        <f ca="1">+GETPIVOTDATA("XCB4",'cubi (2016)'!$A$3,"MA_HT","DSH","MA_QH","DNL")</f>
        <v>0</v>
      </c>
      <c r="AE52" s="22">
        <f ca="1">+GETPIVOTDATA("XCB4",'cubi (2016)'!$A$3,"MA_HT","DSH","MA_QH","DBV")</f>
        <v>0</v>
      </c>
      <c r="AF52" s="22">
        <f ca="1">+GETPIVOTDATA("XCB4",'cubi (2016)'!$A$3,"MA_HT","DSH","MA_QH","DVH")</f>
        <v>0</v>
      </c>
      <c r="AG52" s="22">
        <f ca="1">+GETPIVOTDATA("XCB4",'cubi (2016)'!$A$3,"MA_HT","DSH","MA_QH","DYT")</f>
        <v>0</v>
      </c>
      <c r="AH52" s="22">
        <f ca="1">+GETPIVOTDATA("XCB4",'cubi (2016)'!$A$3,"MA_HT","DSH","MA_QH","DGD")</f>
        <v>0</v>
      </c>
      <c r="AI52" s="22">
        <f ca="1">+GETPIVOTDATA("XCB4",'cubi (2016)'!$A$3,"MA_HT","DSH","MA_QH","DTT")</f>
        <v>0</v>
      </c>
      <c r="AJ52" s="22">
        <f ca="1">+GETPIVOTDATA("XCB4",'cubi (2016)'!$A$3,"MA_HT","DSH","MA_QH","NCK")</f>
        <v>0</v>
      </c>
      <c r="AK52" s="22">
        <f ca="1">+GETPIVOTDATA("XCB4",'cubi (2016)'!$A$3,"MA_HT","DSH","MA_QH","DXH")</f>
        <v>0</v>
      </c>
      <c r="AL52" s="22">
        <f ca="1">+GETPIVOTDATA("XCB4",'cubi (2016)'!$A$3,"MA_HT","DSH","MA_QH","DCH")</f>
        <v>0</v>
      </c>
      <c r="AM52" s="22">
        <f ca="1">+GETPIVOTDATA("XCB4",'cubi (2016)'!$A$3,"MA_HT","DSH","MA_QH","DKG")</f>
        <v>0</v>
      </c>
      <c r="AN52" s="22">
        <f ca="1">+GETPIVOTDATA("XCB4",'cubi (2016)'!$A$3,"MA_HT","DSH","MA_QH","DDT")</f>
        <v>0</v>
      </c>
      <c r="AO52" s="22">
        <f ca="1">+GETPIVOTDATA("XCB4",'cubi (2016)'!$A$3,"MA_HT","DSH","MA_QH","DDL")</f>
        <v>0</v>
      </c>
      <c r="AP52" s="22">
        <f ca="1">+GETPIVOTDATA("XCB4",'cubi (2016)'!$A$3,"MA_HT","DSH","MA_QH","DRA")</f>
        <v>0</v>
      </c>
      <c r="AQ52" s="22">
        <f ca="1">+GETPIVOTDATA("XCB4",'cubi (2016)'!$A$3,"MA_HT","DSH","MA_QH","ONT")</f>
        <v>0</v>
      </c>
      <c r="AR52" s="22">
        <f ca="1">+GETPIVOTDATA("XCB4",'cubi (2016)'!$A$3,"MA_HT","DSH","MA_QH","ODT")</f>
        <v>0</v>
      </c>
      <c r="AS52" s="22">
        <f ca="1">+GETPIVOTDATA("XCB4",'cubi (2016)'!$A$3,"MA_HT","DSH","MA_QH","TSC")</f>
        <v>0</v>
      </c>
      <c r="AT52" s="22">
        <f ca="1">+GETPIVOTDATA("XCB4",'cubi (2016)'!$A$3,"MA_HT","DSH","MA_QH","DTS")</f>
        <v>0</v>
      </c>
      <c r="AU52" s="22">
        <f ca="1">+GETPIVOTDATA("XCB4",'cubi (2016)'!$A$3,"MA_HT","DSH","MA_QH","DNG")</f>
        <v>0</v>
      </c>
      <c r="AV52" s="22">
        <f ca="1">+GETPIVOTDATA("XCB4",'cubi (2016)'!$A$3,"MA_HT","DSH","MA_QH","TON")</f>
        <v>0</v>
      </c>
      <c r="AW52" s="22">
        <f ca="1">+GETPIVOTDATA("XCB4",'cubi (2016)'!$A$3,"MA_HT","DSH","MA_QH","NTD")</f>
        <v>0</v>
      </c>
      <c r="AX52" s="22">
        <f ca="1">+GETPIVOTDATA("XCB4",'cubi (2016)'!$A$3,"MA_HT","DSH","MA_QH","SKX")</f>
        <v>0</v>
      </c>
      <c r="AY52" s="43" t="e">
        <f ca="1">$D52-$BF52</f>
        <v>#REF!</v>
      </c>
      <c r="AZ52" s="22">
        <f ca="1">+GETPIVOTDATA("XCB4",'cubi (2016)'!$A$3,"MA_HT","DSH","MA_QH","DKV")</f>
        <v>0</v>
      </c>
      <c r="BA52" s="89">
        <f ca="1">+GETPIVOTDATA("XCB4",'cubi (2016)'!$A$3,"MA_HT","DSH","MA_QH","TIN")</f>
        <v>0</v>
      </c>
      <c r="BB52" s="50">
        <f ca="1">+GETPIVOTDATA("XCB4",'cubi (2016)'!$A$3,"MA_HT","DSH","MA_QH","SON")</f>
        <v>0</v>
      </c>
      <c r="BC52" s="50">
        <f ca="1">+GETPIVOTDATA("XCB4",'cubi (2016)'!$A$3,"MA_HT","DSH","MA_QH","MNC")</f>
        <v>0</v>
      </c>
      <c r="BD52" s="22">
        <f ca="1">+GETPIVOTDATA("XCB4",'cubi (2016)'!$A$3,"MA_HT","DSH","MA_QH","PNK")</f>
        <v>0</v>
      </c>
      <c r="BE52" s="71">
        <f ca="1">+GETPIVOTDATA("XCB4",'cubi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+GETPIVOTDATA("XCB4",'cubi (2016)'!$A$3,"MA_HT","DKV","MA_QH","LUC")</f>
        <v>0</v>
      </c>
      <c r="H53" s="22">
        <f ca="1">+GETPIVOTDATA("XCB4",'cubi (2016)'!$A$3,"MA_HT","DKV","MA_QH","LUK")</f>
        <v>0</v>
      </c>
      <c r="I53" s="22">
        <f ca="1">+GETPIVOTDATA("XCB4",'cubi (2016)'!$A$3,"MA_HT","DKV","MA_QH","LUN")</f>
        <v>0</v>
      </c>
      <c r="J53" s="22">
        <f ca="1">+GETPIVOTDATA("XCB4",'cubi (2016)'!$A$3,"MA_HT","DKV","MA_QH","HNK")</f>
        <v>0</v>
      </c>
      <c r="K53" s="22">
        <f ca="1">+GETPIVOTDATA("XCB4",'cubi (2016)'!$A$3,"MA_HT","DKV","MA_QH","CLN")</f>
        <v>0</v>
      </c>
      <c r="L53" s="22">
        <f ca="1">+GETPIVOTDATA("XCB4",'cubi (2016)'!$A$3,"MA_HT","DKV","MA_QH","RSX")</f>
        <v>0</v>
      </c>
      <c r="M53" s="22">
        <f ca="1">+GETPIVOTDATA("XCB4",'cubi (2016)'!$A$3,"MA_HT","DKV","MA_QH","RPH")</f>
        <v>0</v>
      </c>
      <c r="N53" s="22">
        <f ca="1">+GETPIVOTDATA("XCB4",'cubi (2016)'!$A$3,"MA_HT","DKV","MA_QH","RDD")</f>
        <v>0</v>
      </c>
      <c r="O53" s="22">
        <f ca="1">+GETPIVOTDATA("XCB4",'cubi (2016)'!$A$3,"MA_HT","DKV","MA_QH","NTS")</f>
        <v>0</v>
      </c>
      <c r="P53" s="22">
        <f ca="1">+GETPIVOTDATA("XCB4",'cubi (2016)'!$A$3,"MA_HT","DKV","MA_QH","LMU")</f>
        <v>0</v>
      </c>
      <c r="Q53" s="22">
        <f ca="1">+GETPIVOTDATA("XCB4",'cubi (2016)'!$A$3,"MA_HT","DKV","MA_QH","NKH")</f>
        <v>0</v>
      </c>
      <c r="R53" s="79">
        <f ca="1">SUM(S53:AA53,AN53:AY53,BB53:BD53)</f>
        <v>0</v>
      </c>
      <c r="S53" s="22">
        <f ca="1">+GETPIVOTDATA("XCB4",'cubi (2016)'!$A$3,"MA_HT","DKV","MA_QH","CQP")</f>
        <v>0</v>
      </c>
      <c r="T53" s="22">
        <f ca="1">+GETPIVOTDATA("XCB4",'cubi (2016)'!$A$3,"MA_HT","DKV","MA_QH","CAN")</f>
        <v>0</v>
      </c>
      <c r="U53" s="22">
        <f ca="1">+GETPIVOTDATA("XCB4",'cubi (2016)'!$A$3,"MA_HT","DKV","MA_QH","SKK")</f>
        <v>0</v>
      </c>
      <c r="V53" s="22">
        <f ca="1">+GETPIVOTDATA("XCB4",'cubi (2016)'!$A$3,"MA_HT","DKV","MA_QH","SKT")</f>
        <v>0</v>
      </c>
      <c r="W53" s="22">
        <f ca="1">+GETPIVOTDATA("XCB4",'cubi (2016)'!$A$3,"MA_HT","DKV","MA_QH","SKN")</f>
        <v>0</v>
      </c>
      <c r="X53" s="22">
        <f ca="1">+GETPIVOTDATA("XCB4",'cubi (2016)'!$A$3,"MA_HT","DKV","MA_QH","TMD")</f>
        <v>0</v>
      </c>
      <c r="Y53" s="22">
        <f ca="1">+GETPIVOTDATA("XCB4",'cubi (2016)'!$A$3,"MA_HT","DKV","MA_QH","SKC")</f>
        <v>0</v>
      </c>
      <c r="Z53" s="22">
        <f ca="1">+GETPIVOTDATA("XCB4",'cubi (2016)'!$A$3,"MA_HT","DKV","MA_QH","SKS")</f>
        <v>0</v>
      </c>
      <c r="AA53" s="52">
        <f ca="1" t="shared" si="21"/>
        <v>0</v>
      </c>
      <c r="AB53" s="22">
        <f ca="1">+GETPIVOTDATA("XCB4",'cubi (2016)'!$A$3,"MA_HT","DKV","MA_QH","DGT")</f>
        <v>0</v>
      </c>
      <c r="AC53" s="22">
        <f ca="1">+GETPIVOTDATA("XCB4",'cubi (2016)'!$A$3,"MA_HT","DKV","MA_QH","DTL")</f>
        <v>0</v>
      </c>
      <c r="AD53" s="22">
        <f ca="1">+GETPIVOTDATA("XCB4",'cubi (2016)'!$A$3,"MA_HT","DKV","MA_QH","DNL")</f>
        <v>0</v>
      </c>
      <c r="AE53" s="22">
        <f ca="1">+GETPIVOTDATA("XCB4",'cubi (2016)'!$A$3,"MA_HT","DKV","MA_QH","DBV")</f>
        <v>0</v>
      </c>
      <c r="AF53" s="22">
        <f ca="1">+GETPIVOTDATA("XCB4",'cubi (2016)'!$A$3,"MA_HT","DKV","MA_QH","DVH")</f>
        <v>0</v>
      </c>
      <c r="AG53" s="22">
        <f ca="1">+GETPIVOTDATA("XCB4",'cubi (2016)'!$A$3,"MA_HT","DKV","MA_QH","DYT")</f>
        <v>0</v>
      </c>
      <c r="AH53" s="22">
        <f ca="1">+GETPIVOTDATA("XCB4",'cubi (2016)'!$A$3,"MA_HT","DKV","MA_QH","DGD")</f>
        <v>0</v>
      </c>
      <c r="AI53" s="22">
        <f ca="1">+GETPIVOTDATA("XCB4",'cubi (2016)'!$A$3,"MA_HT","DKV","MA_QH","DTT")</f>
        <v>0</v>
      </c>
      <c r="AJ53" s="22">
        <f ca="1">+GETPIVOTDATA("XCB4",'cubi (2016)'!$A$3,"MA_HT","DKV","MA_QH","NCK")</f>
        <v>0</v>
      </c>
      <c r="AK53" s="22">
        <f ca="1">+GETPIVOTDATA("XCB4",'cubi (2016)'!$A$3,"MA_HT","DKV","MA_QH","DXH")</f>
        <v>0</v>
      </c>
      <c r="AL53" s="22">
        <f ca="1">+GETPIVOTDATA("XCB4",'cubi (2016)'!$A$3,"MA_HT","DKV","MA_QH","DCH")</f>
        <v>0</v>
      </c>
      <c r="AM53" s="22">
        <f ca="1">+GETPIVOTDATA("XCB4",'cubi (2016)'!$A$3,"MA_HT","DKV","MA_QH","DKG")</f>
        <v>0</v>
      </c>
      <c r="AN53" s="22">
        <f ca="1">+GETPIVOTDATA("XCB4",'cubi (2016)'!$A$3,"MA_HT","DKV","MA_QH","DDT")</f>
        <v>0</v>
      </c>
      <c r="AO53" s="22">
        <f ca="1">+GETPIVOTDATA("XCB4",'cubi (2016)'!$A$3,"MA_HT","DKV","MA_QH","DDL")</f>
        <v>0</v>
      </c>
      <c r="AP53" s="22">
        <f ca="1">+GETPIVOTDATA("XCB4",'cubi (2016)'!$A$3,"MA_HT","DKV","MA_QH","DRA")</f>
        <v>0</v>
      </c>
      <c r="AQ53" s="22">
        <f ca="1">+GETPIVOTDATA("XCB4",'cubi (2016)'!$A$3,"MA_HT","DKV","MA_QH","ONT")</f>
        <v>0</v>
      </c>
      <c r="AR53" s="22">
        <f ca="1">+GETPIVOTDATA("XCB4",'cubi (2016)'!$A$3,"MA_HT","DKV","MA_QH","ODT")</f>
        <v>0</v>
      </c>
      <c r="AS53" s="22">
        <f ca="1">+GETPIVOTDATA("XCB4",'cubi (2016)'!$A$3,"MA_HT","DKV","MA_QH","TSC")</f>
        <v>0</v>
      </c>
      <c r="AT53" s="22">
        <f ca="1">+GETPIVOTDATA("XCB4",'cubi (2016)'!$A$3,"MA_HT","DKV","MA_QH","DTS")</f>
        <v>0</v>
      </c>
      <c r="AU53" s="22">
        <f ca="1">+GETPIVOTDATA("XCB4",'cubi (2016)'!$A$3,"MA_HT","DKV","MA_QH","DNG")</f>
        <v>0</v>
      </c>
      <c r="AV53" s="22">
        <f ca="1">+GETPIVOTDATA("XCB4",'cubi (2016)'!$A$3,"MA_HT","DKV","MA_QH","TON")</f>
        <v>0</v>
      </c>
      <c r="AW53" s="22">
        <f ca="1">+GETPIVOTDATA("XCB4",'cubi (2016)'!$A$3,"MA_HT","DKV","MA_QH","NTD")</f>
        <v>0</v>
      </c>
      <c r="AX53" s="22">
        <f ca="1">+GETPIVOTDATA("XCB4",'cubi (2016)'!$A$3,"MA_HT","DKV","MA_QH","SKX")</f>
        <v>0</v>
      </c>
      <c r="AY53" s="22">
        <f ca="1">+GETPIVOTDATA("XCB4",'cubi (2016)'!$A$3,"MA_HT","DKV","MA_QH","DSH")</f>
        <v>0</v>
      </c>
      <c r="AZ53" s="43" t="e">
        <f ca="1">$D53-$BF53</f>
        <v>#REF!</v>
      </c>
      <c r="BA53" s="89">
        <f ca="1">+GETPIVOTDATA("XCB4",'cubi (2016)'!$A$3,"MA_HT","DKV","MA_QH","TIN")</f>
        <v>0</v>
      </c>
      <c r="BB53" s="50">
        <f ca="1">+GETPIVOTDATA("XCB4",'cubi (2016)'!$A$3,"MA_HT","DKV","MA_QH","SON")</f>
        <v>0</v>
      </c>
      <c r="BC53" s="50">
        <f ca="1">+GETPIVOTDATA("XCB4",'cubi (2016)'!$A$3,"MA_HT","DKV","MA_QH","MNC")</f>
        <v>0</v>
      </c>
      <c r="BD53" s="22">
        <f ca="1">+GETPIVOTDATA("XCB4",'cubi (2016)'!$A$3,"MA_HT","DKV","MA_QH","PNK")</f>
        <v>0</v>
      </c>
      <c r="BE53" s="71">
        <f ca="1">+GETPIVOTDATA("XCB4",'cubi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+GETPIVOTDATA("XCB4",'cubi (2016)'!$A$3,"MA_HT","TIN","MA_QH","LUC")</f>
        <v>0</v>
      </c>
      <c r="H54" s="22">
        <f ca="1">+GETPIVOTDATA("XCB4",'cubi (2016)'!$A$3,"MA_HT","TIN","MA_QH","LUK")</f>
        <v>0</v>
      </c>
      <c r="I54" s="22">
        <f ca="1">+GETPIVOTDATA("XCB4",'cubi (2016)'!$A$3,"MA_HT","TIN","MA_QH","LUN")</f>
        <v>0</v>
      </c>
      <c r="J54" s="22">
        <f ca="1">+GETPIVOTDATA("XCB4",'cubi (2016)'!$A$3,"MA_HT","TIN","MA_QH","HNK")</f>
        <v>0</v>
      </c>
      <c r="K54" s="22">
        <f ca="1">+GETPIVOTDATA("XCB4",'cubi (2016)'!$A$3,"MA_HT","TIN","MA_QH","CLN")</f>
        <v>0</v>
      </c>
      <c r="L54" s="22">
        <f ca="1">+GETPIVOTDATA("XCB4",'cubi (2016)'!$A$3,"MA_HT","TIN","MA_QH","RSX")</f>
        <v>0</v>
      </c>
      <c r="M54" s="22">
        <f ca="1">+GETPIVOTDATA("XCB4",'cubi (2016)'!$A$3,"MA_HT","TIN","MA_QH","RPH")</f>
        <v>0</v>
      </c>
      <c r="N54" s="22">
        <f ca="1">+GETPIVOTDATA("XCB4",'cubi (2016)'!$A$3,"MA_HT","TIN","MA_QH","RDD")</f>
        <v>0</v>
      </c>
      <c r="O54" s="22">
        <f ca="1">+GETPIVOTDATA("XCB4",'cubi (2016)'!$A$3,"MA_HT","TIN","MA_QH","NTS")</f>
        <v>0</v>
      </c>
      <c r="P54" s="22">
        <f ca="1">+GETPIVOTDATA("XCB4",'cubi (2016)'!$A$3,"MA_HT","TIN","MA_QH","LMU")</f>
        <v>0</v>
      </c>
      <c r="Q54" s="22">
        <f ca="1">+GETPIVOTDATA("XCB4",'cubi (2016)'!$A$3,"MA_HT","TIN","MA_QH","NKH")</f>
        <v>0</v>
      </c>
      <c r="R54" s="79">
        <f ca="1">SUM(S54:AA54,AN54:AZ54,BB54:BD54)</f>
        <v>0</v>
      </c>
      <c r="S54" s="22">
        <f ca="1">+GETPIVOTDATA("XCB4",'cubi (2016)'!$A$3,"MA_HT","TIN","MA_QH","CQP")</f>
        <v>0</v>
      </c>
      <c r="T54" s="22">
        <f ca="1">+GETPIVOTDATA("XCB4",'cubi (2016)'!$A$3,"MA_HT","TIN","MA_QH","CAN")</f>
        <v>0</v>
      </c>
      <c r="U54" s="22">
        <f ca="1">+GETPIVOTDATA("XCB4",'cubi (2016)'!$A$3,"MA_HT","TIN","MA_QH","SKK")</f>
        <v>0</v>
      </c>
      <c r="V54" s="22">
        <f ca="1">+GETPIVOTDATA("XCB4",'cubi (2016)'!$A$3,"MA_HT","TIN","MA_QH","SKT")</f>
        <v>0</v>
      </c>
      <c r="W54" s="22">
        <f ca="1">+GETPIVOTDATA("XCB4",'cubi (2016)'!$A$3,"MA_HT","TIN","MA_QH","SKN")</f>
        <v>0</v>
      </c>
      <c r="X54" s="22">
        <f ca="1">+GETPIVOTDATA("XCB4",'cubi (2016)'!$A$3,"MA_HT","TIN","MA_QH","TMD")</f>
        <v>0</v>
      </c>
      <c r="Y54" s="22">
        <f ca="1">+GETPIVOTDATA("XCB4",'cubi (2016)'!$A$3,"MA_HT","TIN","MA_QH","SKC")</f>
        <v>0</v>
      </c>
      <c r="Z54" s="22">
        <f ca="1">+GETPIVOTDATA("XCB4",'cubi (2016)'!$A$3,"MA_HT","TIN","MA_QH","SKS")</f>
        <v>0</v>
      </c>
      <c r="AA54" s="52">
        <f ca="1" t="shared" si="21"/>
        <v>0</v>
      </c>
      <c r="AB54" s="22">
        <f ca="1">+GETPIVOTDATA("XCB4",'cubi (2016)'!$A$3,"MA_HT","TIN","MA_QH","DGT")</f>
        <v>0</v>
      </c>
      <c r="AC54" s="22">
        <f ca="1">+GETPIVOTDATA("XCB4",'cubi (2016)'!$A$3,"MA_HT","TIN","MA_QH","DTL")</f>
        <v>0</v>
      </c>
      <c r="AD54" s="22">
        <f ca="1">+GETPIVOTDATA("XCB4",'cubi (2016)'!$A$3,"MA_HT","TIN","MA_QH","DNL")</f>
        <v>0</v>
      </c>
      <c r="AE54" s="22">
        <f ca="1">+GETPIVOTDATA("XCB4",'cubi (2016)'!$A$3,"MA_HT","TIN","MA_QH","DBV")</f>
        <v>0</v>
      </c>
      <c r="AF54" s="22">
        <f ca="1">+GETPIVOTDATA("XCB4",'cubi (2016)'!$A$3,"MA_HT","TIN","MA_QH","DVH")</f>
        <v>0</v>
      </c>
      <c r="AG54" s="22">
        <f ca="1">+GETPIVOTDATA("XCB4",'cubi (2016)'!$A$3,"MA_HT","TIN","MA_QH","DYT")</f>
        <v>0</v>
      </c>
      <c r="AH54" s="22">
        <f ca="1">+GETPIVOTDATA("XCB4",'cubi (2016)'!$A$3,"MA_HT","TIN","MA_QH","DGD")</f>
        <v>0</v>
      </c>
      <c r="AI54" s="22">
        <f ca="1">+GETPIVOTDATA("XCB4",'cubi (2016)'!$A$3,"MA_HT","TIN","MA_QH","DTT")</f>
        <v>0</v>
      </c>
      <c r="AJ54" s="22">
        <f ca="1">+GETPIVOTDATA("XCB4",'cubi (2016)'!$A$3,"MA_HT","TIN","MA_QH","NCK")</f>
        <v>0</v>
      </c>
      <c r="AK54" s="22">
        <f ca="1">+GETPIVOTDATA("XCB4",'cubi (2016)'!$A$3,"MA_HT","TIN","MA_QH","DXH")</f>
        <v>0</v>
      </c>
      <c r="AL54" s="22">
        <f ca="1">+GETPIVOTDATA("XCB4",'cubi (2016)'!$A$3,"MA_HT","TIN","MA_QH","DCH")</f>
        <v>0</v>
      </c>
      <c r="AM54" s="22">
        <f ca="1">+GETPIVOTDATA("XCB4",'cubi (2016)'!$A$3,"MA_HT","TIN","MA_QH","DKG")</f>
        <v>0</v>
      </c>
      <c r="AN54" s="22">
        <f ca="1">+GETPIVOTDATA("XCB4",'cubi (2016)'!$A$3,"MA_HT","TIN","MA_QH","DDT")</f>
        <v>0</v>
      </c>
      <c r="AO54" s="22">
        <f ca="1">+GETPIVOTDATA("XCB4",'cubi (2016)'!$A$3,"MA_HT","TIN","MA_QH","DDL")</f>
        <v>0</v>
      </c>
      <c r="AP54" s="22">
        <f ca="1">+GETPIVOTDATA("XCB4",'cubi (2016)'!$A$3,"MA_HT","TIN","MA_QH","DRA")</f>
        <v>0</v>
      </c>
      <c r="AQ54" s="22">
        <f ca="1">+GETPIVOTDATA("XCB4",'cubi (2016)'!$A$3,"MA_HT","TIN","MA_QH","ONT")</f>
        <v>0</v>
      </c>
      <c r="AR54" s="22">
        <f ca="1">+GETPIVOTDATA("XCB4",'cubi (2016)'!$A$3,"MA_HT","TIN","MA_QH","ODT")</f>
        <v>0</v>
      </c>
      <c r="AS54" s="22">
        <f ca="1">+GETPIVOTDATA("XCB4",'cubi (2016)'!$A$3,"MA_HT","TIN","MA_QH","TSC")</f>
        <v>0</v>
      </c>
      <c r="AT54" s="22">
        <f ca="1">+GETPIVOTDATA("XCB4",'cubi (2016)'!$A$3,"MA_HT","TIN","MA_QH","DTS")</f>
        <v>0</v>
      </c>
      <c r="AU54" s="22">
        <f ca="1">+GETPIVOTDATA("XCB4",'cubi (2016)'!$A$3,"MA_HT","TIN","MA_QH","DNG")</f>
        <v>0</v>
      </c>
      <c r="AV54" s="22">
        <f ca="1">+GETPIVOTDATA("XCB4",'cubi (2016)'!$A$3,"MA_HT","TIN","MA_QH","TON")</f>
        <v>0</v>
      </c>
      <c r="AW54" s="22">
        <f ca="1">+GETPIVOTDATA("XCB4",'cubi (2016)'!$A$3,"MA_HT","TIN","MA_QH","NTD")</f>
        <v>0</v>
      </c>
      <c r="AX54" s="22">
        <f ca="1">+GETPIVOTDATA("XCB4",'cubi (2016)'!$A$3,"MA_HT","TIN","MA_QH","SKX")</f>
        <v>0</v>
      </c>
      <c r="AY54" s="22">
        <f ca="1">+GETPIVOTDATA("XCB4",'cubi (2016)'!$A$3,"MA_HT","TIN","MA_QH","DSH")</f>
        <v>0</v>
      </c>
      <c r="AZ54" s="22">
        <f ca="1">+GETPIVOTDATA("XCB4",'cubi (2016)'!$A$3,"MA_HT","TIN","MA_QH","DKV")</f>
        <v>0</v>
      </c>
      <c r="BA54" s="43" t="e">
        <f ca="1">$D54-$BF54</f>
        <v>#REF!</v>
      </c>
      <c r="BB54" s="22">
        <f ca="1">+GETPIVOTDATA("XCB4",'cubi (2016)'!$A$3,"MA_HT","TIN","MA_QH","SON")</f>
        <v>0</v>
      </c>
      <c r="BC54" s="22">
        <f ca="1">+GETPIVOTDATA("XCB4",'cubi (2016)'!$A$3,"MA_HT","TIN","MA_QH","MNC")</f>
        <v>0</v>
      </c>
      <c r="BD54" s="22">
        <f ca="1">+GETPIVOTDATA("XCB4",'cubi (2016)'!$A$3,"MA_HT","TIN","MA_QH","PNK")</f>
        <v>0</v>
      </c>
      <c r="BE54" s="71">
        <f ca="1">+GETPIVOTDATA("XCB4",'cubi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+GETPIVOTDATA("XCB4",'cubi (2016)'!$A$3,"MA_HT","SON","MA_QH","LUC")</f>
        <v>0</v>
      </c>
      <c r="H55" s="22">
        <f ca="1">+GETPIVOTDATA("XCB4",'cubi (2016)'!$A$3,"MA_HT","SON","MA_QH","LUK")</f>
        <v>0</v>
      </c>
      <c r="I55" s="22">
        <f ca="1">+GETPIVOTDATA("XCB4",'cubi (2016)'!$A$3,"MA_HT","SON","MA_QH","LUN")</f>
        <v>0</v>
      </c>
      <c r="J55" s="22">
        <f ca="1">+GETPIVOTDATA("XCB4",'cubi (2016)'!$A$3,"MA_HT","SON","MA_QH","HNK")</f>
        <v>0</v>
      </c>
      <c r="K55" s="22">
        <f ca="1">+GETPIVOTDATA("XCB4",'cubi (2016)'!$A$3,"MA_HT","SON","MA_QH","CLN")</f>
        <v>0</v>
      </c>
      <c r="L55" s="22">
        <f ca="1">+GETPIVOTDATA("XCB4",'cubi (2016)'!$A$3,"MA_HT","SON","MA_QH","RSX")</f>
        <v>0</v>
      </c>
      <c r="M55" s="22">
        <f ca="1">+GETPIVOTDATA("XCB4",'cubi (2016)'!$A$3,"MA_HT","SON","MA_QH","RPH")</f>
        <v>0</v>
      </c>
      <c r="N55" s="22">
        <f ca="1">+GETPIVOTDATA("XCB4",'cubi (2016)'!$A$3,"MA_HT","SON","MA_QH","RDD")</f>
        <v>0</v>
      </c>
      <c r="O55" s="22">
        <f ca="1">+GETPIVOTDATA("XCB4",'cubi (2016)'!$A$3,"MA_HT","SON","MA_QH","NTS")</f>
        <v>0</v>
      </c>
      <c r="P55" s="22">
        <f ca="1">+GETPIVOTDATA("XCB4",'cubi (2016)'!$A$3,"MA_HT","SON","MA_QH","LMU")</f>
        <v>0</v>
      </c>
      <c r="Q55" s="22">
        <f ca="1">+GETPIVOTDATA("XCB4",'cubi (2016)'!$A$3,"MA_HT","SON","MA_QH","NKH")</f>
        <v>0</v>
      </c>
      <c r="R55" s="79">
        <f ca="1">SUM(S55:AA55,AN55:AZ55,BC55:BD55)</f>
        <v>0</v>
      </c>
      <c r="S55" s="22">
        <f ca="1">+GETPIVOTDATA("XCB4",'cubi (2016)'!$A$3,"MA_HT","SON","MA_QH","CQP")</f>
        <v>0</v>
      </c>
      <c r="T55" s="22">
        <f ca="1">+GETPIVOTDATA("XCB4",'cubi (2016)'!$A$3,"MA_HT","SON","MA_QH","CAN")</f>
        <v>0</v>
      </c>
      <c r="U55" s="22">
        <f ca="1">+GETPIVOTDATA("XCB4",'cubi (2016)'!$A$3,"MA_HT","SON","MA_QH","SKK")</f>
        <v>0</v>
      </c>
      <c r="V55" s="22">
        <f ca="1">+GETPIVOTDATA("XCB4",'cubi (2016)'!$A$3,"MA_HT","SON","MA_QH","SKT")</f>
        <v>0</v>
      </c>
      <c r="W55" s="22">
        <f ca="1">+GETPIVOTDATA("XCB4",'cubi (2016)'!$A$3,"MA_HT","SON","MA_QH","SKN")</f>
        <v>0</v>
      </c>
      <c r="X55" s="22">
        <f ca="1">+GETPIVOTDATA("XCB4",'cubi (2016)'!$A$3,"MA_HT","SON","MA_QH","TMD")</f>
        <v>0</v>
      </c>
      <c r="Y55" s="22">
        <f ca="1">+GETPIVOTDATA("XCB4",'cubi (2016)'!$A$3,"MA_HT","SON","MA_QH","SKC")</f>
        <v>0</v>
      </c>
      <c r="Z55" s="22">
        <f ca="1">+GETPIVOTDATA("XCB4",'cubi (2016)'!$A$3,"MA_HT","SON","MA_QH","SKS")</f>
        <v>0</v>
      </c>
      <c r="AA55" s="52">
        <f ca="1" t="shared" si="21"/>
        <v>0</v>
      </c>
      <c r="AB55" s="22">
        <f ca="1">+GETPIVOTDATA("XCB4",'cubi (2016)'!$A$3,"MA_HT","SON","MA_QH","DGT")</f>
        <v>0</v>
      </c>
      <c r="AC55" s="22">
        <f ca="1">+GETPIVOTDATA("XCB4",'cubi (2016)'!$A$3,"MA_HT","SON","MA_QH","DTL")</f>
        <v>0</v>
      </c>
      <c r="AD55" s="22">
        <f ca="1">+GETPIVOTDATA("XCB4",'cubi (2016)'!$A$3,"MA_HT","SON","MA_QH","DNL")</f>
        <v>0</v>
      </c>
      <c r="AE55" s="22">
        <f ca="1">+GETPIVOTDATA("XCB4",'cubi (2016)'!$A$3,"MA_HT","SON","MA_QH","DBV")</f>
        <v>0</v>
      </c>
      <c r="AF55" s="22">
        <f ca="1">+GETPIVOTDATA("XCB4",'cubi (2016)'!$A$3,"MA_HT","SON","MA_QH","DVH")</f>
        <v>0</v>
      </c>
      <c r="AG55" s="22">
        <f ca="1">+GETPIVOTDATA("XCB4",'cubi (2016)'!$A$3,"MA_HT","SON","MA_QH","DYT")</f>
        <v>0</v>
      </c>
      <c r="AH55" s="22">
        <f ca="1">+GETPIVOTDATA("XCB4",'cubi (2016)'!$A$3,"MA_HT","SON","MA_QH","DGD")</f>
        <v>0</v>
      </c>
      <c r="AI55" s="22">
        <f ca="1">+GETPIVOTDATA("XCB4",'cubi (2016)'!$A$3,"MA_HT","SON","MA_QH","DTT")</f>
        <v>0</v>
      </c>
      <c r="AJ55" s="22">
        <f ca="1">+GETPIVOTDATA("XCB4",'cubi (2016)'!$A$3,"MA_HT","SON","MA_QH","NCK")</f>
        <v>0</v>
      </c>
      <c r="AK55" s="22">
        <f ca="1">+GETPIVOTDATA("XCB4",'cubi (2016)'!$A$3,"MA_HT","SON","MA_QH","DXH")</f>
        <v>0</v>
      </c>
      <c r="AL55" s="22">
        <f ca="1">+GETPIVOTDATA("XCB4",'cubi (2016)'!$A$3,"MA_HT","SON","MA_QH","DCH")</f>
        <v>0</v>
      </c>
      <c r="AM55" s="22">
        <f ca="1">+GETPIVOTDATA("XCB4",'cubi (2016)'!$A$3,"MA_HT","SON","MA_QH","DKG")</f>
        <v>0</v>
      </c>
      <c r="AN55" s="22">
        <f ca="1">+GETPIVOTDATA("XCB4",'cubi (2016)'!$A$3,"MA_HT","SON","MA_QH","DDT")</f>
        <v>0</v>
      </c>
      <c r="AO55" s="22">
        <f ca="1">+GETPIVOTDATA("XCB4",'cubi (2016)'!$A$3,"MA_HT","SON","MA_QH","DDL")</f>
        <v>0</v>
      </c>
      <c r="AP55" s="22">
        <f ca="1">+GETPIVOTDATA("XCB4",'cubi (2016)'!$A$3,"MA_HT","SON","MA_QH","DRA")</f>
        <v>0</v>
      </c>
      <c r="AQ55" s="22">
        <f ca="1">+GETPIVOTDATA("XCB4",'cubi (2016)'!$A$3,"MA_HT","SON","MA_QH","ONT")</f>
        <v>0</v>
      </c>
      <c r="AR55" s="22">
        <f ca="1">+GETPIVOTDATA("XCB4",'cubi (2016)'!$A$3,"MA_HT","SON","MA_QH","ODT")</f>
        <v>0</v>
      </c>
      <c r="AS55" s="22">
        <f ca="1">+GETPIVOTDATA("XCB4",'cubi (2016)'!$A$3,"MA_HT","SON","MA_QH","TSC")</f>
        <v>0</v>
      </c>
      <c r="AT55" s="22">
        <f ca="1">+GETPIVOTDATA("XCB4",'cubi (2016)'!$A$3,"MA_HT","SON","MA_QH","DTS")</f>
        <v>0</v>
      </c>
      <c r="AU55" s="22">
        <f ca="1">+GETPIVOTDATA("XCB4",'cubi (2016)'!$A$3,"MA_HT","SON","MA_QH","DNG")</f>
        <v>0</v>
      </c>
      <c r="AV55" s="22">
        <f ca="1">+GETPIVOTDATA("XCB4",'cubi (2016)'!$A$3,"MA_HT","SON","MA_QH","TON")</f>
        <v>0</v>
      </c>
      <c r="AW55" s="22">
        <f ca="1">+GETPIVOTDATA("XCB4",'cubi (2016)'!$A$3,"MA_HT","SON","MA_QH","NTD")</f>
        <v>0</v>
      </c>
      <c r="AX55" s="22">
        <f ca="1">+GETPIVOTDATA("XCB4",'cubi (2016)'!$A$3,"MA_HT","SON","MA_QH","SKX")</f>
        <v>0</v>
      </c>
      <c r="AY55" s="22">
        <f ca="1">+GETPIVOTDATA("XCB4",'cubi (2016)'!$A$3,"MA_HT","SON","MA_QH","DSH")</f>
        <v>0</v>
      </c>
      <c r="AZ55" s="22">
        <f ca="1">+GETPIVOTDATA("XCB4",'cubi (2016)'!$A$3,"MA_HT","SON","MA_QH","DKV")</f>
        <v>0</v>
      </c>
      <c r="BA55" s="89">
        <f ca="1">+GETPIVOTDATA("XCB4",'cubi (2016)'!$A$3,"MA_HT","SON","MA_QH","TIN")</f>
        <v>0</v>
      </c>
      <c r="BB55" s="43" t="e">
        <f ca="1">$D55-$BF55</f>
        <v>#REF!</v>
      </c>
      <c r="BC55" s="50">
        <f ca="1">+GETPIVOTDATA("XCB4",'cubi (2016)'!$A$3,"MA_HT","SON","MA_QH","MNC")</f>
        <v>0</v>
      </c>
      <c r="BD55" s="22">
        <f ca="1">+GETPIVOTDATA("XCB4",'cubi (2016)'!$A$3,"MA_HT","SON","MA_QH","PNK")</f>
        <v>0</v>
      </c>
      <c r="BE55" s="71">
        <f ca="1">+GETPIVOTDATA("XCB4",'cubi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+GETPIVOTDATA("XCB4",'cubi (2016)'!$A$3,"MA_HT","MNC","MA_QH","LUC")</f>
        <v>0</v>
      </c>
      <c r="H56" s="22">
        <f ca="1">+GETPIVOTDATA("XCB4",'cubi (2016)'!$A$3,"MA_HT","MNC","MA_QH","LUK")</f>
        <v>0</v>
      </c>
      <c r="I56" s="22">
        <f ca="1">+GETPIVOTDATA("XCB4",'cubi (2016)'!$A$3,"MA_HT","MNC","MA_QH","LUN")</f>
        <v>0</v>
      </c>
      <c r="J56" s="22">
        <f ca="1">+GETPIVOTDATA("XCB4",'cubi (2016)'!$A$3,"MA_HT","MNC","MA_QH","HNK")</f>
        <v>0</v>
      </c>
      <c r="K56" s="22">
        <f ca="1">+GETPIVOTDATA("XCB4",'cubi (2016)'!$A$3,"MA_HT","MNC","MA_QH","CLN")</f>
        <v>0</v>
      </c>
      <c r="L56" s="22">
        <f ca="1">+GETPIVOTDATA("XCB4",'cubi (2016)'!$A$3,"MA_HT","MNC","MA_QH","RSX")</f>
        <v>0</v>
      </c>
      <c r="M56" s="22">
        <f ca="1">+GETPIVOTDATA("XCB4",'cubi (2016)'!$A$3,"MA_HT","MNC","MA_QH","RPH")</f>
        <v>0</v>
      </c>
      <c r="N56" s="22">
        <f ca="1">+GETPIVOTDATA("XCB4",'cubi (2016)'!$A$3,"MA_HT","MNC","MA_QH","RDD")</f>
        <v>0</v>
      </c>
      <c r="O56" s="22">
        <f ca="1">+GETPIVOTDATA("XCB4",'cubi (2016)'!$A$3,"MA_HT","MNC","MA_QH","NTS")</f>
        <v>0</v>
      </c>
      <c r="P56" s="22">
        <f ca="1">+GETPIVOTDATA("XCB4",'cubi (2016)'!$A$3,"MA_HT","MNC","MA_QH","LMU")</f>
        <v>0</v>
      </c>
      <c r="Q56" s="22">
        <f ca="1">+GETPIVOTDATA("XCB4",'cubi (2016)'!$A$3,"MA_HT","MNC","MA_QH","NKH")</f>
        <v>0</v>
      </c>
      <c r="R56" s="79">
        <f ca="1">SUM(S56:AA56,AN56:BB56,BD56)</f>
        <v>0</v>
      </c>
      <c r="S56" s="22">
        <f ca="1">+GETPIVOTDATA("XCB4",'cubi (2016)'!$A$3,"MA_HT","MNC","MA_QH","CQP")</f>
        <v>0</v>
      </c>
      <c r="T56" s="22">
        <f ca="1">+GETPIVOTDATA("XCB4",'cubi (2016)'!$A$3,"MA_HT","MNC","MA_QH","CAN")</f>
        <v>0</v>
      </c>
      <c r="U56" s="22">
        <f ca="1">+GETPIVOTDATA("XCB4",'cubi (2016)'!$A$3,"MA_HT","MNC","MA_QH","SKK")</f>
        <v>0</v>
      </c>
      <c r="V56" s="22">
        <f ca="1">+GETPIVOTDATA("XCB4",'cubi (2016)'!$A$3,"MA_HT","MNC","MA_QH","SKT")</f>
        <v>0</v>
      </c>
      <c r="W56" s="22">
        <f ca="1">+GETPIVOTDATA("XCB4",'cubi (2016)'!$A$3,"MA_HT","MNC","MA_QH","SKN")</f>
        <v>0</v>
      </c>
      <c r="X56" s="22">
        <f ca="1">+GETPIVOTDATA("XCB4",'cubi (2016)'!$A$3,"MA_HT","MNC","MA_QH","TMD")</f>
        <v>0</v>
      </c>
      <c r="Y56" s="22">
        <f ca="1">+GETPIVOTDATA("XCB4",'cubi (2016)'!$A$3,"MA_HT","MNC","MA_QH","SKC")</f>
        <v>0</v>
      </c>
      <c r="Z56" s="22">
        <f ca="1">+GETPIVOTDATA("XCB4",'cubi (2016)'!$A$3,"MA_HT","MNC","MA_QH","SKS")</f>
        <v>0</v>
      </c>
      <c r="AA56" s="52">
        <f ca="1" t="shared" si="21"/>
        <v>0</v>
      </c>
      <c r="AB56" s="22">
        <f ca="1">+GETPIVOTDATA("XCB4",'cubi (2016)'!$A$3,"MA_HT","MNC","MA_QH","DGT")</f>
        <v>0</v>
      </c>
      <c r="AC56" s="22">
        <f ca="1">+GETPIVOTDATA("XCB4",'cubi (2016)'!$A$3,"MA_HT","MNC","MA_QH","DTL")</f>
        <v>0</v>
      </c>
      <c r="AD56" s="22">
        <f ca="1">+GETPIVOTDATA("XCB4",'cubi (2016)'!$A$3,"MA_HT","MNC","MA_QH","DNL")</f>
        <v>0</v>
      </c>
      <c r="AE56" s="22">
        <f ca="1">+GETPIVOTDATA("XCB4",'cubi (2016)'!$A$3,"MA_HT","MNC","MA_QH","DBV")</f>
        <v>0</v>
      </c>
      <c r="AF56" s="22">
        <f ca="1">+GETPIVOTDATA("XCB4",'cubi (2016)'!$A$3,"MA_HT","MNC","MA_QH","DVH")</f>
        <v>0</v>
      </c>
      <c r="AG56" s="22">
        <f ca="1">+GETPIVOTDATA("XCB4",'cubi (2016)'!$A$3,"MA_HT","MNC","MA_QH","DYT")</f>
        <v>0</v>
      </c>
      <c r="AH56" s="22">
        <f ca="1">+GETPIVOTDATA("XCB4",'cubi (2016)'!$A$3,"MA_HT","MNC","MA_QH","DGD")</f>
        <v>0</v>
      </c>
      <c r="AI56" s="22">
        <f ca="1">+GETPIVOTDATA("XCB4",'cubi (2016)'!$A$3,"MA_HT","MNC","MA_QH","DTT")</f>
        <v>0</v>
      </c>
      <c r="AJ56" s="22">
        <f ca="1">+GETPIVOTDATA("XCB4",'cubi (2016)'!$A$3,"MA_HT","MNC","MA_QH","NCK")</f>
        <v>0</v>
      </c>
      <c r="AK56" s="22">
        <f ca="1">+GETPIVOTDATA("XCB4",'cubi (2016)'!$A$3,"MA_HT","MNC","MA_QH","DXH")</f>
        <v>0</v>
      </c>
      <c r="AL56" s="22">
        <f ca="1">+GETPIVOTDATA("XCB4",'cubi (2016)'!$A$3,"MA_HT","MNC","MA_QH","DCH")</f>
        <v>0</v>
      </c>
      <c r="AM56" s="22">
        <f ca="1">+GETPIVOTDATA("XCB4",'cubi (2016)'!$A$3,"MA_HT","MNC","MA_QH","DKG")</f>
        <v>0</v>
      </c>
      <c r="AN56" s="22">
        <f ca="1">+GETPIVOTDATA("XCB4",'cubi (2016)'!$A$3,"MA_HT","MNC","MA_QH","DDT")</f>
        <v>0</v>
      </c>
      <c r="AO56" s="22">
        <f ca="1">+GETPIVOTDATA("XCB4",'cubi (2016)'!$A$3,"MA_HT","MNC","MA_QH","DDL")</f>
        <v>0</v>
      </c>
      <c r="AP56" s="22">
        <f ca="1">+GETPIVOTDATA("XCB4",'cubi (2016)'!$A$3,"MA_HT","MNC","MA_QH","DRA")</f>
        <v>0</v>
      </c>
      <c r="AQ56" s="22">
        <f ca="1">+GETPIVOTDATA("XCB4",'cubi (2016)'!$A$3,"MA_HT","MNC","MA_QH","ONT")</f>
        <v>0</v>
      </c>
      <c r="AR56" s="22">
        <f ca="1">+GETPIVOTDATA("XCB4",'cubi (2016)'!$A$3,"MA_HT","MNC","MA_QH","ODT")</f>
        <v>0</v>
      </c>
      <c r="AS56" s="22">
        <f ca="1">+GETPIVOTDATA("XCB4",'cubi (2016)'!$A$3,"MA_HT","MNC","MA_QH","TSC")</f>
        <v>0</v>
      </c>
      <c r="AT56" s="22">
        <f ca="1">+GETPIVOTDATA("XCB4",'cubi (2016)'!$A$3,"MA_HT","MNC","MA_QH","DTS")</f>
        <v>0</v>
      </c>
      <c r="AU56" s="22">
        <f ca="1">+GETPIVOTDATA("XCB4",'cubi (2016)'!$A$3,"MA_HT","MNC","MA_QH","DNG")</f>
        <v>0</v>
      </c>
      <c r="AV56" s="22">
        <f ca="1">+GETPIVOTDATA("XCB4",'cubi (2016)'!$A$3,"MA_HT","MNC","MA_QH","TON")</f>
        <v>0</v>
      </c>
      <c r="AW56" s="22">
        <f ca="1">+GETPIVOTDATA("XCB4",'cubi (2016)'!$A$3,"MA_HT","MNC","MA_QH","NTD")</f>
        <v>0</v>
      </c>
      <c r="AX56" s="22">
        <f ca="1">+GETPIVOTDATA("XCB4",'cubi (2016)'!$A$3,"MA_HT","MNC","MA_QH","SKX")</f>
        <v>0</v>
      </c>
      <c r="AY56" s="22">
        <f ca="1">+GETPIVOTDATA("XCB4",'cubi (2016)'!$A$3,"MA_HT","MNC","MA_QH","DSH")</f>
        <v>0</v>
      </c>
      <c r="AZ56" s="22">
        <f ca="1">+GETPIVOTDATA("XCB4",'cubi (2016)'!$A$3,"MA_HT","MNC","MA_QH","DKV")</f>
        <v>0</v>
      </c>
      <c r="BA56" s="89">
        <f ca="1">+GETPIVOTDATA("XCB4",'cubi (2016)'!$A$3,"MA_HT","MNC","MA_QH","TIN")</f>
        <v>0</v>
      </c>
      <c r="BB56" s="50">
        <f ca="1">+GETPIVOTDATA("XCB4",'cubi (2016)'!$A$3,"MA_HT","MNC","MA_QH","SON")</f>
        <v>0</v>
      </c>
      <c r="BC56" s="43" t="e">
        <f ca="1">$D56-$BF56</f>
        <v>#REF!</v>
      </c>
      <c r="BD56" s="22">
        <f ca="1">+GETPIVOTDATA("XCB4",'cubi (2016)'!$A$3,"MA_HT","MNC","MA_QH","PNK")</f>
        <v>0</v>
      </c>
      <c r="BE56" s="71">
        <f ca="1">+GETPIVOTDATA("XCB4",'cubi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+GETPIVOTDATA("XCB4",'cubi (2016)'!$A$3,"MA_HT","PNK","MA_QH","LUC")</f>
        <v>0</v>
      </c>
      <c r="H57" s="22">
        <f ca="1">+GETPIVOTDATA("XCB4",'cubi (2016)'!$A$3,"MA_HT","PNK","MA_QH","LUK")</f>
        <v>0</v>
      </c>
      <c r="I57" s="22">
        <f ca="1">+GETPIVOTDATA("XCB4",'cubi (2016)'!$A$3,"MA_HT","PNK","MA_QH","LUN")</f>
        <v>0</v>
      </c>
      <c r="J57" s="22">
        <f ca="1">+GETPIVOTDATA("XCB4",'cubi (2016)'!$A$3,"MA_HT","PNK","MA_QH","HNK")</f>
        <v>0</v>
      </c>
      <c r="K57" s="22">
        <f ca="1">+GETPIVOTDATA("XCB4",'cubi (2016)'!$A$3,"MA_HT","PNK","MA_QH","CLN")</f>
        <v>0</v>
      </c>
      <c r="L57" s="22">
        <f ca="1">+GETPIVOTDATA("XCB4",'cubi (2016)'!$A$3,"MA_HT","PNK","MA_QH","RSX")</f>
        <v>0</v>
      </c>
      <c r="M57" s="22">
        <f ca="1">+GETPIVOTDATA("XCB4",'cubi (2016)'!$A$3,"MA_HT","PNK","MA_QH","RPH")</f>
        <v>0</v>
      </c>
      <c r="N57" s="22">
        <f ca="1">+GETPIVOTDATA("XCB4",'cubi (2016)'!$A$3,"MA_HT","PNK","MA_QH","RDD")</f>
        <v>0</v>
      </c>
      <c r="O57" s="22">
        <f ca="1">+GETPIVOTDATA("XCB4",'cubi (2016)'!$A$3,"MA_HT","PNK","MA_QH","NTS")</f>
        <v>0</v>
      </c>
      <c r="P57" s="22">
        <f ca="1">+GETPIVOTDATA("XCB4",'cubi (2016)'!$A$3,"MA_HT","PNK","MA_QH","LMU")</f>
        <v>0</v>
      </c>
      <c r="Q57" s="22">
        <f ca="1">+GETPIVOTDATA("XCB4",'cubi (2016)'!$A$3,"MA_HT","PNK","MA_QH","NKH")</f>
        <v>0</v>
      </c>
      <c r="R57" s="79">
        <f ca="1">SUM(S57:AA57,AN57:BC57)</f>
        <v>0</v>
      </c>
      <c r="S57" s="22">
        <f ca="1">+GETPIVOTDATA("XCB4",'cubi (2016)'!$A$3,"MA_HT","PNK","MA_QH","CQP")</f>
        <v>0</v>
      </c>
      <c r="T57" s="22">
        <f ca="1">+GETPIVOTDATA("XCB4",'cubi (2016)'!$A$3,"MA_HT","PNK","MA_QH","CAN")</f>
        <v>0</v>
      </c>
      <c r="U57" s="22">
        <f ca="1">+GETPIVOTDATA("XCB4",'cubi (2016)'!$A$3,"MA_HT","PNK","MA_QH","SKK")</f>
        <v>0</v>
      </c>
      <c r="V57" s="22">
        <f ca="1">+GETPIVOTDATA("XCB4",'cubi (2016)'!$A$3,"MA_HT","PNK","MA_QH","SKT")</f>
        <v>0</v>
      </c>
      <c r="W57" s="22">
        <f ca="1">+GETPIVOTDATA("XCB4",'cubi (2016)'!$A$3,"MA_HT","PNK","MA_QH","SKN")</f>
        <v>0</v>
      </c>
      <c r="X57" s="22">
        <f ca="1">+GETPIVOTDATA("XCB4",'cubi (2016)'!$A$3,"MA_HT","PNK","MA_QH","TMD")</f>
        <v>0</v>
      </c>
      <c r="Y57" s="22">
        <f ca="1">+GETPIVOTDATA("XCB4",'cubi (2016)'!$A$3,"MA_HT","PNK","MA_QH","SKC")</f>
        <v>0</v>
      </c>
      <c r="Z57" s="22">
        <f ca="1">+GETPIVOTDATA("XCB4",'cubi (2016)'!$A$3,"MA_HT","PNK","MA_QH","SKS")</f>
        <v>0</v>
      </c>
      <c r="AA57" s="52">
        <f ca="1" t="shared" si="21"/>
        <v>0</v>
      </c>
      <c r="AB57" s="22">
        <f ca="1">+GETPIVOTDATA("XCB4",'cubi (2016)'!$A$3,"MA_HT","PNK","MA_QH","DGT")</f>
        <v>0</v>
      </c>
      <c r="AC57" s="22">
        <f ca="1">+GETPIVOTDATA("XCB4",'cubi (2016)'!$A$3,"MA_HT","PNK","MA_QH","DTL")</f>
        <v>0</v>
      </c>
      <c r="AD57" s="22">
        <f ca="1">+GETPIVOTDATA("XCB4",'cubi (2016)'!$A$3,"MA_HT","PNK","MA_QH","DNL")</f>
        <v>0</v>
      </c>
      <c r="AE57" s="22">
        <f ca="1">+GETPIVOTDATA("XCB4",'cubi (2016)'!$A$3,"MA_HT","PNK","MA_QH","DBV")</f>
        <v>0</v>
      </c>
      <c r="AF57" s="22">
        <f ca="1">+GETPIVOTDATA("XCB4",'cubi (2016)'!$A$3,"MA_HT","PNK","MA_QH","DVH")</f>
        <v>0</v>
      </c>
      <c r="AG57" s="22">
        <f ca="1">+GETPIVOTDATA("XCB4",'cubi (2016)'!$A$3,"MA_HT","PNK","MA_QH","DYT")</f>
        <v>0</v>
      </c>
      <c r="AH57" s="22">
        <f ca="1">+GETPIVOTDATA("XCB4",'cubi (2016)'!$A$3,"MA_HT","PNK","MA_QH","DGD")</f>
        <v>0</v>
      </c>
      <c r="AI57" s="22">
        <f ca="1">+GETPIVOTDATA("XCB4",'cubi (2016)'!$A$3,"MA_HT","PNK","MA_QH","DTT")</f>
        <v>0</v>
      </c>
      <c r="AJ57" s="22">
        <f ca="1">+GETPIVOTDATA("XCB4",'cubi (2016)'!$A$3,"MA_HT","PNK","MA_QH","NCK")</f>
        <v>0</v>
      </c>
      <c r="AK57" s="22">
        <f ca="1">+GETPIVOTDATA("XCB4",'cubi (2016)'!$A$3,"MA_HT","PNK","MA_QH","DXH")</f>
        <v>0</v>
      </c>
      <c r="AL57" s="22">
        <f ca="1">+GETPIVOTDATA("XCB4",'cubi (2016)'!$A$3,"MA_HT","PNK","MA_QH","DCH")</f>
        <v>0</v>
      </c>
      <c r="AM57" s="22">
        <f ca="1">+GETPIVOTDATA("XCB4",'cubi (2016)'!$A$3,"MA_HT","PNK","MA_QH","DKG")</f>
        <v>0</v>
      </c>
      <c r="AN57" s="22">
        <f ca="1">+GETPIVOTDATA("XCB4",'cubi (2016)'!$A$3,"MA_HT","PNK","MA_QH","DDT")</f>
        <v>0</v>
      </c>
      <c r="AO57" s="22">
        <f ca="1">+GETPIVOTDATA("XCB4",'cubi (2016)'!$A$3,"MA_HT","PNK","MA_QH","DDL")</f>
        <v>0</v>
      </c>
      <c r="AP57" s="22">
        <f ca="1">+GETPIVOTDATA("XCB4",'cubi (2016)'!$A$3,"MA_HT","PNK","MA_QH","DRA")</f>
        <v>0</v>
      </c>
      <c r="AQ57" s="22">
        <f ca="1">+GETPIVOTDATA("XCB4",'cubi (2016)'!$A$3,"MA_HT","PNK","MA_QH","ONT")</f>
        <v>0</v>
      </c>
      <c r="AR57" s="22">
        <f ca="1">+GETPIVOTDATA("XCB4",'cubi (2016)'!$A$3,"MA_HT","PNK","MA_QH","ODT")</f>
        <v>0</v>
      </c>
      <c r="AS57" s="22">
        <f ca="1">+GETPIVOTDATA("XCB4",'cubi (2016)'!$A$3,"MA_HT","PNK","MA_QH","TSC")</f>
        <v>0</v>
      </c>
      <c r="AT57" s="22">
        <f ca="1">+GETPIVOTDATA("XCB4",'cubi (2016)'!$A$3,"MA_HT","PNK","MA_QH","DTS")</f>
        <v>0</v>
      </c>
      <c r="AU57" s="22">
        <f ca="1">+GETPIVOTDATA("XCB4",'cubi (2016)'!$A$3,"MA_HT","PNK","MA_QH","DNG")</f>
        <v>0</v>
      </c>
      <c r="AV57" s="22">
        <f ca="1">+GETPIVOTDATA("XCB4",'cubi (2016)'!$A$3,"MA_HT","PNK","MA_QH","TON")</f>
        <v>0</v>
      </c>
      <c r="AW57" s="22">
        <f ca="1">+GETPIVOTDATA("XCB4",'cubi (2016)'!$A$3,"MA_HT","PNK","MA_QH","NTD")</f>
        <v>0</v>
      </c>
      <c r="AX57" s="22">
        <f ca="1">+GETPIVOTDATA("XCB4",'cubi (2016)'!$A$3,"MA_HT","PNK","MA_QH","SKX")</f>
        <v>0</v>
      </c>
      <c r="AY57" s="22">
        <f ca="1">+GETPIVOTDATA("XCB4",'cubi (2016)'!$A$3,"MA_HT","PNK","MA_QH","DSH")</f>
        <v>0</v>
      </c>
      <c r="AZ57" s="22">
        <f ca="1">+GETPIVOTDATA("XCB4",'cubi (2016)'!$A$3,"MA_HT","PNK","MA_QH","DKV")</f>
        <v>0</v>
      </c>
      <c r="BA57" s="89">
        <f ca="1">+GETPIVOTDATA("XCB4",'cubi (2016)'!$A$3,"MA_HT","PNK","MA_QH","TIN")</f>
        <v>0</v>
      </c>
      <c r="BB57" s="50">
        <f ca="1">+GETPIVOTDATA("XCB4",'cubi (2016)'!$A$3,"MA_HT","PNK","MA_QH","SON")</f>
        <v>0</v>
      </c>
      <c r="BC57" s="50">
        <f ca="1">+GETPIVOTDATA("XCB4",'cubi (2016)'!$A$3,"MA_HT","PNK","MA_QH","MNC")</f>
        <v>0</v>
      </c>
      <c r="BD57" s="43" t="e">
        <f ca="1">$D57-$BF57</f>
        <v>#REF!</v>
      </c>
      <c r="BE57" s="71">
        <f ca="1">+GETPIVOTDATA("XCB4",'cubi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+GETPIVOTDATA("XCB4",'cubi (2016)'!$A$3,"MA_HT","CSD","MA_QH","LUC")</f>
        <v>0</v>
      </c>
      <c r="H58" s="71">
        <f ca="1">+GETPIVOTDATA("XCB4",'cubi (2016)'!$A$3,"MA_HT","CSD","MA_QH","LUK")</f>
        <v>0</v>
      </c>
      <c r="I58" s="71">
        <f ca="1">+GETPIVOTDATA("XCB4",'cubi (2016)'!$A$3,"MA_HT","CSD","MA_QH","LUN")</f>
        <v>0</v>
      </c>
      <c r="J58" s="71">
        <f ca="1">+GETPIVOTDATA("XCB4",'cubi (2016)'!$A$3,"MA_HT","CSD","MA_QH","HNK")</f>
        <v>0</v>
      </c>
      <c r="K58" s="71">
        <f ca="1">+GETPIVOTDATA("XCB4",'cubi (2016)'!$A$3,"MA_HT","CSD","MA_QH","CLN")</f>
        <v>0</v>
      </c>
      <c r="L58" s="71">
        <f ca="1">+GETPIVOTDATA("XCB4",'cubi (2016)'!$A$3,"MA_HT","CSD","MA_QH","RSX")</f>
        <v>0</v>
      </c>
      <c r="M58" s="71">
        <f ca="1">+GETPIVOTDATA("XCB4",'cubi (2016)'!$A$3,"MA_HT","CSD","MA_QH","RPH")</f>
        <v>0</v>
      </c>
      <c r="N58" s="71">
        <f ca="1">+GETPIVOTDATA("XCB4",'cubi (2016)'!$A$3,"MA_HT","CSD","MA_QH","RDD")</f>
        <v>0</v>
      </c>
      <c r="O58" s="71">
        <f ca="1">+GETPIVOTDATA("XCB4",'cubi (2016)'!$A$3,"MA_HT","CSD","MA_QH","NTS")</f>
        <v>0</v>
      </c>
      <c r="P58" s="71">
        <f ca="1">+GETPIVOTDATA("XCB4",'cubi (2016)'!$A$3,"MA_HT","CSD","MA_QH","LMU")</f>
        <v>0</v>
      </c>
      <c r="Q58" s="71">
        <f ca="1">+GETPIVOTDATA("XCB4",'cubi (2016)'!$A$3,"MA_HT","CSD","MA_QH","NKH")</f>
        <v>0</v>
      </c>
      <c r="R58" s="79">
        <f ca="1">SUM(S58:AA58,AN58:BD58)</f>
        <v>0</v>
      </c>
      <c r="S58" s="80">
        <f ca="1">+GETPIVOTDATA("XCB4",'cubi (2016)'!$A$3,"MA_HT","CSD","MA_QH","CQP")</f>
        <v>0</v>
      </c>
      <c r="T58" s="80">
        <f ca="1">+GETPIVOTDATA("XCB4",'cubi (2016)'!$A$3,"MA_HT","CSD","MA_QH","CAN")</f>
        <v>0</v>
      </c>
      <c r="U58" s="71">
        <f ca="1">+GETPIVOTDATA("XCB4",'cubi (2016)'!$A$3,"MA_HT","CSD","MA_QH","SKK")</f>
        <v>0</v>
      </c>
      <c r="V58" s="71">
        <f ca="1">+GETPIVOTDATA("XCB4",'cubi (2016)'!$A$3,"MA_HT","CSD","MA_QH","SKT")</f>
        <v>0</v>
      </c>
      <c r="W58" s="71">
        <f ca="1">+GETPIVOTDATA("XCB4",'cubi (2016)'!$A$3,"MA_HT","CSD","MA_QH","SKN")</f>
        <v>0</v>
      </c>
      <c r="X58" s="71">
        <f ca="1">+GETPIVOTDATA("XCB4",'cubi (2016)'!$A$3,"MA_HT","CSD","MA_QH","TMD")</f>
        <v>0</v>
      </c>
      <c r="Y58" s="71">
        <f ca="1">+GETPIVOTDATA("XCB4",'cubi (2016)'!$A$3,"MA_HT","CSD","MA_QH","SKC")</f>
        <v>0</v>
      </c>
      <c r="Z58" s="71">
        <f ca="1">+GETPIVOTDATA("XCB4",'cubi (2016)'!$A$3,"MA_HT","CSD","MA_QH","SKS")</f>
        <v>0</v>
      </c>
      <c r="AA58" s="52">
        <f ca="1" t="shared" si="21"/>
        <v>0</v>
      </c>
      <c r="AB58" s="80">
        <f ca="1">+GETPIVOTDATA("XCB4",'cubi (2016)'!$A$3,"MA_HT","CSD","MA_QH","DGT")</f>
        <v>0</v>
      </c>
      <c r="AC58" s="80">
        <f ca="1">+GETPIVOTDATA("XCB4",'cubi (2016)'!$A$3,"MA_HT","CSD","MA_QH","DTL")</f>
        <v>0</v>
      </c>
      <c r="AD58" s="80">
        <f ca="1">+GETPIVOTDATA("XCB4",'cubi (2016)'!$A$3,"MA_HT","CSD","MA_QH","DNL")</f>
        <v>0</v>
      </c>
      <c r="AE58" s="80">
        <f ca="1">+GETPIVOTDATA("XCB4",'cubi (2016)'!$A$3,"MA_HT","CSD","MA_QH","DBV")</f>
        <v>0</v>
      </c>
      <c r="AF58" s="80">
        <f ca="1">+GETPIVOTDATA("XCB4",'cubi (2016)'!$A$3,"MA_HT","CSD","MA_QH","DVH")</f>
        <v>0</v>
      </c>
      <c r="AG58" s="80">
        <f ca="1">+GETPIVOTDATA("XCB4",'cubi (2016)'!$A$3,"MA_HT","CSD","MA_QH","DYT")</f>
        <v>0</v>
      </c>
      <c r="AH58" s="80">
        <f ca="1">+GETPIVOTDATA("XCB4",'cubi (2016)'!$A$3,"MA_HT","CSD","MA_QH","DGD")</f>
        <v>0</v>
      </c>
      <c r="AI58" s="80">
        <f ca="1">+GETPIVOTDATA("XCB4",'cubi (2016)'!$A$3,"MA_HT","CSD","MA_QH","DTT")</f>
        <v>0</v>
      </c>
      <c r="AJ58" s="80">
        <f ca="1">+GETPIVOTDATA("XCB4",'cubi (2016)'!$A$3,"MA_HT","CSD","MA_QH","NCK")</f>
        <v>0</v>
      </c>
      <c r="AK58" s="80">
        <f ca="1">+GETPIVOTDATA("XCB4",'cubi (2016)'!$A$3,"MA_HT","CSD","MA_QH","DXH")</f>
        <v>0</v>
      </c>
      <c r="AL58" s="80">
        <f ca="1">+GETPIVOTDATA("XCB4",'cubi (2016)'!$A$3,"MA_HT","CSD","MA_QH","DCH")</f>
        <v>0</v>
      </c>
      <c r="AM58" s="80">
        <f ca="1">+GETPIVOTDATA("XCB4",'cubi (2016)'!$A$3,"MA_HT","CSD","MA_QH","DKG")</f>
        <v>0</v>
      </c>
      <c r="AN58" s="71">
        <f ca="1">+GETPIVOTDATA("XCB4",'cubi (2016)'!$A$3,"MA_HT","CSD","MA_QH","DDT")</f>
        <v>0</v>
      </c>
      <c r="AO58" s="71">
        <f ca="1">+GETPIVOTDATA("XCB4",'cubi (2016)'!$A$3,"MA_HT","CSD","MA_QH","DDL")</f>
        <v>0</v>
      </c>
      <c r="AP58" s="71">
        <f ca="1">+GETPIVOTDATA("XCB4",'cubi (2016)'!$A$3,"MA_HT","CSD","MA_QH","DRA")</f>
        <v>0</v>
      </c>
      <c r="AQ58" s="71">
        <f ca="1">+GETPIVOTDATA("XCB4",'cubi (2016)'!$A$3,"MA_HT","CSD","MA_QH","ONT")</f>
        <v>0</v>
      </c>
      <c r="AR58" s="71">
        <f ca="1">+GETPIVOTDATA("XCB4",'cubi (2016)'!$A$3,"MA_HT","CSD","MA_QH","ODT")</f>
        <v>0</v>
      </c>
      <c r="AS58" s="71">
        <f ca="1">+GETPIVOTDATA("XCB4",'cubi (2016)'!$A$3,"MA_HT","CSD","MA_QH","TSC")</f>
        <v>0</v>
      </c>
      <c r="AT58" s="71">
        <f ca="1">+GETPIVOTDATA("XCB4",'cubi (2016)'!$A$3,"MA_HT","CSD","MA_QH","DTS")</f>
        <v>0</v>
      </c>
      <c r="AU58" s="71">
        <f ca="1">+GETPIVOTDATA("XCB4",'cubi (2016)'!$A$3,"MA_HT","CSD","MA_QH","DNG")</f>
        <v>0</v>
      </c>
      <c r="AV58" s="71">
        <f ca="1">+GETPIVOTDATA("XCB4",'cubi (2016)'!$A$3,"MA_HT","CSD","MA_QH","TON")</f>
        <v>0</v>
      </c>
      <c r="AW58" s="71">
        <f ca="1">+GETPIVOTDATA("XCB4",'cubi (2016)'!$A$3,"MA_HT","CSD","MA_QH","NTD")</f>
        <v>0</v>
      </c>
      <c r="AX58" s="71">
        <f ca="1">+GETPIVOTDATA("XCB4",'cubi (2016)'!$A$3,"MA_HT","CSD","MA_QH","SKX")</f>
        <v>0</v>
      </c>
      <c r="AY58" s="71">
        <f ca="1">+GETPIVOTDATA("XCB4",'cubi (2016)'!$A$3,"MA_HT","CSD","MA_QH","DSH")</f>
        <v>0</v>
      </c>
      <c r="AZ58" s="71">
        <f ca="1">+GETPIVOTDATA("XCB4",'cubi (2016)'!$A$3,"MA_HT","CSD","MA_QH","DKV")</f>
        <v>0</v>
      </c>
      <c r="BA58" s="89">
        <f ca="1">+GETPIVOTDATA("XCB4",'cubi (2016)'!$A$3,"MA_HT","CSD","MA_QH","TIN")</f>
        <v>0</v>
      </c>
      <c r="BB58" s="80">
        <f ca="1">+GETPIVOTDATA("XCB4",'cubi (2016)'!$A$3,"MA_HT","CSD","MA_QH","SON")</f>
        <v>0</v>
      </c>
      <c r="BC58" s="80">
        <f ca="1">+GETPIVOTDATA("XCB4",'cubi (2016)'!$A$3,"MA_HT","CSD","MA_QH","MNC")</f>
        <v>0</v>
      </c>
      <c r="BD58" s="71">
        <f ca="1">+GETPIVOTDATA("XCB4",'cubi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5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+GETPIVOTDATA("XDB4",'dabac (2016)'!$A$3,"MA_HT","LUC","MA_QH","LUK")</f>
        <v>0</v>
      </c>
      <c r="I8" s="50">
        <f ca="1">+GETPIVOTDATA("XDB4",'dabac (2016)'!$A$3,"MA_HT","LUC","MA_QH","LUN")</f>
        <v>0</v>
      </c>
      <c r="J8" s="50">
        <f ca="1">+GETPIVOTDATA("XDB4",'dabac (2016)'!$A$3,"MA_HT","LUC","MA_QH","HNK")</f>
        <v>0</v>
      </c>
      <c r="K8" s="50">
        <f ca="1">+GETPIVOTDATA("XDB4",'dabac (2016)'!$A$3,"MA_HT","LUC","MA_QH","CLN")</f>
        <v>0</v>
      </c>
      <c r="L8" s="50">
        <f ca="1">+GETPIVOTDATA("XDB4",'dabac (2016)'!$A$3,"MA_HT","LUC","MA_QH","RSX")</f>
        <v>0</v>
      </c>
      <c r="M8" s="50">
        <f ca="1">+GETPIVOTDATA("XDB4",'dabac (2016)'!$A$3,"MA_HT","LUC","MA_QH","RPH")</f>
        <v>0</v>
      </c>
      <c r="N8" s="50">
        <f ca="1">+GETPIVOTDATA("XDB4",'dabac (2016)'!$A$3,"MA_HT","LUC","MA_QH","RDD")</f>
        <v>0</v>
      </c>
      <c r="O8" s="50">
        <f ca="1">+GETPIVOTDATA("XDB4",'dabac (2016)'!$A$3,"MA_HT","LUC","MA_QH","NTS")</f>
        <v>0</v>
      </c>
      <c r="P8" s="50">
        <f ca="1">+GETPIVOTDATA("XDB4",'dabac (2016)'!$A$3,"MA_HT","LUC","MA_QH","LMU")</f>
        <v>0</v>
      </c>
      <c r="Q8" s="50">
        <f ca="1">+GETPIVOTDATA("XDB4",'dabac (2016)'!$A$3,"MA_HT","LUC","MA_QH","NKH")</f>
        <v>0</v>
      </c>
      <c r="R8" s="48">
        <f ca="1" t="shared" si="2"/>
        <v>0</v>
      </c>
      <c r="S8" s="50">
        <f ca="1">+GETPIVOTDATA("XDB4",'dabac (2016)'!$A$3,"MA_HT","LUC","MA_QH","CQP")</f>
        <v>0</v>
      </c>
      <c r="T8" s="50">
        <f ca="1">+GETPIVOTDATA("XDB4",'dabac (2016)'!$A$3,"MA_HT","LUC","MA_QH","CAN")</f>
        <v>0</v>
      </c>
      <c r="U8" s="50">
        <f ca="1">+GETPIVOTDATA("XDB4",'dabac (2016)'!$A$3,"MA_HT","LUC","MA_QH","SKK")</f>
        <v>0</v>
      </c>
      <c r="V8" s="50">
        <f ca="1">+GETPIVOTDATA("XDB4",'dabac (2016)'!$A$3,"MA_HT","LUC","MA_QH","SKT")</f>
        <v>0</v>
      </c>
      <c r="W8" s="50">
        <f ca="1">+GETPIVOTDATA("XDB4",'dabac (2016)'!$A$3,"MA_HT","LUC","MA_QH","SKN")</f>
        <v>0</v>
      </c>
      <c r="X8" s="50">
        <f ca="1">+GETPIVOTDATA("XDB4",'dabac (2016)'!$A$3,"MA_HT","LUC","MA_QH","TMD")</f>
        <v>0</v>
      </c>
      <c r="Y8" s="50">
        <f ca="1">+GETPIVOTDATA("XDB4",'dabac (2016)'!$A$3,"MA_HT","LUC","MA_QH","SKC")</f>
        <v>0</v>
      </c>
      <c r="Z8" s="50">
        <f ca="1">+GETPIVOTDATA("XDB4",'dabac (2016)'!$A$3,"MA_HT","LUC","MA_QH","SKS")</f>
        <v>0</v>
      </c>
      <c r="AA8" s="52">
        <f ca="1" t="shared" si="4"/>
        <v>0</v>
      </c>
      <c r="AB8" s="50">
        <f ca="1">+GETPIVOTDATA("XDB4",'dabac (2016)'!$A$3,"MA_HT","LUC","MA_QH","DGT")</f>
        <v>0</v>
      </c>
      <c r="AC8" s="50">
        <f ca="1">+GETPIVOTDATA("XDB4",'dabac (2016)'!$A$3,"MA_HT","LUC","MA_QH","DTL")</f>
        <v>0</v>
      </c>
      <c r="AD8" s="50">
        <f ca="1">+GETPIVOTDATA("XDB4",'dabac (2016)'!$A$3,"MA_HT","LUC","MA_QH","DNL")</f>
        <v>0</v>
      </c>
      <c r="AE8" s="50">
        <f ca="1">+GETPIVOTDATA("XDB4",'dabac (2016)'!$A$3,"MA_HT","LUC","MA_QH","DBV")</f>
        <v>0</v>
      </c>
      <c r="AF8" s="50">
        <f ca="1">+GETPIVOTDATA("XDB4",'dabac (2016)'!$A$3,"MA_HT","LUC","MA_QH","DVH")</f>
        <v>0</v>
      </c>
      <c r="AG8" s="50">
        <f ca="1">+GETPIVOTDATA("XDB4",'dabac (2016)'!$A$3,"MA_HT","LUC","MA_QH","DYT")</f>
        <v>0</v>
      </c>
      <c r="AH8" s="50">
        <f ca="1">+GETPIVOTDATA("XDB4",'dabac (2016)'!$A$3,"MA_HT","LUC","MA_QH","DGD")</f>
        <v>0</v>
      </c>
      <c r="AI8" s="50">
        <f ca="1">+GETPIVOTDATA("XDB4",'dabac (2016)'!$A$3,"MA_HT","LUC","MA_QH","DTT")</f>
        <v>0</v>
      </c>
      <c r="AJ8" s="50">
        <f ca="1">+GETPIVOTDATA("XDB4",'dabac (2016)'!$A$3,"MA_HT","LUC","MA_QH","NCK")</f>
        <v>0</v>
      </c>
      <c r="AK8" s="50">
        <f ca="1">+GETPIVOTDATA("XDB4",'dabac (2016)'!$A$3,"MA_HT","LUC","MA_QH","DXH")</f>
        <v>0</v>
      </c>
      <c r="AL8" s="50">
        <f ca="1">+GETPIVOTDATA("XDB4",'dabac (2016)'!$A$3,"MA_HT","LUC","MA_QH","DCH")</f>
        <v>0</v>
      </c>
      <c r="AM8" s="50">
        <f ca="1">+GETPIVOTDATA("XDB4",'dabac (2016)'!$A$3,"MA_HT","LUC","MA_QH","DKG")</f>
        <v>0</v>
      </c>
      <c r="AN8" s="50">
        <f ca="1">+GETPIVOTDATA("XDB4",'dabac (2016)'!$A$3,"MA_HT","LUC","MA_QH","DDT")</f>
        <v>0</v>
      </c>
      <c r="AO8" s="50">
        <f ca="1">+GETPIVOTDATA("XDB4",'dabac (2016)'!$A$3,"MA_HT","LUC","MA_QH","DDL")</f>
        <v>0</v>
      </c>
      <c r="AP8" s="50">
        <f ca="1">+GETPIVOTDATA("XDB4",'dabac (2016)'!$A$3,"MA_HT","LUC","MA_QH","DRA")</f>
        <v>0</v>
      </c>
      <c r="AQ8" s="50">
        <f ca="1">+GETPIVOTDATA("XDB4",'dabac (2016)'!$A$3,"MA_HT","LUC","MA_QH","ONT")</f>
        <v>0</v>
      </c>
      <c r="AR8" s="50">
        <f ca="1">+GETPIVOTDATA("XDB4",'dabac (2016)'!$A$3,"MA_HT","LUC","MA_QH","ODT")</f>
        <v>0</v>
      </c>
      <c r="AS8" s="50">
        <f ca="1">+GETPIVOTDATA("XDB4",'dabac (2016)'!$A$3,"MA_HT","LUC","MA_QH","TSC")</f>
        <v>0</v>
      </c>
      <c r="AT8" s="50">
        <f ca="1">+GETPIVOTDATA("XDB4",'dabac (2016)'!$A$3,"MA_HT","LUC","MA_QH","DTS")</f>
        <v>0</v>
      </c>
      <c r="AU8" s="50">
        <f ca="1">+GETPIVOTDATA("XDB4",'dabac (2016)'!$A$3,"MA_HT","LUC","MA_QH","DNG")</f>
        <v>0</v>
      </c>
      <c r="AV8" s="50">
        <f ca="1">+GETPIVOTDATA("XDB4",'dabac (2016)'!$A$3,"MA_HT","LUC","MA_QH","TON")</f>
        <v>0</v>
      </c>
      <c r="AW8" s="50">
        <f ca="1">+GETPIVOTDATA("XDB4",'dabac (2016)'!$A$3,"MA_HT","LUC","MA_QH","NTD")</f>
        <v>0</v>
      </c>
      <c r="AX8" s="50">
        <f ca="1">+GETPIVOTDATA("XDB4",'dabac (2016)'!$A$3,"MA_HT","LUC","MA_QH","SKX")</f>
        <v>0</v>
      </c>
      <c r="AY8" s="50">
        <f ca="1">+GETPIVOTDATA("XDB4",'dabac (2016)'!$A$3,"MA_HT","LUC","MA_QH","DSH")</f>
        <v>0</v>
      </c>
      <c r="AZ8" s="50">
        <f ca="1">+GETPIVOTDATA("XDB4",'dabac (2016)'!$A$3,"MA_HT","LUC","MA_QH","DKV")</f>
        <v>0</v>
      </c>
      <c r="BA8" s="88">
        <f ca="1">+GETPIVOTDATA("XDB4",'dabac (2016)'!$A$3,"MA_HT","LUC","MA_QH","TIN")</f>
        <v>0</v>
      </c>
      <c r="BB8" s="50">
        <f ca="1">+GETPIVOTDATA("XDB4",'dabac (2016)'!$A$3,"MA_HT","LUC","MA_QH","SON")</f>
        <v>0</v>
      </c>
      <c r="BC8" s="50">
        <f ca="1">+GETPIVOTDATA("XDB4",'dabac (2016)'!$A$3,"MA_HT","LUC","MA_QH","MNC")</f>
        <v>0</v>
      </c>
      <c r="BD8" s="50">
        <f ca="1">+GETPIVOTDATA("XDB4",'dabac (2016)'!$A$3,"MA_HT","LUC","MA_QH","PNK")</f>
        <v>0</v>
      </c>
      <c r="BE8" s="80">
        <f ca="1">+GETPIVOTDATA("XDB4",'dabac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+GETPIVOTDATA("XDB4",'dabac (2016)'!$A$3,"MA_HT","LUK","MA_QH","LUC")</f>
        <v>0</v>
      </c>
      <c r="H9" s="49" t="e">
        <f ca="1">$D9-$BF9</f>
        <v>#REF!</v>
      </c>
      <c r="I9" s="50">
        <f ca="1">+GETPIVOTDATA("XDB4",'dabac (2016)'!$A$3,"MA_HT","LUK","MA_QH","LUN")</f>
        <v>0</v>
      </c>
      <c r="J9" s="50">
        <f ca="1">+GETPIVOTDATA("XDB4",'dabac (2016)'!$A$3,"MA_HT","LUK","MA_QH","HNK")</f>
        <v>0</v>
      </c>
      <c r="K9" s="50">
        <f ca="1">+GETPIVOTDATA("XDB4",'dabac (2016)'!$A$3,"MA_HT","LUK","MA_QH","CLN")</f>
        <v>0</v>
      </c>
      <c r="L9" s="50">
        <f ca="1">+GETPIVOTDATA("XDB4",'dabac (2016)'!$A$3,"MA_HT","LUK","MA_QH","RSX")</f>
        <v>0</v>
      </c>
      <c r="M9" s="50">
        <f ca="1">+GETPIVOTDATA("XDB4",'dabac (2016)'!$A$3,"MA_HT","LUK","MA_QH","RPH")</f>
        <v>0</v>
      </c>
      <c r="N9" s="50">
        <f ca="1">+GETPIVOTDATA("XDB4",'dabac (2016)'!$A$3,"MA_HT","LUK","MA_QH","RDD")</f>
        <v>0</v>
      </c>
      <c r="O9" s="50">
        <f ca="1">+GETPIVOTDATA("XDB4",'dabac (2016)'!$A$3,"MA_HT","LUK","MA_QH","NTS")</f>
        <v>0</v>
      </c>
      <c r="P9" s="50">
        <f ca="1">+GETPIVOTDATA("XDB4",'dabac (2016)'!$A$3,"MA_HT","LUK","MA_QH","LMU")</f>
        <v>0</v>
      </c>
      <c r="Q9" s="50">
        <f ca="1">+GETPIVOTDATA("XDB4",'dabac (2016)'!$A$3,"MA_HT","LUK","MA_QH","NKH")</f>
        <v>0</v>
      </c>
      <c r="R9" s="48">
        <f ca="1" t="shared" si="2"/>
        <v>0</v>
      </c>
      <c r="S9" s="50">
        <f ca="1">+GETPIVOTDATA("XDB4",'dabac (2016)'!$A$3,"MA_HT","LUK","MA_QH","CQP")</f>
        <v>0</v>
      </c>
      <c r="T9" s="50">
        <f ca="1">+GETPIVOTDATA("XDB4",'dabac (2016)'!$A$3,"MA_HT","LUK","MA_QH","CAN")</f>
        <v>0</v>
      </c>
      <c r="U9" s="50">
        <f ca="1">+GETPIVOTDATA("XDB4",'dabac (2016)'!$A$3,"MA_HT","LUK","MA_QH","SKK")</f>
        <v>0</v>
      </c>
      <c r="V9" s="50">
        <f ca="1">+GETPIVOTDATA("XDB4",'dabac (2016)'!$A$3,"MA_HT","LUK","MA_QH","SKT")</f>
        <v>0</v>
      </c>
      <c r="W9" s="50">
        <f ca="1">+GETPIVOTDATA("XDB4",'dabac (2016)'!$A$3,"MA_HT","LUK","MA_QH","SKN")</f>
        <v>0</v>
      </c>
      <c r="X9" s="50">
        <f ca="1">+GETPIVOTDATA("XDB4",'dabac (2016)'!$A$3,"MA_HT","LUK","MA_QH","TMD")</f>
        <v>0</v>
      </c>
      <c r="Y9" s="50">
        <f ca="1">+GETPIVOTDATA("XDB4",'dabac (2016)'!$A$3,"MA_HT","LUK","MA_QH","SKC")</f>
        <v>0</v>
      </c>
      <c r="Z9" s="50">
        <f ca="1">+GETPIVOTDATA("XDB4",'dabac (2016)'!$A$3,"MA_HT","LUK","MA_QH","SKS")</f>
        <v>0</v>
      </c>
      <c r="AA9" s="52">
        <f ca="1" t="shared" si="4"/>
        <v>0</v>
      </c>
      <c r="AB9" s="50">
        <f ca="1">+GETPIVOTDATA("XDB4",'dabac (2016)'!$A$3,"MA_HT","LUK","MA_QH","DGT")</f>
        <v>0</v>
      </c>
      <c r="AC9" s="50">
        <f ca="1">+GETPIVOTDATA("XDB4",'dabac (2016)'!$A$3,"MA_HT","LUK","MA_QH","DTL")</f>
        <v>0</v>
      </c>
      <c r="AD9" s="50">
        <f ca="1">+GETPIVOTDATA("XDB4",'dabac (2016)'!$A$3,"MA_HT","LUK","MA_QH","DNL")</f>
        <v>0</v>
      </c>
      <c r="AE9" s="50">
        <f ca="1">+GETPIVOTDATA("XDB4",'dabac (2016)'!$A$3,"MA_HT","LUK","MA_QH","DBV")</f>
        <v>0</v>
      </c>
      <c r="AF9" s="50">
        <f ca="1">+GETPIVOTDATA("XDB4",'dabac (2016)'!$A$3,"MA_HT","LUK","MA_QH","DVH")</f>
        <v>0</v>
      </c>
      <c r="AG9" s="50">
        <f ca="1">+GETPIVOTDATA("XDB4",'dabac (2016)'!$A$3,"MA_HT","LUK","MA_QH","DYT")</f>
        <v>0</v>
      </c>
      <c r="AH9" s="50">
        <f ca="1">+GETPIVOTDATA("XDB4",'dabac (2016)'!$A$3,"MA_HT","LUK","MA_QH","DGD")</f>
        <v>0</v>
      </c>
      <c r="AI9" s="50">
        <f ca="1">+GETPIVOTDATA("XDB4",'dabac (2016)'!$A$3,"MA_HT","LUK","MA_QH","DTT")</f>
        <v>0</v>
      </c>
      <c r="AJ9" s="50">
        <f ca="1">+GETPIVOTDATA("XDB4",'dabac (2016)'!$A$3,"MA_HT","LUK","MA_QH","NCK")</f>
        <v>0</v>
      </c>
      <c r="AK9" s="50">
        <f ca="1">+GETPIVOTDATA("XDB4",'dabac (2016)'!$A$3,"MA_HT","LUK","MA_QH","DXH")</f>
        <v>0</v>
      </c>
      <c r="AL9" s="50">
        <f ca="1">+GETPIVOTDATA("XDB4",'dabac (2016)'!$A$3,"MA_HT","LUK","MA_QH","DCH")</f>
        <v>0</v>
      </c>
      <c r="AM9" s="50">
        <f ca="1">+GETPIVOTDATA("XDB4",'dabac (2016)'!$A$3,"MA_HT","LUK","MA_QH","DKG")</f>
        <v>0</v>
      </c>
      <c r="AN9" s="50">
        <f ca="1">+GETPIVOTDATA("XDB4",'dabac (2016)'!$A$3,"MA_HT","LUK","MA_QH","DDT")</f>
        <v>0</v>
      </c>
      <c r="AO9" s="50">
        <f ca="1">+GETPIVOTDATA("XDB4",'dabac (2016)'!$A$3,"MA_HT","LUK","MA_QH","DDL")</f>
        <v>0</v>
      </c>
      <c r="AP9" s="50">
        <f ca="1">+GETPIVOTDATA("XDB4",'dabac (2016)'!$A$3,"MA_HT","LUK","MA_QH","DRA")</f>
        <v>0</v>
      </c>
      <c r="AQ9" s="50">
        <f ca="1">+GETPIVOTDATA("XDB4",'dabac (2016)'!$A$3,"MA_HT","LUK","MA_QH","ONT")</f>
        <v>0</v>
      </c>
      <c r="AR9" s="50">
        <f ca="1">+GETPIVOTDATA("XDB4",'dabac (2016)'!$A$3,"MA_HT","LUK","MA_QH","ODT")</f>
        <v>0</v>
      </c>
      <c r="AS9" s="50">
        <f ca="1">+GETPIVOTDATA("XDB4",'dabac (2016)'!$A$3,"MA_HT","LUK","MA_QH","TSC")</f>
        <v>0</v>
      </c>
      <c r="AT9" s="50">
        <f ca="1">+GETPIVOTDATA("XDB4",'dabac (2016)'!$A$3,"MA_HT","LUK","MA_QH","DTS")</f>
        <v>0</v>
      </c>
      <c r="AU9" s="50">
        <f ca="1">+GETPIVOTDATA("XDB4",'dabac (2016)'!$A$3,"MA_HT","LUK","MA_QH","DNG")</f>
        <v>0</v>
      </c>
      <c r="AV9" s="50">
        <f ca="1">+GETPIVOTDATA("XDB4",'dabac (2016)'!$A$3,"MA_HT","LUK","MA_QH","TON")</f>
        <v>0</v>
      </c>
      <c r="AW9" s="50">
        <f ca="1">+GETPIVOTDATA("XDB4",'dabac (2016)'!$A$3,"MA_HT","LUK","MA_QH","NTD")</f>
        <v>0</v>
      </c>
      <c r="AX9" s="50">
        <f ca="1">+GETPIVOTDATA("XDB4",'dabac (2016)'!$A$3,"MA_HT","LUK","MA_QH","SKX")</f>
        <v>0</v>
      </c>
      <c r="AY9" s="50">
        <f ca="1">+GETPIVOTDATA("XDB4",'dabac (2016)'!$A$3,"MA_HT","LUK","MA_QH","DSH")</f>
        <v>0</v>
      </c>
      <c r="AZ9" s="50">
        <f ca="1">+GETPIVOTDATA("XDB4",'dabac (2016)'!$A$3,"MA_HT","LUK","MA_QH","DKV")</f>
        <v>0</v>
      </c>
      <c r="BA9" s="88">
        <f ca="1">+GETPIVOTDATA("XDB4",'dabac (2016)'!$A$3,"MA_HT","LUK","MA_QH","TIN")</f>
        <v>0</v>
      </c>
      <c r="BB9" s="50">
        <f ca="1">+GETPIVOTDATA("XDB4",'dabac (2016)'!$A$3,"MA_HT","LUK","MA_QH","SON")</f>
        <v>0</v>
      </c>
      <c r="BC9" s="50">
        <f ca="1">+GETPIVOTDATA("XDB4",'dabac (2016)'!$A$3,"MA_HT","LUK","MA_QH","MNC")</f>
        <v>0</v>
      </c>
      <c r="BD9" s="50">
        <f ca="1">+GETPIVOTDATA("XDB4",'dabac (2016)'!$A$3,"MA_HT","LUK","MA_QH","PNK")</f>
        <v>0</v>
      </c>
      <c r="BE9" s="80">
        <f ca="1">+GETPIVOTDATA("XDB4",'dabac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+GETPIVOTDATA("XDB4",'dabac (2016)'!$A$3,"MA_HT","LUN","MA_QH","LUC")</f>
        <v>0</v>
      </c>
      <c r="H10" s="50">
        <f ca="1">+GETPIVOTDATA("XDB4",'dabac (2016)'!$A$3,"MA_HT","LUN","MA_QH","LUK")</f>
        <v>0</v>
      </c>
      <c r="I10" s="49" t="e">
        <f ca="1">$D10-$BF10</f>
        <v>#REF!</v>
      </c>
      <c r="J10" s="50">
        <f ca="1">+GETPIVOTDATA("XDB4",'dabac (2016)'!$A$3,"MA_HT","LUN","MA_QH","HNK")</f>
        <v>0</v>
      </c>
      <c r="K10" s="50">
        <f ca="1">+GETPIVOTDATA("XDB4",'dabac (2016)'!$A$3,"MA_HT","LUN","MA_QH","CLN")</f>
        <v>0</v>
      </c>
      <c r="L10" s="50">
        <f ca="1">+GETPIVOTDATA("XDB4",'dabac (2016)'!$A$3,"MA_HT","LUN","MA_QH","RSX")</f>
        <v>0</v>
      </c>
      <c r="M10" s="50">
        <f ca="1">+GETPIVOTDATA("XDB4",'dabac (2016)'!$A$3,"MA_HT","LUN","MA_QH","RPH")</f>
        <v>0</v>
      </c>
      <c r="N10" s="50">
        <f ca="1">+GETPIVOTDATA("XDB4",'dabac (2016)'!$A$3,"MA_HT","LUN","MA_QH","RDD")</f>
        <v>0</v>
      </c>
      <c r="O10" s="50">
        <f ca="1">+GETPIVOTDATA("XDB4",'dabac (2016)'!$A$3,"MA_HT","LUN","MA_QH","NTS")</f>
        <v>0</v>
      </c>
      <c r="P10" s="50">
        <f ca="1">+GETPIVOTDATA("XDB4",'dabac (2016)'!$A$3,"MA_HT","LUN","MA_QH","LMU")</f>
        <v>0</v>
      </c>
      <c r="Q10" s="50">
        <f ca="1">+GETPIVOTDATA("XDB4",'dabac (2016)'!$A$3,"MA_HT","LUN","MA_QH","NKH")</f>
        <v>0</v>
      </c>
      <c r="R10" s="48">
        <f ca="1" t="shared" si="2"/>
        <v>0</v>
      </c>
      <c r="S10" s="50">
        <f ca="1">+GETPIVOTDATA("XDB4",'dabac (2016)'!$A$3,"MA_HT","LUN","MA_QH","CQP")</f>
        <v>0</v>
      </c>
      <c r="T10" s="50">
        <f ca="1">+GETPIVOTDATA("XDB4",'dabac (2016)'!$A$3,"MA_HT","LUN","MA_QH","CAN")</f>
        <v>0</v>
      </c>
      <c r="U10" s="50">
        <f ca="1">+GETPIVOTDATA("XDB4",'dabac (2016)'!$A$3,"MA_HT","LUN","MA_QH","SKK")</f>
        <v>0</v>
      </c>
      <c r="V10" s="50">
        <f ca="1">+GETPIVOTDATA("XDB4",'dabac (2016)'!$A$3,"MA_HT","LUN","MA_QH","SKT")</f>
        <v>0</v>
      </c>
      <c r="W10" s="50">
        <f ca="1">+GETPIVOTDATA("XDB4",'dabac (2016)'!$A$3,"MA_HT","LUN","MA_QH","SKN")</f>
        <v>0</v>
      </c>
      <c r="X10" s="50">
        <f ca="1">+GETPIVOTDATA("XDB4",'dabac (2016)'!$A$3,"MA_HT","LUN","MA_QH","TMD")</f>
        <v>0</v>
      </c>
      <c r="Y10" s="50">
        <f ca="1">+GETPIVOTDATA("XDB4",'dabac (2016)'!$A$3,"MA_HT","LUN","MA_QH","SKC")</f>
        <v>0</v>
      </c>
      <c r="Z10" s="50">
        <f ca="1">+GETPIVOTDATA("XDB4",'dabac (2016)'!$A$3,"MA_HT","LUN","MA_QH","SKS")</f>
        <v>0</v>
      </c>
      <c r="AA10" s="52">
        <f ca="1" t="shared" si="4"/>
        <v>0</v>
      </c>
      <c r="AB10" s="50">
        <f ca="1">+GETPIVOTDATA("XDB4",'dabac (2016)'!$A$3,"MA_HT","LUN","MA_QH","DGT")</f>
        <v>0</v>
      </c>
      <c r="AC10" s="50">
        <f ca="1">+GETPIVOTDATA("XDB4",'dabac (2016)'!$A$3,"MA_HT","LUN","MA_QH","DTL")</f>
        <v>0</v>
      </c>
      <c r="AD10" s="50">
        <f ca="1">+GETPIVOTDATA("XDB4",'dabac (2016)'!$A$3,"MA_HT","LUN","MA_QH","DNL")</f>
        <v>0</v>
      </c>
      <c r="AE10" s="50">
        <f ca="1">+GETPIVOTDATA("XDB4",'dabac (2016)'!$A$3,"MA_HT","LUN","MA_QH","DBV")</f>
        <v>0</v>
      </c>
      <c r="AF10" s="50">
        <f ca="1">+GETPIVOTDATA("XDB4",'dabac (2016)'!$A$3,"MA_HT","LUN","MA_QH","DVH")</f>
        <v>0</v>
      </c>
      <c r="AG10" s="50">
        <f ca="1">+GETPIVOTDATA("XDB4",'dabac (2016)'!$A$3,"MA_HT","LUN","MA_QH","DYT")</f>
        <v>0</v>
      </c>
      <c r="AH10" s="50">
        <f ca="1">+GETPIVOTDATA("XDB4",'dabac (2016)'!$A$3,"MA_HT","LUN","MA_QH","DGD")</f>
        <v>0</v>
      </c>
      <c r="AI10" s="50">
        <f ca="1">+GETPIVOTDATA("XDB4",'dabac (2016)'!$A$3,"MA_HT","LUN","MA_QH","DTT")</f>
        <v>0</v>
      </c>
      <c r="AJ10" s="50">
        <f ca="1">+GETPIVOTDATA("XDB4",'dabac (2016)'!$A$3,"MA_HT","LUN","MA_QH","NCK")</f>
        <v>0</v>
      </c>
      <c r="AK10" s="50">
        <f ca="1">+GETPIVOTDATA("XDB4",'dabac (2016)'!$A$3,"MA_HT","LUN","MA_QH","DXH")</f>
        <v>0</v>
      </c>
      <c r="AL10" s="50">
        <f ca="1">+GETPIVOTDATA("XDB4",'dabac (2016)'!$A$3,"MA_HT","LUN","MA_QH","DCH")</f>
        <v>0</v>
      </c>
      <c r="AM10" s="50">
        <f ca="1">+GETPIVOTDATA("XDB4",'dabac (2016)'!$A$3,"MA_HT","LUN","MA_QH","DKG")</f>
        <v>0</v>
      </c>
      <c r="AN10" s="50">
        <f ca="1">+GETPIVOTDATA("XDB4",'dabac (2016)'!$A$3,"MA_HT","LUN","MA_QH","DDT")</f>
        <v>0</v>
      </c>
      <c r="AO10" s="50">
        <f ca="1">+GETPIVOTDATA("XDB4",'dabac (2016)'!$A$3,"MA_HT","LUN","MA_QH","DDL")</f>
        <v>0</v>
      </c>
      <c r="AP10" s="50">
        <f ca="1">+GETPIVOTDATA("XDB4",'dabac (2016)'!$A$3,"MA_HT","LUN","MA_QH","DRA")</f>
        <v>0</v>
      </c>
      <c r="AQ10" s="50">
        <f ca="1">+GETPIVOTDATA("XDB4",'dabac (2016)'!$A$3,"MA_HT","LUN","MA_QH","ONT")</f>
        <v>0</v>
      </c>
      <c r="AR10" s="50">
        <f ca="1">+GETPIVOTDATA("XDB4",'dabac (2016)'!$A$3,"MA_HT","LUN","MA_QH","ODT")</f>
        <v>0</v>
      </c>
      <c r="AS10" s="50">
        <f ca="1">+GETPIVOTDATA("XDB4",'dabac (2016)'!$A$3,"MA_HT","LUN","MA_QH","TSC")</f>
        <v>0</v>
      </c>
      <c r="AT10" s="50">
        <f ca="1">+GETPIVOTDATA("XDB4",'dabac (2016)'!$A$3,"MA_HT","LUN","MA_QH","DTS")</f>
        <v>0</v>
      </c>
      <c r="AU10" s="50">
        <f ca="1">+GETPIVOTDATA("XDB4",'dabac (2016)'!$A$3,"MA_HT","LUN","MA_QH","DNG")</f>
        <v>0</v>
      </c>
      <c r="AV10" s="50">
        <f ca="1">+GETPIVOTDATA("XDB4",'dabac (2016)'!$A$3,"MA_HT","LUN","MA_QH","TON")</f>
        <v>0</v>
      </c>
      <c r="AW10" s="50">
        <f ca="1">+GETPIVOTDATA("XDB4",'dabac (2016)'!$A$3,"MA_HT","LUN","MA_QH","NTD")</f>
        <v>0</v>
      </c>
      <c r="AX10" s="50">
        <f ca="1">+GETPIVOTDATA("XDB4",'dabac (2016)'!$A$3,"MA_HT","LUN","MA_QH","SKX")</f>
        <v>0</v>
      </c>
      <c r="AY10" s="50">
        <f ca="1">+GETPIVOTDATA("XDB4",'dabac (2016)'!$A$3,"MA_HT","LUN","MA_QH","DSH")</f>
        <v>0</v>
      </c>
      <c r="AZ10" s="50">
        <f ca="1">+GETPIVOTDATA("XDB4",'dabac (2016)'!$A$3,"MA_HT","LUN","MA_QH","DKV")</f>
        <v>0</v>
      </c>
      <c r="BA10" s="88">
        <f ca="1">+GETPIVOTDATA("XDB4",'dabac (2016)'!$A$3,"MA_HT","LUN","MA_QH","TIN")</f>
        <v>0</v>
      </c>
      <c r="BB10" s="50">
        <f ca="1">+GETPIVOTDATA("XDB4",'dabac (2016)'!$A$3,"MA_HT","LUN","MA_QH","SON")</f>
        <v>0</v>
      </c>
      <c r="BC10" s="50">
        <f ca="1">+GETPIVOTDATA("XDB4",'dabac (2016)'!$A$3,"MA_HT","LUN","MA_QH","MNC")</f>
        <v>0</v>
      </c>
      <c r="BD10" s="50">
        <f ca="1">+GETPIVOTDATA("XDB4",'dabac (2016)'!$A$3,"MA_HT","LUN","MA_QH","PNK")</f>
        <v>0</v>
      </c>
      <c r="BE10" s="80">
        <f ca="1">+GETPIVOTDATA("XDB4",'dabac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+GETPIVOTDATA("XDB4",'dabac (2016)'!$A$3,"MA_HT","HNK","MA_QH","LUC")</f>
        <v>0</v>
      </c>
      <c r="H11" s="22">
        <f ca="1">+GETPIVOTDATA("XDB4",'dabac (2016)'!$A$3,"MA_HT","HNK","MA_QH","LUK")</f>
        <v>0</v>
      </c>
      <c r="I11" s="22">
        <f ca="1">+GETPIVOTDATA("XDB4",'dabac (2016)'!$A$3,"MA_HT","HNK","MA_QH","LUN")</f>
        <v>0</v>
      </c>
      <c r="J11" s="43" t="e">
        <f ca="1">$D11-$BF11</f>
        <v>#REF!</v>
      </c>
      <c r="K11" s="22">
        <f ca="1">+GETPIVOTDATA("XDB4",'dabac (2016)'!$A$3,"MA_HT","HNK","MA_QH","CLN")</f>
        <v>0</v>
      </c>
      <c r="L11" s="22">
        <f ca="1">+GETPIVOTDATA("XDB4",'dabac (2016)'!$A$3,"MA_HT","HNK","MA_QH","RSX")</f>
        <v>0</v>
      </c>
      <c r="M11" s="22">
        <f ca="1">+GETPIVOTDATA("XDB4",'dabac (2016)'!$A$3,"MA_HT","HNK","MA_QH","RPH")</f>
        <v>0</v>
      </c>
      <c r="N11" s="22">
        <f ca="1">+GETPIVOTDATA("XDB4",'dabac (2016)'!$A$3,"MA_HT","HNK","MA_QH","RDD")</f>
        <v>0</v>
      </c>
      <c r="O11" s="22">
        <f ca="1">+GETPIVOTDATA("XDB4",'dabac (2016)'!$A$3,"MA_HT","HNK","MA_QH","NTS")</f>
        <v>0</v>
      </c>
      <c r="P11" s="22">
        <f ca="1">+GETPIVOTDATA("XDB4",'dabac (2016)'!$A$3,"MA_HT","HNK","MA_QH","LMU")</f>
        <v>0</v>
      </c>
      <c r="Q11" s="22">
        <f ca="1">+GETPIVOTDATA("XDB4",'dabac (2016)'!$A$3,"MA_HT","HNK","MA_QH","NKH")</f>
        <v>0</v>
      </c>
      <c r="R11" s="42">
        <f ca="1" t="shared" si="2"/>
        <v>0</v>
      </c>
      <c r="S11" s="22">
        <f ca="1">+GETPIVOTDATA("XDB4",'dabac (2016)'!$A$3,"MA_HT","HNK","MA_QH","CQP")</f>
        <v>0</v>
      </c>
      <c r="T11" s="22">
        <f ca="1">+GETPIVOTDATA("XDB4",'dabac (2016)'!$A$3,"MA_HT","HNK","MA_QH","CAN")</f>
        <v>0</v>
      </c>
      <c r="U11" s="22">
        <f ca="1">+GETPIVOTDATA("XDB4",'dabac (2016)'!$A$3,"MA_HT","HNK","MA_QH","SKK")</f>
        <v>0</v>
      </c>
      <c r="V11" s="22">
        <f ca="1">+GETPIVOTDATA("XDB4",'dabac (2016)'!$A$3,"MA_HT","HNK","MA_QH","SKT")</f>
        <v>0</v>
      </c>
      <c r="W11" s="22">
        <f ca="1">+GETPIVOTDATA("XDB4",'dabac (2016)'!$A$3,"MA_HT","HNK","MA_QH","SKN")</f>
        <v>0</v>
      </c>
      <c r="X11" s="22">
        <f ca="1">+GETPIVOTDATA("XDB4",'dabac (2016)'!$A$3,"MA_HT","HNK","MA_QH","TMD")</f>
        <v>0</v>
      </c>
      <c r="Y11" s="22">
        <f ca="1">+GETPIVOTDATA("XDB4",'dabac (2016)'!$A$3,"MA_HT","HNK","MA_QH","SKC")</f>
        <v>0</v>
      </c>
      <c r="Z11" s="22">
        <f ca="1">+GETPIVOTDATA("XDB4",'dabac (2016)'!$A$3,"MA_HT","HNK","MA_QH","SKS")</f>
        <v>0</v>
      </c>
      <c r="AA11" s="52">
        <f ca="1" t="shared" si="4"/>
        <v>0</v>
      </c>
      <c r="AB11" s="22">
        <f ca="1">+GETPIVOTDATA("XDB4",'dabac (2016)'!$A$3,"MA_HT","HNK","MA_QH","DGT")</f>
        <v>0</v>
      </c>
      <c r="AC11" s="22">
        <f ca="1">+GETPIVOTDATA("XDB4",'dabac (2016)'!$A$3,"MA_HT","HNK","MA_QH","DTL")</f>
        <v>0</v>
      </c>
      <c r="AD11" s="22">
        <f ca="1">+GETPIVOTDATA("XDB4",'dabac (2016)'!$A$3,"MA_HT","HNK","MA_QH","DNL")</f>
        <v>0</v>
      </c>
      <c r="AE11" s="22">
        <f ca="1">+GETPIVOTDATA("XDB4",'dabac (2016)'!$A$3,"MA_HT","HNK","MA_QH","DBV")</f>
        <v>0</v>
      </c>
      <c r="AF11" s="22">
        <f ca="1">+GETPIVOTDATA("XDB4",'dabac (2016)'!$A$3,"MA_HT","HNK","MA_QH","DVH")</f>
        <v>0</v>
      </c>
      <c r="AG11" s="22">
        <f ca="1">+GETPIVOTDATA("XDB4",'dabac (2016)'!$A$3,"MA_HT","HNK","MA_QH","DYT")</f>
        <v>0</v>
      </c>
      <c r="AH11" s="22">
        <f ca="1">+GETPIVOTDATA("XDB4",'dabac (2016)'!$A$3,"MA_HT","HNK","MA_QH","DGD")</f>
        <v>0</v>
      </c>
      <c r="AI11" s="22">
        <f ca="1">+GETPIVOTDATA("XDB4",'dabac (2016)'!$A$3,"MA_HT","HNK","MA_QH","DTT")</f>
        <v>0</v>
      </c>
      <c r="AJ11" s="22">
        <f ca="1">+GETPIVOTDATA("XDB4",'dabac (2016)'!$A$3,"MA_HT","HNK","MA_QH","NCK")</f>
        <v>0</v>
      </c>
      <c r="AK11" s="22">
        <f ca="1">+GETPIVOTDATA("XDB4",'dabac (2016)'!$A$3,"MA_HT","HNK","MA_QH","DXH")</f>
        <v>0</v>
      </c>
      <c r="AL11" s="22">
        <f ca="1">+GETPIVOTDATA("XDB4",'dabac (2016)'!$A$3,"MA_HT","HNK","MA_QH","DCH")</f>
        <v>0</v>
      </c>
      <c r="AM11" s="22">
        <f ca="1">+GETPIVOTDATA("XDB4",'dabac (2016)'!$A$3,"MA_HT","HNK","MA_QH","DKG")</f>
        <v>0</v>
      </c>
      <c r="AN11" s="22">
        <f ca="1">+GETPIVOTDATA("XDB4",'dabac (2016)'!$A$3,"MA_HT","HNK","MA_QH","DDT")</f>
        <v>0</v>
      </c>
      <c r="AO11" s="22">
        <f ca="1">+GETPIVOTDATA("XDB4",'dabac (2016)'!$A$3,"MA_HT","HNK","MA_QH","DDL")</f>
        <v>0</v>
      </c>
      <c r="AP11" s="22">
        <f ca="1">+GETPIVOTDATA("XDB4",'dabac (2016)'!$A$3,"MA_HT","HNK","MA_QH","DRA")</f>
        <v>0</v>
      </c>
      <c r="AQ11" s="22">
        <f ca="1">+GETPIVOTDATA("XDB4",'dabac (2016)'!$A$3,"MA_HT","HNK","MA_QH","ONT")</f>
        <v>0</v>
      </c>
      <c r="AR11" s="22">
        <f ca="1">+GETPIVOTDATA("XDB4",'dabac (2016)'!$A$3,"MA_HT","HNK","MA_QH","ODT")</f>
        <v>0</v>
      </c>
      <c r="AS11" s="22">
        <f ca="1">+GETPIVOTDATA("XDB4",'dabac (2016)'!$A$3,"MA_HT","HNK","MA_QH","TSC")</f>
        <v>0</v>
      </c>
      <c r="AT11" s="22">
        <f ca="1">+GETPIVOTDATA("XDB4",'dabac (2016)'!$A$3,"MA_HT","HNK","MA_QH","DTS")</f>
        <v>0</v>
      </c>
      <c r="AU11" s="22">
        <f ca="1">+GETPIVOTDATA("XDB4",'dabac (2016)'!$A$3,"MA_HT","HNK","MA_QH","DNG")</f>
        <v>0</v>
      </c>
      <c r="AV11" s="22">
        <f ca="1">+GETPIVOTDATA("XDB4",'dabac (2016)'!$A$3,"MA_HT","HNK","MA_QH","TON")</f>
        <v>0</v>
      </c>
      <c r="AW11" s="22">
        <f ca="1">+GETPIVOTDATA("XDB4",'dabac (2016)'!$A$3,"MA_HT","HNK","MA_QH","NTD")</f>
        <v>0</v>
      </c>
      <c r="AX11" s="22">
        <f ca="1">+GETPIVOTDATA("XDB4",'dabac (2016)'!$A$3,"MA_HT","HNK","MA_QH","SKX")</f>
        <v>0</v>
      </c>
      <c r="AY11" s="22">
        <f ca="1">+GETPIVOTDATA("XDB4",'dabac (2016)'!$A$3,"MA_HT","HNK","MA_QH","DSH")</f>
        <v>0</v>
      </c>
      <c r="AZ11" s="22">
        <f ca="1">+GETPIVOTDATA("XDB4",'dabac (2016)'!$A$3,"MA_HT","HNK","MA_QH","DKV")</f>
        <v>0</v>
      </c>
      <c r="BA11" s="89">
        <f ca="1">+GETPIVOTDATA("XDB4",'dabac (2016)'!$A$3,"MA_HT","HNK","MA_QH","TIN")</f>
        <v>0</v>
      </c>
      <c r="BB11" s="50">
        <f ca="1">+GETPIVOTDATA("XDB4",'dabac (2016)'!$A$3,"MA_HT","HNK","MA_QH","SON")</f>
        <v>0</v>
      </c>
      <c r="BC11" s="50">
        <f ca="1">+GETPIVOTDATA("XDB4",'dabac (2016)'!$A$3,"MA_HT","HNK","MA_QH","MNC")</f>
        <v>0</v>
      </c>
      <c r="BD11" s="22">
        <f ca="1">+GETPIVOTDATA("XDB4",'dabac (2016)'!$A$3,"MA_HT","HNK","MA_QH","PNK")</f>
        <v>0</v>
      </c>
      <c r="BE11" s="71">
        <f ca="1">+GETPIVOTDATA("XDB4",'dabac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+GETPIVOTDATA("XDB4",'dabac (2016)'!$A$3,"MA_HT","CLN","MA_QH","LUC")</f>
        <v>0</v>
      </c>
      <c r="H12" s="22">
        <f ca="1">+GETPIVOTDATA("XDB4",'dabac (2016)'!$A$3,"MA_HT","CLN","MA_QH","LUK")</f>
        <v>0</v>
      </c>
      <c r="I12" s="22">
        <f ca="1">+GETPIVOTDATA("XDB4",'dabac (2016)'!$A$3,"MA_HT","CLN","MA_QH","LUN")</f>
        <v>0</v>
      </c>
      <c r="J12" s="22">
        <f ca="1">+GETPIVOTDATA("XDB4",'dabac (2016)'!$A$3,"MA_HT","CLN","MA_QH","HNK")</f>
        <v>0</v>
      </c>
      <c r="K12" s="43" t="e">
        <f ca="1">$D12-$BF12</f>
        <v>#REF!</v>
      </c>
      <c r="L12" s="22">
        <f ca="1">+GETPIVOTDATA("XDB4",'dabac (2016)'!$A$3,"MA_HT","CLN","MA_QH","RSX")</f>
        <v>0</v>
      </c>
      <c r="M12" s="22">
        <f ca="1">+GETPIVOTDATA("XDB4",'dabac (2016)'!$A$3,"MA_HT","CLN","MA_QH","RPH")</f>
        <v>0</v>
      </c>
      <c r="N12" s="22">
        <f ca="1">+GETPIVOTDATA("XDB4",'dabac (2016)'!$A$3,"MA_HT","CLN","MA_QH","RDD")</f>
        <v>0</v>
      </c>
      <c r="O12" s="22">
        <f ca="1">+GETPIVOTDATA("XDB4",'dabac (2016)'!$A$3,"MA_HT","CLN","MA_QH","NTS")</f>
        <v>0</v>
      </c>
      <c r="P12" s="22">
        <f ca="1">+GETPIVOTDATA("XDB4",'dabac (2016)'!$A$3,"MA_HT","CLN","MA_QH","LMU")</f>
        <v>0</v>
      </c>
      <c r="Q12" s="22">
        <f ca="1">+GETPIVOTDATA("XDB4",'dabac (2016)'!$A$3,"MA_HT","CLN","MA_QH","NKH")</f>
        <v>0</v>
      </c>
      <c r="R12" s="42">
        <f ca="1" t="shared" si="2"/>
        <v>0</v>
      </c>
      <c r="S12" s="22">
        <f ca="1">+GETPIVOTDATA("XDB4",'dabac (2016)'!$A$3,"MA_HT","CLN","MA_QH","CQP")</f>
        <v>0</v>
      </c>
      <c r="T12" s="22">
        <f ca="1">+GETPIVOTDATA("XDB4",'dabac (2016)'!$A$3,"MA_HT","CLN","MA_QH","CAN")</f>
        <v>0</v>
      </c>
      <c r="U12" s="22">
        <f ca="1">+GETPIVOTDATA("XDB4",'dabac (2016)'!$A$3,"MA_HT","CLN","MA_QH","SKK")</f>
        <v>0</v>
      </c>
      <c r="V12" s="22">
        <f ca="1">+GETPIVOTDATA("XDB4",'dabac (2016)'!$A$3,"MA_HT","CLN","MA_QH","SKT")</f>
        <v>0</v>
      </c>
      <c r="W12" s="22">
        <f ca="1">+GETPIVOTDATA("XDB4",'dabac (2016)'!$A$3,"MA_HT","CLN","MA_QH","SKN")</f>
        <v>0</v>
      </c>
      <c r="X12" s="22">
        <f ca="1">+GETPIVOTDATA("XDB4",'dabac (2016)'!$A$3,"MA_HT","CLN","MA_QH","TMD")</f>
        <v>0</v>
      </c>
      <c r="Y12" s="22">
        <f ca="1">+GETPIVOTDATA("XDB4",'dabac (2016)'!$A$3,"MA_HT","CLN","MA_QH","SKC")</f>
        <v>0</v>
      </c>
      <c r="Z12" s="22">
        <f ca="1">+GETPIVOTDATA("XDB4",'dabac (2016)'!$A$3,"MA_HT","CLN","MA_QH","SKS")</f>
        <v>0</v>
      </c>
      <c r="AA12" s="52">
        <f ca="1" t="shared" si="4"/>
        <v>0</v>
      </c>
      <c r="AB12" s="22">
        <f ca="1">+GETPIVOTDATA("XDB4",'dabac (2016)'!$A$3,"MA_HT","CLN","MA_QH","DGT")</f>
        <v>0</v>
      </c>
      <c r="AC12" s="22">
        <f ca="1">+GETPIVOTDATA("XDB4",'dabac (2016)'!$A$3,"MA_HT","CLN","MA_QH","DTL")</f>
        <v>0</v>
      </c>
      <c r="AD12" s="22">
        <f ca="1">+GETPIVOTDATA("XDB4",'dabac (2016)'!$A$3,"MA_HT","CLN","MA_QH","DNL")</f>
        <v>0</v>
      </c>
      <c r="AE12" s="22">
        <f ca="1">+GETPIVOTDATA("XDB4",'dabac (2016)'!$A$3,"MA_HT","CLN","MA_QH","DBV")</f>
        <v>0</v>
      </c>
      <c r="AF12" s="22">
        <f ca="1">+GETPIVOTDATA("XDB4",'dabac (2016)'!$A$3,"MA_HT","CLN","MA_QH","DVH")</f>
        <v>0</v>
      </c>
      <c r="AG12" s="22">
        <f ca="1">+GETPIVOTDATA("XDB4",'dabac (2016)'!$A$3,"MA_HT","CLN","MA_QH","DYT")</f>
        <v>0</v>
      </c>
      <c r="AH12" s="22">
        <f ca="1">+GETPIVOTDATA("XDB4",'dabac (2016)'!$A$3,"MA_HT","CLN","MA_QH","DGD")</f>
        <v>0</v>
      </c>
      <c r="AI12" s="22">
        <f ca="1">+GETPIVOTDATA("XDB4",'dabac (2016)'!$A$3,"MA_HT","CLN","MA_QH","DTT")</f>
        <v>0</v>
      </c>
      <c r="AJ12" s="22">
        <f ca="1">+GETPIVOTDATA("XDB4",'dabac (2016)'!$A$3,"MA_HT","CLN","MA_QH","NCK")</f>
        <v>0</v>
      </c>
      <c r="AK12" s="22">
        <f ca="1">+GETPIVOTDATA("XDB4",'dabac (2016)'!$A$3,"MA_HT","CLN","MA_QH","DXH")</f>
        <v>0</v>
      </c>
      <c r="AL12" s="22">
        <f ca="1">+GETPIVOTDATA("XDB4",'dabac (2016)'!$A$3,"MA_HT","CLN","MA_QH","DCH")</f>
        <v>0</v>
      </c>
      <c r="AM12" s="22">
        <f ca="1">+GETPIVOTDATA("XDB4",'dabac (2016)'!$A$3,"MA_HT","CLN","MA_QH","DKG")</f>
        <v>0</v>
      </c>
      <c r="AN12" s="22">
        <f ca="1">+GETPIVOTDATA("XDB4",'dabac (2016)'!$A$3,"MA_HT","CLN","MA_QH","DDT")</f>
        <v>0</v>
      </c>
      <c r="AO12" s="22">
        <f ca="1">+GETPIVOTDATA("XDB4",'dabac (2016)'!$A$3,"MA_HT","CLN","MA_QH","DDL")</f>
        <v>0</v>
      </c>
      <c r="AP12" s="22">
        <f ca="1">+GETPIVOTDATA("XDB4",'dabac (2016)'!$A$3,"MA_HT","CLN","MA_QH","DRA")</f>
        <v>0</v>
      </c>
      <c r="AQ12" s="22">
        <f ca="1">+GETPIVOTDATA("XDB4",'dabac (2016)'!$A$3,"MA_HT","CLN","MA_QH","ONT")</f>
        <v>0</v>
      </c>
      <c r="AR12" s="22">
        <f ca="1">+GETPIVOTDATA("XDB4",'dabac (2016)'!$A$3,"MA_HT","CLN","MA_QH","ODT")</f>
        <v>0</v>
      </c>
      <c r="AS12" s="22">
        <f ca="1">+GETPIVOTDATA("XDB4",'dabac (2016)'!$A$3,"MA_HT","CLN","MA_QH","TSC")</f>
        <v>0</v>
      </c>
      <c r="AT12" s="22">
        <f ca="1">+GETPIVOTDATA("XDB4",'dabac (2016)'!$A$3,"MA_HT","CLN","MA_QH","DTS")</f>
        <v>0</v>
      </c>
      <c r="AU12" s="22">
        <f ca="1">+GETPIVOTDATA("XDB4",'dabac (2016)'!$A$3,"MA_HT","CLN","MA_QH","DNG")</f>
        <v>0</v>
      </c>
      <c r="AV12" s="22">
        <f ca="1">+GETPIVOTDATA("XDB4",'dabac (2016)'!$A$3,"MA_HT","CLN","MA_QH","TON")</f>
        <v>0</v>
      </c>
      <c r="AW12" s="22">
        <f ca="1">+GETPIVOTDATA("XDB4",'dabac (2016)'!$A$3,"MA_HT","CLN","MA_QH","NTD")</f>
        <v>0</v>
      </c>
      <c r="AX12" s="22">
        <f ca="1">+GETPIVOTDATA("XDB4",'dabac (2016)'!$A$3,"MA_HT","CLN","MA_QH","SKX")</f>
        <v>0</v>
      </c>
      <c r="AY12" s="22">
        <f ca="1">+GETPIVOTDATA("XDB4",'dabac (2016)'!$A$3,"MA_HT","CLN","MA_QH","DSH")</f>
        <v>0</v>
      </c>
      <c r="AZ12" s="22">
        <f ca="1">+GETPIVOTDATA("XDB4",'dabac (2016)'!$A$3,"MA_HT","CLN","MA_QH","DKV")</f>
        <v>0</v>
      </c>
      <c r="BA12" s="89">
        <f ca="1">+GETPIVOTDATA("XDB4",'dabac (2016)'!$A$3,"MA_HT","CLN","MA_QH","TIN")</f>
        <v>0</v>
      </c>
      <c r="BB12" s="50">
        <f ca="1">+GETPIVOTDATA("XDB4",'dabac (2016)'!$A$3,"MA_HT","CLN","MA_QH","SON")</f>
        <v>0</v>
      </c>
      <c r="BC12" s="50">
        <f ca="1">+GETPIVOTDATA("XDB4",'dabac (2016)'!$A$3,"MA_HT","CLN","MA_QH","MNC")</f>
        <v>0</v>
      </c>
      <c r="BD12" s="22">
        <f ca="1">+GETPIVOTDATA("XDB4",'dabac (2016)'!$A$3,"MA_HT","CLN","MA_QH","PNK")</f>
        <v>0</v>
      </c>
      <c r="BE12" s="71">
        <f ca="1">+GETPIVOTDATA("XDB4",'dabac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+GETPIVOTDATA("XDB4",'dabac (2016)'!$A$3,"MA_HT","RSX","MA_QH","LUC")</f>
        <v>0</v>
      </c>
      <c r="H13" s="22">
        <f ca="1">+GETPIVOTDATA("XDB4",'dabac (2016)'!$A$3,"MA_HT","RSX","MA_QH","LUK")</f>
        <v>0</v>
      </c>
      <c r="I13" s="22">
        <f ca="1">+GETPIVOTDATA("XDB4",'dabac (2016)'!$A$3,"MA_HT","RSX","MA_QH","LUN")</f>
        <v>0</v>
      </c>
      <c r="J13" s="22">
        <f ca="1">+GETPIVOTDATA("XDB4",'dabac (2016)'!$A$3,"MA_HT","RSX","MA_QH","HNK")</f>
        <v>0</v>
      </c>
      <c r="K13" s="22">
        <f ca="1">+GETPIVOTDATA("XDB4",'dabac (2016)'!$A$3,"MA_HT","RSX","MA_QH","CLN")</f>
        <v>0</v>
      </c>
      <c r="L13" s="43" t="e">
        <f ca="1">$D13-$BF13</f>
        <v>#REF!</v>
      </c>
      <c r="M13" s="22">
        <f ca="1">+GETPIVOTDATA("XDB4",'dabac (2016)'!$A$3,"MA_HT","RSX","MA_QH","RPH")</f>
        <v>0</v>
      </c>
      <c r="N13" s="22">
        <f ca="1">+GETPIVOTDATA("XDB4",'dabac (2016)'!$A$3,"MA_HT","RSX","MA_QH","RDD")</f>
        <v>0</v>
      </c>
      <c r="O13" s="22">
        <f ca="1">+GETPIVOTDATA("XDB4",'dabac (2016)'!$A$3,"MA_HT","RSX","MA_QH","NTS")</f>
        <v>0</v>
      </c>
      <c r="P13" s="22">
        <f ca="1">+GETPIVOTDATA("XDB4",'dabac (2016)'!$A$3,"MA_HT","RSX","MA_QH","LMU")</f>
        <v>0</v>
      </c>
      <c r="Q13" s="22">
        <f ca="1">+GETPIVOTDATA("XDB4",'dabac (2016)'!$A$3,"MA_HT","RSX","MA_QH","NKH")</f>
        <v>0</v>
      </c>
      <c r="R13" s="42">
        <f ca="1" t="shared" si="2"/>
        <v>0</v>
      </c>
      <c r="S13" s="22">
        <f ca="1">+GETPIVOTDATA("XDB4",'dabac (2016)'!$A$3,"MA_HT","RSX","MA_QH","CQP")</f>
        <v>0</v>
      </c>
      <c r="T13" s="22">
        <f ca="1">+GETPIVOTDATA("XDB4",'dabac (2016)'!$A$3,"MA_HT","RSX","MA_QH","CAN")</f>
        <v>0</v>
      </c>
      <c r="U13" s="22">
        <f ca="1">+GETPIVOTDATA("XDB4",'dabac (2016)'!$A$3,"MA_HT","RSX","MA_QH","SKK")</f>
        <v>0</v>
      </c>
      <c r="V13" s="22">
        <f ca="1">+GETPIVOTDATA("XDB4",'dabac (2016)'!$A$3,"MA_HT","RSX","MA_QH","SKT")</f>
        <v>0</v>
      </c>
      <c r="W13" s="22">
        <f ca="1">+GETPIVOTDATA("XDB4",'dabac (2016)'!$A$3,"MA_HT","RSX","MA_QH","SKN")</f>
        <v>0</v>
      </c>
      <c r="X13" s="22">
        <f ca="1">+GETPIVOTDATA("XDB4",'dabac (2016)'!$A$3,"MA_HT","RSX","MA_QH","TMD")</f>
        <v>0</v>
      </c>
      <c r="Y13" s="22">
        <f ca="1">+GETPIVOTDATA("XDB4",'dabac (2016)'!$A$3,"MA_HT","RSX","MA_QH","SKC")</f>
        <v>0</v>
      </c>
      <c r="Z13" s="22">
        <f ca="1">+GETPIVOTDATA("XDB4",'dabac (2016)'!$A$3,"MA_HT","RSX","MA_QH","SKS")</f>
        <v>0</v>
      </c>
      <c r="AA13" s="52">
        <f ca="1" t="shared" si="4"/>
        <v>0</v>
      </c>
      <c r="AB13" s="22">
        <f ca="1">+GETPIVOTDATA("XDB4",'dabac (2016)'!$A$3,"MA_HT","RSX","MA_QH","DGT")</f>
        <v>0</v>
      </c>
      <c r="AC13" s="22">
        <f ca="1">+GETPIVOTDATA("XDB4",'dabac (2016)'!$A$3,"MA_HT","RSX","MA_QH","DTL")</f>
        <v>0</v>
      </c>
      <c r="AD13" s="22">
        <f ca="1">+GETPIVOTDATA("XDB4",'dabac (2016)'!$A$3,"MA_HT","RSX","MA_QH","DNL")</f>
        <v>0</v>
      </c>
      <c r="AE13" s="22">
        <f ca="1">+GETPIVOTDATA("XDB4",'dabac (2016)'!$A$3,"MA_HT","RSX","MA_QH","DBV")</f>
        <v>0</v>
      </c>
      <c r="AF13" s="22">
        <f ca="1">+GETPIVOTDATA("XDB4",'dabac (2016)'!$A$3,"MA_HT","RSX","MA_QH","DVH")</f>
        <v>0</v>
      </c>
      <c r="AG13" s="22">
        <f ca="1">+GETPIVOTDATA("XDB4",'dabac (2016)'!$A$3,"MA_HT","RSX","MA_QH","DYT")</f>
        <v>0</v>
      </c>
      <c r="AH13" s="22">
        <f ca="1">+GETPIVOTDATA("XDB4",'dabac (2016)'!$A$3,"MA_HT","RSX","MA_QH","DGD")</f>
        <v>0</v>
      </c>
      <c r="AI13" s="22">
        <f ca="1">+GETPIVOTDATA("XDB4",'dabac (2016)'!$A$3,"MA_HT","RSX","MA_QH","DTT")</f>
        <v>0</v>
      </c>
      <c r="AJ13" s="22">
        <f ca="1">+GETPIVOTDATA("XDB4",'dabac (2016)'!$A$3,"MA_HT","RSX","MA_QH","NCK")</f>
        <v>0</v>
      </c>
      <c r="AK13" s="22">
        <f ca="1">+GETPIVOTDATA("XDB4",'dabac (2016)'!$A$3,"MA_HT","RSX","MA_QH","DXH")</f>
        <v>0</v>
      </c>
      <c r="AL13" s="22">
        <f ca="1">+GETPIVOTDATA("XDB4",'dabac (2016)'!$A$3,"MA_HT","RSX","MA_QH","DCH")</f>
        <v>0</v>
      </c>
      <c r="AM13" s="22">
        <f ca="1">+GETPIVOTDATA("XDB4",'dabac (2016)'!$A$3,"MA_HT","RSX","MA_QH","DKG")</f>
        <v>0</v>
      </c>
      <c r="AN13" s="22">
        <f ca="1">+GETPIVOTDATA("XDB4",'dabac (2016)'!$A$3,"MA_HT","RSX","MA_QH","DDT")</f>
        <v>0</v>
      </c>
      <c r="AO13" s="22">
        <f ca="1">+GETPIVOTDATA("XDB4",'dabac (2016)'!$A$3,"MA_HT","RSX","MA_QH","DDL")</f>
        <v>0</v>
      </c>
      <c r="AP13" s="22">
        <f ca="1">+GETPIVOTDATA("XDB4",'dabac (2016)'!$A$3,"MA_HT","RSX","MA_QH","DRA")</f>
        <v>0</v>
      </c>
      <c r="AQ13" s="22">
        <f ca="1">+GETPIVOTDATA("XDB4",'dabac (2016)'!$A$3,"MA_HT","RSX","MA_QH","ONT")</f>
        <v>0</v>
      </c>
      <c r="AR13" s="22">
        <f ca="1">+GETPIVOTDATA("XDB4",'dabac (2016)'!$A$3,"MA_HT","RSX","MA_QH","ODT")</f>
        <v>0</v>
      </c>
      <c r="AS13" s="22">
        <f ca="1">+GETPIVOTDATA("XDB4",'dabac (2016)'!$A$3,"MA_HT","RSX","MA_QH","TSC")</f>
        <v>0</v>
      </c>
      <c r="AT13" s="22">
        <f ca="1">+GETPIVOTDATA("XDB4",'dabac (2016)'!$A$3,"MA_HT","RSX","MA_QH","DTS")</f>
        <v>0</v>
      </c>
      <c r="AU13" s="22">
        <f ca="1">+GETPIVOTDATA("XDB4",'dabac (2016)'!$A$3,"MA_HT","RSX","MA_QH","DNG")</f>
        <v>0</v>
      </c>
      <c r="AV13" s="22">
        <f ca="1">+GETPIVOTDATA("XDB4",'dabac (2016)'!$A$3,"MA_HT","RSX","MA_QH","TON")</f>
        <v>0</v>
      </c>
      <c r="AW13" s="22">
        <f ca="1">+GETPIVOTDATA("XDB4",'dabac (2016)'!$A$3,"MA_HT","RSX","MA_QH","NTD")</f>
        <v>0</v>
      </c>
      <c r="AX13" s="22">
        <f ca="1">+GETPIVOTDATA("XDB4",'dabac (2016)'!$A$3,"MA_HT","RSX","MA_QH","SKX")</f>
        <v>0</v>
      </c>
      <c r="AY13" s="22">
        <f ca="1">+GETPIVOTDATA("XDB4",'dabac (2016)'!$A$3,"MA_HT","RSX","MA_QH","DSH")</f>
        <v>0</v>
      </c>
      <c r="AZ13" s="22">
        <f ca="1">+GETPIVOTDATA("XDB4",'dabac (2016)'!$A$3,"MA_HT","RSX","MA_QH","DKV")</f>
        <v>0</v>
      </c>
      <c r="BA13" s="89">
        <f ca="1">+GETPIVOTDATA("XDB4",'dabac (2016)'!$A$3,"MA_HT","RSX","MA_QH","TIN")</f>
        <v>0</v>
      </c>
      <c r="BB13" s="50">
        <f ca="1">+GETPIVOTDATA("XDB4",'dabac (2016)'!$A$3,"MA_HT","RSX","MA_QH","SON")</f>
        <v>0</v>
      </c>
      <c r="BC13" s="50">
        <f ca="1">+GETPIVOTDATA("XDB4",'dabac (2016)'!$A$3,"MA_HT","RSX","MA_QH","MNC")</f>
        <v>0</v>
      </c>
      <c r="BD13" s="22">
        <f ca="1">+GETPIVOTDATA("XDB4",'dabac (2016)'!$A$3,"MA_HT","RSX","MA_QH","PNK")</f>
        <v>0</v>
      </c>
      <c r="BE13" s="71">
        <f ca="1">+GETPIVOTDATA("XDB4",'dabac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+GETPIVOTDATA("XDB4",'dabac (2016)'!$A$3,"MA_HT","RPH","MA_QH","LUC")</f>
        <v>0</v>
      </c>
      <c r="H14" s="22">
        <f ca="1">+GETPIVOTDATA("XDB4",'dabac (2016)'!$A$3,"MA_HT","RPH","MA_QH","LUK")</f>
        <v>0</v>
      </c>
      <c r="I14" s="22">
        <f ca="1">+GETPIVOTDATA("XDB4",'dabac (2016)'!$A$3,"MA_HT","RPH","MA_QH","LUN")</f>
        <v>0</v>
      </c>
      <c r="J14" s="22">
        <f ca="1">+GETPIVOTDATA("XDB4",'dabac (2016)'!$A$3,"MA_HT","RPH","MA_QH","HNK")</f>
        <v>0</v>
      </c>
      <c r="K14" s="22">
        <f ca="1">+GETPIVOTDATA("XDB4",'dabac (2016)'!$A$3,"MA_HT","RPH","MA_QH","CLN")</f>
        <v>0</v>
      </c>
      <c r="L14" s="22">
        <f ca="1">+GETPIVOTDATA("XDB4",'dabac (2016)'!$A$3,"MA_HT","RPH","MA_QH","RSX")</f>
        <v>0</v>
      </c>
      <c r="M14" s="43" t="e">
        <f ca="1">$D14-$BF14</f>
        <v>#REF!</v>
      </c>
      <c r="N14" s="22">
        <f ca="1">+GETPIVOTDATA("XDB4",'dabac (2016)'!$A$3,"MA_HT","RPH","MA_QH","RDD")</f>
        <v>0</v>
      </c>
      <c r="O14" s="22">
        <f ca="1">+GETPIVOTDATA("XDB4",'dabac (2016)'!$A$3,"MA_HT","RPH","MA_QH","NTS")</f>
        <v>0</v>
      </c>
      <c r="P14" s="22">
        <f ca="1">+GETPIVOTDATA("XDB4",'dabac (2016)'!$A$3,"MA_HT","RPH","MA_QH","LMU")</f>
        <v>0</v>
      </c>
      <c r="Q14" s="22">
        <f ca="1">+GETPIVOTDATA("XDB4",'dabac (2016)'!$A$3,"MA_HT","RPH","MA_QH","NKH")</f>
        <v>0</v>
      </c>
      <c r="R14" s="42">
        <f ca="1" t="shared" si="2"/>
        <v>0</v>
      </c>
      <c r="S14" s="22">
        <f ca="1">+GETPIVOTDATA("XDB4",'dabac (2016)'!$A$3,"MA_HT","RPH","MA_QH","CQP")</f>
        <v>0</v>
      </c>
      <c r="T14" s="22">
        <f ca="1">+GETPIVOTDATA("XDB4",'dabac (2016)'!$A$3,"MA_HT","RPH","MA_QH","CAN")</f>
        <v>0</v>
      </c>
      <c r="U14" s="22">
        <f ca="1">+GETPIVOTDATA("XDB4",'dabac (2016)'!$A$3,"MA_HT","RPH","MA_QH","SKK")</f>
        <v>0</v>
      </c>
      <c r="V14" s="22">
        <f ca="1">+GETPIVOTDATA("XDB4",'dabac (2016)'!$A$3,"MA_HT","RPH","MA_QH","SKT")</f>
        <v>0</v>
      </c>
      <c r="W14" s="22">
        <f ca="1">+GETPIVOTDATA("XDB4",'dabac (2016)'!$A$3,"MA_HT","RPH","MA_QH","SKN")</f>
        <v>0</v>
      </c>
      <c r="X14" s="22">
        <f ca="1">+GETPIVOTDATA("XDB4",'dabac (2016)'!$A$3,"MA_HT","RPH","MA_QH","TMD")</f>
        <v>0</v>
      </c>
      <c r="Y14" s="22">
        <f ca="1">+GETPIVOTDATA("XDB4",'dabac (2016)'!$A$3,"MA_HT","RPH","MA_QH","SKC")</f>
        <v>0</v>
      </c>
      <c r="Z14" s="22">
        <f ca="1">+GETPIVOTDATA("XDB4",'dabac (2016)'!$A$3,"MA_HT","RPH","MA_QH","SKS")</f>
        <v>0</v>
      </c>
      <c r="AA14" s="52">
        <f ca="1" t="shared" si="4"/>
        <v>0</v>
      </c>
      <c r="AB14" s="22">
        <f ca="1">+GETPIVOTDATA("XDB4",'dabac (2016)'!$A$3,"MA_HT","RPH","MA_QH","DGT")</f>
        <v>0</v>
      </c>
      <c r="AC14" s="22">
        <f ca="1">+GETPIVOTDATA("XDB4",'dabac (2016)'!$A$3,"MA_HT","RPH","MA_QH","DTL")</f>
        <v>0</v>
      </c>
      <c r="AD14" s="22">
        <f ca="1">+GETPIVOTDATA("XDB4",'dabac (2016)'!$A$3,"MA_HT","RPH","MA_QH","DNL")</f>
        <v>0</v>
      </c>
      <c r="AE14" s="22">
        <f ca="1">+GETPIVOTDATA("XDB4",'dabac (2016)'!$A$3,"MA_HT","RPH","MA_QH","DBV")</f>
        <v>0</v>
      </c>
      <c r="AF14" s="22">
        <f ca="1">+GETPIVOTDATA("XDB4",'dabac (2016)'!$A$3,"MA_HT","RPH","MA_QH","DVH")</f>
        <v>0</v>
      </c>
      <c r="AG14" s="22">
        <f ca="1">+GETPIVOTDATA("XDB4",'dabac (2016)'!$A$3,"MA_HT","RPH","MA_QH","DYT")</f>
        <v>0</v>
      </c>
      <c r="AH14" s="22">
        <f ca="1">+GETPIVOTDATA("XDB4",'dabac (2016)'!$A$3,"MA_HT","RPH","MA_QH","DGD")</f>
        <v>0</v>
      </c>
      <c r="AI14" s="22">
        <f ca="1">+GETPIVOTDATA("XDB4",'dabac (2016)'!$A$3,"MA_HT","RPH","MA_QH","DTT")</f>
        <v>0</v>
      </c>
      <c r="AJ14" s="22">
        <f ca="1">+GETPIVOTDATA("XDB4",'dabac (2016)'!$A$3,"MA_HT","RPH","MA_QH","NCK")</f>
        <v>0</v>
      </c>
      <c r="AK14" s="22">
        <f ca="1">+GETPIVOTDATA("XDB4",'dabac (2016)'!$A$3,"MA_HT","RPH","MA_QH","DXH")</f>
        <v>0</v>
      </c>
      <c r="AL14" s="22">
        <f ca="1">+GETPIVOTDATA("XDB4",'dabac (2016)'!$A$3,"MA_HT","RPH","MA_QH","DCH")</f>
        <v>0</v>
      </c>
      <c r="AM14" s="22">
        <f ca="1">+GETPIVOTDATA("XDB4",'dabac (2016)'!$A$3,"MA_HT","RPH","MA_QH","DKG")</f>
        <v>0</v>
      </c>
      <c r="AN14" s="22">
        <f ca="1">+GETPIVOTDATA("XDB4",'dabac (2016)'!$A$3,"MA_HT","RPH","MA_QH","DDT")</f>
        <v>0</v>
      </c>
      <c r="AO14" s="22">
        <f ca="1">+GETPIVOTDATA("XDB4",'dabac (2016)'!$A$3,"MA_HT","RPH","MA_QH","DDL")</f>
        <v>0</v>
      </c>
      <c r="AP14" s="22">
        <f ca="1">+GETPIVOTDATA("XDB4",'dabac (2016)'!$A$3,"MA_HT","RPH","MA_QH","DRA")</f>
        <v>0</v>
      </c>
      <c r="AQ14" s="22">
        <f ca="1">+GETPIVOTDATA("XDB4",'dabac (2016)'!$A$3,"MA_HT","RPH","MA_QH","ONT")</f>
        <v>0</v>
      </c>
      <c r="AR14" s="22">
        <f ca="1">+GETPIVOTDATA("XDB4",'dabac (2016)'!$A$3,"MA_HT","RPH","MA_QH","ODT")</f>
        <v>0</v>
      </c>
      <c r="AS14" s="22">
        <f ca="1">+GETPIVOTDATA("XDB4",'dabac (2016)'!$A$3,"MA_HT","RPH","MA_QH","TSC")</f>
        <v>0</v>
      </c>
      <c r="AT14" s="22">
        <f ca="1">+GETPIVOTDATA("XDB4",'dabac (2016)'!$A$3,"MA_HT","RPH","MA_QH","DTS")</f>
        <v>0</v>
      </c>
      <c r="AU14" s="22">
        <f ca="1">+GETPIVOTDATA("XDB4",'dabac (2016)'!$A$3,"MA_HT","RPH","MA_QH","DNG")</f>
        <v>0</v>
      </c>
      <c r="AV14" s="22">
        <f ca="1">+GETPIVOTDATA("XDB4",'dabac (2016)'!$A$3,"MA_HT","RPH","MA_QH","TON")</f>
        <v>0</v>
      </c>
      <c r="AW14" s="22">
        <f ca="1">+GETPIVOTDATA("XDB4",'dabac (2016)'!$A$3,"MA_HT","RPH","MA_QH","NTD")</f>
        <v>0</v>
      </c>
      <c r="AX14" s="22">
        <f ca="1">+GETPIVOTDATA("XDB4",'dabac (2016)'!$A$3,"MA_HT","RPH","MA_QH","SKX")</f>
        <v>0</v>
      </c>
      <c r="AY14" s="22">
        <f ca="1">+GETPIVOTDATA("XDB4",'dabac (2016)'!$A$3,"MA_HT","RPH","MA_QH","DSH")</f>
        <v>0</v>
      </c>
      <c r="AZ14" s="22">
        <f ca="1">+GETPIVOTDATA("XDB4",'dabac (2016)'!$A$3,"MA_HT","RPH","MA_QH","DKV")</f>
        <v>0</v>
      </c>
      <c r="BA14" s="89">
        <f ca="1">+GETPIVOTDATA("XDB4",'dabac (2016)'!$A$3,"MA_HT","RPH","MA_QH","TIN")</f>
        <v>0</v>
      </c>
      <c r="BB14" s="50">
        <f ca="1">+GETPIVOTDATA("XDB4",'dabac (2016)'!$A$3,"MA_HT","RPH","MA_QH","SON")</f>
        <v>0</v>
      </c>
      <c r="BC14" s="50">
        <f ca="1">+GETPIVOTDATA("XDB4",'dabac (2016)'!$A$3,"MA_HT","RPH","MA_QH","MNC")</f>
        <v>0</v>
      </c>
      <c r="BD14" s="22">
        <f ca="1">+GETPIVOTDATA("XDB4",'dabac (2016)'!$A$3,"MA_HT","RPH","MA_QH","PNK")</f>
        <v>0</v>
      </c>
      <c r="BE14" s="71">
        <f ca="1">+GETPIVOTDATA("XDB4",'dabac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+GETPIVOTDATA("XDB4",'dabac (2016)'!$A$3,"MA_HT","RDD","MA_QH","LUC")</f>
        <v>0</v>
      </c>
      <c r="H15" s="22">
        <f ca="1">+GETPIVOTDATA("XDB4",'dabac (2016)'!$A$3,"MA_HT","RDD","MA_QH","LUK")</f>
        <v>0</v>
      </c>
      <c r="I15" s="22">
        <f ca="1">+GETPIVOTDATA("XDB4",'dabac (2016)'!$A$3,"MA_HT","RDD","MA_QH","LUN")</f>
        <v>0</v>
      </c>
      <c r="J15" s="22">
        <f ca="1">+GETPIVOTDATA("XDB4",'dabac (2016)'!$A$3,"MA_HT","RDD","MA_QH","HNK")</f>
        <v>0</v>
      </c>
      <c r="K15" s="22">
        <f ca="1">+GETPIVOTDATA("XDB4",'dabac (2016)'!$A$3,"MA_HT","RDD","MA_QH","CLN")</f>
        <v>0</v>
      </c>
      <c r="L15" s="22">
        <f ca="1">+GETPIVOTDATA("XDB4",'dabac (2016)'!$A$3,"MA_HT","RDD","MA_QH","RSX")</f>
        <v>0</v>
      </c>
      <c r="M15" s="22">
        <f ca="1">+GETPIVOTDATA("XDB4",'dabac (2016)'!$A$3,"MA_HT","RDD","MA_QH","RPH")</f>
        <v>0</v>
      </c>
      <c r="N15" s="43" t="e">
        <f ca="1">$D15-$BF15</f>
        <v>#REF!</v>
      </c>
      <c r="O15" s="22">
        <f ca="1">+GETPIVOTDATA("XDB4",'dabac (2016)'!$A$3,"MA_HT","RDD","MA_QH","NTS")</f>
        <v>0</v>
      </c>
      <c r="P15" s="22">
        <f ca="1">+GETPIVOTDATA("XDB4",'dabac (2016)'!$A$3,"MA_HT","RDD","MA_QH","LMU")</f>
        <v>0</v>
      </c>
      <c r="Q15" s="22">
        <f ca="1">+GETPIVOTDATA("XDB4",'dabac (2016)'!$A$3,"MA_HT","RDD","MA_QH","NKH")</f>
        <v>0</v>
      </c>
      <c r="R15" s="42">
        <f ca="1" t="shared" si="2"/>
        <v>0</v>
      </c>
      <c r="S15" s="22">
        <f ca="1">+GETPIVOTDATA("XDB4",'dabac (2016)'!$A$3,"MA_HT","RDD","MA_QH","CQP")</f>
        <v>0</v>
      </c>
      <c r="T15" s="22">
        <f ca="1">+GETPIVOTDATA("XDB4",'dabac (2016)'!$A$3,"MA_HT","RDD","MA_QH","CAN")</f>
        <v>0</v>
      </c>
      <c r="U15" s="22">
        <f ca="1">+GETPIVOTDATA("XDB4",'dabac (2016)'!$A$3,"MA_HT","RDD","MA_QH","SKK")</f>
        <v>0</v>
      </c>
      <c r="V15" s="22">
        <f ca="1">+GETPIVOTDATA("XDB4",'dabac (2016)'!$A$3,"MA_HT","RDD","MA_QH","SKT")</f>
        <v>0</v>
      </c>
      <c r="W15" s="22">
        <f ca="1">+GETPIVOTDATA("XDB4",'dabac (2016)'!$A$3,"MA_HT","RDD","MA_QH","SKN")</f>
        <v>0</v>
      </c>
      <c r="X15" s="22">
        <f ca="1">+GETPIVOTDATA("XDB4",'dabac (2016)'!$A$3,"MA_HT","RDD","MA_QH","TMD")</f>
        <v>0</v>
      </c>
      <c r="Y15" s="22">
        <f ca="1">+GETPIVOTDATA("XDB4",'dabac (2016)'!$A$3,"MA_HT","RDD","MA_QH","SKC")</f>
        <v>0</v>
      </c>
      <c r="Z15" s="22">
        <f ca="1">+GETPIVOTDATA("XDB4",'dabac (2016)'!$A$3,"MA_HT","RDD","MA_QH","SKS")</f>
        <v>0</v>
      </c>
      <c r="AA15" s="52">
        <f ca="1" t="shared" si="4"/>
        <v>0</v>
      </c>
      <c r="AB15" s="22">
        <f ca="1">+GETPIVOTDATA("XDB4",'dabac (2016)'!$A$3,"MA_HT","RDD","MA_QH","DGT")</f>
        <v>0</v>
      </c>
      <c r="AC15" s="22">
        <f ca="1">+GETPIVOTDATA("XDB4",'dabac (2016)'!$A$3,"MA_HT","RDD","MA_QH","DTL")</f>
        <v>0</v>
      </c>
      <c r="AD15" s="22">
        <f ca="1">+GETPIVOTDATA("XDB4",'dabac (2016)'!$A$3,"MA_HT","RDD","MA_QH","DNL")</f>
        <v>0</v>
      </c>
      <c r="AE15" s="22">
        <f ca="1">+GETPIVOTDATA("XDB4",'dabac (2016)'!$A$3,"MA_HT","RDD","MA_QH","DBV")</f>
        <v>0</v>
      </c>
      <c r="AF15" s="22">
        <f ca="1">+GETPIVOTDATA("XDB4",'dabac (2016)'!$A$3,"MA_HT","RDD","MA_QH","DVH")</f>
        <v>0</v>
      </c>
      <c r="AG15" s="22">
        <f ca="1">+GETPIVOTDATA("XDB4",'dabac (2016)'!$A$3,"MA_HT","RDD","MA_QH","DYT")</f>
        <v>0</v>
      </c>
      <c r="AH15" s="22">
        <f ca="1">+GETPIVOTDATA("XDB4",'dabac (2016)'!$A$3,"MA_HT","RDD","MA_QH","DGD")</f>
        <v>0</v>
      </c>
      <c r="AI15" s="22">
        <f ca="1">+GETPIVOTDATA("XDB4",'dabac (2016)'!$A$3,"MA_HT","RDD","MA_QH","DTT")</f>
        <v>0</v>
      </c>
      <c r="AJ15" s="22">
        <f ca="1">+GETPIVOTDATA("XDB4",'dabac (2016)'!$A$3,"MA_HT","RDD","MA_QH","NCK")</f>
        <v>0</v>
      </c>
      <c r="AK15" s="22">
        <f ca="1">+GETPIVOTDATA("XDB4",'dabac (2016)'!$A$3,"MA_HT","RDD","MA_QH","DXH")</f>
        <v>0</v>
      </c>
      <c r="AL15" s="22">
        <f ca="1">+GETPIVOTDATA("XDB4",'dabac (2016)'!$A$3,"MA_HT","RDD","MA_QH","DCH")</f>
        <v>0</v>
      </c>
      <c r="AM15" s="22">
        <f ca="1">+GETPIVOTDATA("XDB4",'dabac (2016)'!$A$3,"MA_HT","RDD","MA_QH","DKG")</f>
        <v>0</v>
      </c>
      <c r="AN15" s="22">
        <f ca="1">+GETPIVOTDATA("XDB4",'dabac (2016)'!$A$3,"MA_HT","RDD","MA_QH","DDT")</f>
        <v>0</v>
      </c>
      <c r="AO15" s="22">
        <f ca="1">+GETPIVOTDATA("XDB4",'dabac (2016)'!$A$3,"MA_HT","RDD","MA_QH","DDL")</f>
        <v>0</v>
      </c>
      <c r="AP15" s="22">
        <f ca="1">+GETPIVOTDATA("XDB4",'dabac (2016)'!$A$3,"MA_HT","RDD","MA_QH","DRA")</f>
        <v>0</v>
      </c>
      <c r="AQ15" s="22">
        <f ca="1">+GETPIVOTDATA("XDB4",'dabac (2016)'!$A$3,"MA_HT","RDD","MA_QH","ONT")</f>
        <v>0</v>
      </c>
      <c r="AR15" s="22">
        <f ca="1">+GETPIVOTDATA("XDB4",'dabac (2016)'!$A$3,"MA_HT","RDD","MA_QH","ODT")</f>
        <v>0</v>
      </c>
      <c r="AS15" s="22">
        <f ca="1">+GETPIVOTDATA("XDB4",'dabac (2016)'!$A$3,"MA_HT","RDD","MA_QH","TSC")</f>
        <v>0</v>
      </c>
      <c r="AT15" s="22">
        <f ca="1">+GETPIVOTDATA("XDB4",'dabac (2016)'!$A$3,"MA_HT","RDD","MA_QH","DTS")</f>
        <v>0</v>
      </c>
      <c r="AU15" s="22">
        <f ca="1">+GETPIVOTDATA("XDB4",'dabac (2016)'!$A$3,"MA_HT","RDD","MA_QH","DNG")</f>
        <v>0</v>
      </c>
      <c r="AV15" s="22">
        <f ca="1">+GETPIVOTDATA("XDB4",'dabac (2016)'!$A$3,"MA_HT","RDD","MA_QH","TON")</f>
        <v>0</v>
      </c>
      <c r="AW15" s="22">
        <f ca="1">+GETPIVOTDATA("XDB4",'dabac (2016)'!$A$3,"MA_HT","RDD","MA_QH","NTD")</f>
        <v>0</v>
      </c>
      <c r="AX15" s="22">
        <f ca="1">+GETPIVOTDATA("XDB4",'dabac (2016)'!$A$3,"MA_HT","RDD","MA_QH","SKX")</f>
        <v>0</v>
      </c>
      <c r="AY15" s="22">
        <f ca="1">+GETPIVOTDATA("XDB4",'dabac (2016)'!$A$3,"MA_HT","RDD","MA_QH","DSH")</f>
        <v>0</v>
      </c>
      <c r="AZ15" s="22">
        <f ca="1">+GETPIVOTDATA("XDB4",'dabac (2016)'!$A$3,"MA_HT","RDD","MA_QH","DKV")</f>
        <v>0</v>
      </c>
      <c r="BA15" s="89">
        <f ca="1">+GETPIVOTDATA("XDB4",'dabac (2016)'!$A$3,"MA_HT","RDD","MA_QH","TIN")</f>
        <v>0</v>
      </c>
      <c r="BB15" s="50">
        <f ca="1">+GETPIVOTDATA("XDB4",'dabac (2016)'!$A$3,"MA_HT","RDD","MA_QH","SON")</f>
        <v>0</v>
      </c>
      <c r="BC15" s="50">
        <f ca="1">+GETPIVOTDATA("XDB4",'dabac (2016)'!$A$3,"MA_HT","RDD","MA_QH","MNC")</f>
        <v>0</v>
      </c>
      <c r="BD15" s="22">
        <f ca="1">+GETPIVOTDATA("XDB4",'dabac (2016)'!$A$3,"MA_HT","RDD","MA_QH","PNK")</f>
        <v>0</v>
      </c>
      <c r="BE15" s="71">
        <f ca="1">+GETPIVOTDATA("XDB4",'dabac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+GETPIVOTDATA("XDB4",'dabac (2016)'!$A$3,"MA_HT","NTS","MA_QH","LUC")</f>
        <v>0</v>
      </c>
      <c r="H16" s="22">
        <f ca="1">+GETPIVOTDATA("XDB4",'dabac (2016)'!$A$3,"MA_HT","NTS","MA_QH","LUK")</f>
        <v>0</v>
      </c>
      <c r="I16" s="22">
        <f ca="1">+GETPIVOTDATA("XDB4",'dabac (2016)'!$A$3,"MA_HT","NTS","MA_QH","LUN")</f>
        <v>0</v>
      </c>
      <c r="J16" s="22">
        <f ca="1">+GETPIVOTDATA("XDB4",'dabac (2016)'!$A$3,"MA_HT","NTS","MA_QH","HNK")</f>
        <v>0</v>
      </c>
      <c r="K16" s="22">
        <f ca="1">+GETPIVOTDATA("XDB4",'dabac (2016)'!$A$3,"MA_HT","NTS","MA_QH","CLN")</f>
        <v>0</v>
      </c>
      <c r="L16" s="22">
        <f ca="1">+GETPIVOTDATA("XDB4",'dabac (2016)'!$A$3,"MA_HT","NTS","MA_QH","RSX")</f>
        <v>0</v>
      </c>
      <c r="M16" s="22">
        <f ca="1">+GETPIVOTDATA("XDB4",'dabac (2016)'!$A$3,"MA_HT","NTS","MA_QH","RPH")</f>
        <v>0</v>
      </c>
      <c r="N16" s="22">
        <f ca="1">+GETPIVOTDATA("XDB4",'dabac (2016)'!$A$3,"MA_HT","NTS","MA_QH","RDD")</f>
        <v>0</v>
      </c>
      <c r="O16" s="43" t="e">
        <f ca="1">$D16-$BF16</f>
        <v>#REF!</v>
      </c>
      <c r="P16" s="22">
        <f ca="1">+GETPIVOTDATA("XDB4",'dabac (2016)'!$A$3,"MA_HT","NTS","MA_QH","LMU")</f>
        <v>0</v>
      </c>
      <c r="Q16" s="22">
        <f ca="1">+GETPIVOTDATA("XDB4",'dabac (2016)'!$A$3,"MA_HT","NTS","MA_QH","NKH")</f>
        <v>0</v>
      </c>
      <c r="R16" s="42">
        <f ca="1" t="shared" si="2"/>
        <v>0</v>
      </c>
      <c r="S16" s="22">
        <f ca="1">+GETPIVOTDATA("XDB4",'dabac (2016)'!$A$3,"MA_HT","NTS","MA_QH","CQP")</f>
        <v>0</v>
      </c>
      <c r="T16" s="22">
        <f ca="1">+GETPIVOTDATA("XDB4",'dabac (2016)'!$A$3,"MA_HT","NTS","MA_QH","CAN")</f>
        <v>0</v>
      </c>
      <c r="U16" s="22">
        <f ca="1">+GETPIVOTDATA("XDB4",'dabac (2016)'!$A$3,"MA_HT","NTS","MA_QH","SKK")</f>
        <v>0</v>
      </c>
      <c r="V16" s="22">
        <f ca="1">+GETPIVOTDATA("XDB4",'dabac (2016)'!$A$3,"MA_HT","NTS","MA_QH","SKT")</f>
        <v>0</v>
      </c>
      <c r="W16" s="22">
        <f ca="1">+GETPIVOTDATA("XDB4",'dabac (2016)'!$A$3,"MA_HT","NTS","MA_QH","SKN")</f>
        <v>0</v>
      </c>
      <c r="X16" s="22">
        <f ca="1">+GETPIVOTDATA("XDB4",'dabac (2016)'!$A$3,"MA_HT","NTS","MA_QH","TMD")</f>
        <v>0</v>
      </c>
      <c r="Y16" s="22">
        <f ca="1">+GETPIVOTDATA("XDB4",'dabac (2016)'!$A$3,"MA_HT","NTS","MA_QH","SKC")</f>
        <v>0</v>
      </c>
      <c r="Z16" s="22">
        <f ca="1">+GETPIVOTDATA("XDB4",'dabac (2016)'!$A$3,"MA_HT","NTS","MA_QH","SKS")</f>
        <v>0</v>
      </c>
      <c r="AA16" s="52">
        <f ca="1" t="shared" si="4"/>
        <v>0</v>
      </c>
      <c r="AB16" s="22">
        <f ca="1">+GETPIVOTDATA("XDB4",'dabac (2016)'!$A$3,"MA_HT","NTS","MA_QH","DGT")</f>
        <v>0</v>
      </c>
      <c r="AC16" s="22">
        <f ca="1">+GETPIVOTDATA("XDB4",'dabac (2016)'!$A$3,"MA_HT","NTS","MA_QH","DTL")</f>
        <v>0</v>
      </c>
      <c r="AD16" s="22">
        <f ca="1">+GETPIVOTDATA("XDB4",'dabac (2016)'!$A$3,"MA_HT","NTS","MA_QH","DNL")</f>
        <v>0</v>
      </c>
      <c r="AE16" s="22">
        <f ca="1">+GETPIVOTDATA("XDB4",'dabac (2016)'!$A$3,"MA_HT","NTS","MA_QH","DBV")</f>
        <v>0</v>
      </c>
      <c r="AF16" s="22">
        <f ca="1">+GETPIVOTDATA("XDB4",'dabac (2016)'!$A$3,"MA_HT","NTS","MA_QH","DVH")</f>
        <v>0</v>
      </c>
      <c r="AG16" s="22">
        <f ca="1">+GETPIVOTDATA("XDB4",'dabac (2016)'!$A$3,"MA_HT","NTS","MA_QH","DYT")</f>
        <v>0</v>
      </c>
      <c r="AH16" s="22">
        <f ca="1">+GETPIVOTDATA("XDB4",'dabac (2016)'!$A$3,"MA_HT","NTS","MA_QH","DGD")</f>
        <v>0</v>
      </c>
      <c r="AI16" s="22">
        <f ca="1">+GETPIVOTDATA("XDB4",'dabac (2016)'!$A$3,"MA_HT","NTS","MA_QH","DTT")</f>
        <v>0</v>
      </c>
      <c r="AJ16" s="22">
        <f ca="1">+GETPIVOTDATA("XDB4",'dabac (2016)'!$A$3,"MA_HT","NTS","MA_QH","NCK")</f>
        <v>0</v>
      </c>
      <c r="AK16" s="22">
        <f ca="1">+GETPIVOTDATA("XDB4",'dabac (2016)'!$A$3,"MA_HT","NTS","MA_QH","DXH")</f>
        <v>0</v>
      </c>
      <c r="AL16" s="22">
        <f ca="1">+GETPIVOTDATA("XDB4",'dabac (2016)'!$A$3,"MA_HT","NTS","MA_QH","DCH")</f>
        <v>0</v>
      </c>
      <c r="AM16" s="22">
        <f ca="1">+GETPIVOTDATA("XDB4",'dabac (2016)'!$A$3,"MA_HT","NTS","MA_QH","DKG")</f>
        <v>0</v>
      </c>
      <c r="AN16" s="22">
        <f ca="1">+GETPIVOTDATA("XDB4",'dabac (2016)'!$A$3,"MA_HT","NTS","MA_QH","DDT")</f>
        <v>0</v>
      </c>
      <c r="AO16" s="22">
        <f ca="1">+GETPIVOTDATA("XDB4",'dabac (2016)'!$A$3,"MA_HT","NTS","MA_QH","DDL")</f>
        <v>0</v>
      </c>
      <c r="AP16" s="22">
        <f ca="1">+GETPIVOTDATA("XDB4",'dabac (2016)'!$A$3,"MA_HT","NTS","MA_QH","DRA")</f>
        <v>0</v>
      </c>
      <c r="AQ16" s="22">
        <f ca="1">+GETPIVOTDATA("XDB4",'dabac (2016)'!$A$3,"MA_HT","NTS","MA_QH","ONT")</f>
        <v>0</v>
      </c>
      <c r="AR16" s="22">
        <f ca="1">+GETPIVOTDATA("XDB4",'dabac (2016)'!$A$3,"MA_HT","NTS","MA_QH","ODT")</f>
        <v>0</v>
      </c>
      <c r="AS16" s="22">
        <f ca="1">+GETPIVOTDATA("XDB4",'dabac (2016)'!$A$3,"MA_HT","NTS","MA_QH","TSC")</f>
        <v>0</v>
      </c>
      <c r="AT16" s="22">
        <f ca="1">+GETPIVOTDATA("XDB4",'dabac (2016)'!$A$3,"MA_HT","NTS","MA_QH","DTS")</f>
        <v>0</v>
      </c>
      <c r="AU16" s="22">
        <f ca="1">+GETPIVOTDATA("XDB4",'dabac (2016)'!$A$3,"MA_HT","NTS","MA_QH","DNG")</f>
        <v>0</v>
      </c>
      <c r="AV16" s="22">
        <f ca="1">+GETPIVOTDATA("XDB4",'dabac (2016)'!$A$3,"MA_HT","NTS","MA_QH","TON")</f>
        <v>0</v>
      </c>
      <c r="AW16" s="22">
        <f ca="1">+GETPIVOTDATA("XDB4",'dabac (2016)'!$A$3,"MA_HT","NTS","MA_QH","NTD")</f>
        <v>0</v>
      </c>
      <c r="AX16" s="22">
        <f ca="1">+GETPIVOTDATA("XDB4",'dabac (2016)'!$A$3,"MA_HT","NTS","MA_QH","SKX")</f>
        <v>0</v>
      </c>
      <c r="AY16" s="22">
        <f ca="1">+GETPIVOTDATA("XDB4",'dabac (2016)'!$A$3,"MA_HT","NTS","MA_QH","DSH")</f>
        <v>0</v>
      </c>
      <c r="AZ16" s="22">
        <f ca="1">+GETPIVOTDATA("XDB4",'dabac (2016)'!$A$3,"MA_HT","NTS","MA_QH","DKV")</f>
        <v>0</v>
      </c>
      <c r="BA16" s="89">
        <f ca="1">+GETPIVOTDATA("XDB4",'dabac (2016)'!$A$3,"MA_HT","NTS","MA_QH","TIN")</f>
        <v>0</v>
      </c>
      <c r="BB16" s="50">
        <f ca="1">+GETPIVOTDATA("XDB4",'dabac (2016)'!$A$3,"MA_HT","NTS","MA_QH","SON")</f>
        <v>0</v>
      </c>
      <c r="BC16" s="50">
        <f ca="1">+GETPIVOTDATA("XDB4",'dabac (2016)'!$A$3,"MA_HT","NTS","MA_QH","MNC")</f>
        <v>0</v>
      </c>
      <c r="BD16" s="22">
        <f ca="1">+GETPIVOTDATA("XDB4",'dabac (2016)'!$A$3,"MA_HT","NTS","MA_QH","PNK")</f>
        <v>0</v>
      </c>
      <c r="BE16" s="71">
        <f ca="1">+GETPIVOTDATA("XDB4",'dabac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+GETPIVOTDATA("XDB4",'dabac (2016)'!$A$3,"MA_HT","LMU","MA_QH","LUC")</f>
        <v>0</v>
      </c>
      <c r="H17" s="22">
        <f ca="1">+GETPIVOTDATA("XDB4",'dabac (2016)'!$A$3,"MA_HT","LMU","MA_QH","LUK")</f>
        <v>0</v>
      </c>
      <c r="I17" s="22">
        <f ca="1">+GETPIVOTDATA("XDB4",'dabac (2016)'!$A$3,"MA_HT","LMU","MA_QH","LUN")</f>
        <v>0</v>
      </c>
      <c r="J17" s="22">
        <f ca="1">+GETPIVOTDATA("XDB4",'dabac (2016)'!$A$3,"MA_HT","LMU","MA_QH","HNK")</f>
        <v>0</v>
      </c>
      <c r="K17" s="22">
        <f ca="1">+GETPIVOTDATA("XDB4",'dabac (2016)'!$A$3,"MA_HT","LMU","MA_QH","CLN")</f>
        <v>0</v>
      </c>
      <c r="L17" s="22">
        <f ca="1">+GETPIVOTDATA("XDB4",'dabac (2016)'!$A$3,"MA_HT","LMU","MA_QH","RSX")</f>
        <v>0</v>
      </c>
      <c r="M17" s="22">
        <f ca="1">+GETPIVOTDATA("XDB4",'dabac (2016)'!$A$3,"MA_HT","LMU","MA_QH","RPH")</f>
        <v>0</v>
      </c>
      <c r="N17" s="22">
        <f ca="1">+GETPIVOTDATA("XDB4",'dabac (2016)'!$A$3,"MA_HT","LMU","MA_QH","RDD")</f>
        <v>0</v>
      </c>
      <c r="O17" s="22">
        <f ca="1">+GETPIVOTDATA("XDB4",'dabac (2016)'!$A$3,"MA_HT","LMU","MA_QH","NTS")</f>
        <v>0</v>
      </c>
      <c r="P17" s="43" t="e">
        <f ca="1">$D17-$BF17</f>
        <v>#REF!</v>
      </c>
      <c r="Q17" s="22">
        <f ca="1">+GETPIVOTDATA("XDB4",'dabac (2016)'!$A$3,"MA_HT","LMU","MA_QH","NKH")</f>
        <v>0</v>
      </c>
      <c r="R17" s="42">
        <f ca="1" t="shared" si="2"/>
        <v>0</v>
      </c>
      <c r="S17" s="22">
        <f ca="1">+GETPIVOTDATA("XDB4",'dabac (2016)'!$A$3,"MA_HT","LMU","MA_QH","CQP")</f>
        <v>0</v>
      </c>
      <c r="T17" s="22">
        <f ca="1">+GETPIVOTDATA("XDB4",'dabac (2016)'!$A$3,"MA_HT","LMU","MA_QH","CAN")</f>
        <v>0</v>
      </c>
      <c r="U17" s="22">
        <f ca="1">+GETPIVOTDATA("XDB4",'dabac (2016)'!$A$3,"MA_HT","LMU","MA_QH","SKK")</f>
        <v>0</v>
      </c>
      <c r="V17" s="22">
        <f ca="1">+GETPIVOTDATA("XDB4",'dabac (2016)'!$A$3,"MA_HT","LMU","MA_QH","SKT")</f>
        <v>0</v>
      </c>
      <c r="W17" s="22">
        <f ca="1">+GETPIVOTDATA("XDB4",'dabac (2016)'!$A$3,"MA_HT","LMU","MA_QH","SKN")</f>
        <v>0</v>
      </c>
      <c r="X17" s="22">
        <f ca="1">+GETPIVOTDATA("XDB4",'dabac (2016)'!$A$3,"MA_HT","LMU","MA_QH","TMD")</f>
        <v>0</v>
      </c>
      <c r="Y17" s="22">
        <f ca="1">+GETPIVOTDATA("XDB4",'dabac (2016)'!$A$3,"MA_HT","LMU","MA_QH","SKC")</f>
        <v>0</v>
      </c>
      <c r="Z17" s="22">
        <f ca="1">+GETPIVOTDATA("XDB4",'dabac (2016)'!$A$3,"MA_HT","LMU","MA_QH","SKS")</f>
        <v>0</v>
      </c>
      <c r="AA17" s="52">
        <f ca="1" t="shared" si="4"/>
        <v>0</v>
      </c>
      <c r="AB17" s="22">
        <f ca="1">+GETPIVOTDATA("XDB4",'dabac (2016)'!$A$3,"MA_HT","LMU","MA_QH","DGT")</f>
        <v>0</v>
      </c>
      <c r="AC17" s="22">
        <f ca="1">+GETPIVOTDATA("XDB4",'dabac (2016)'!$A$3,"MA_HT","LMU","MA_QH","DTL")</f>
        <v>0</v>
      </c>
      <c r="AD17" s="22">
        <f ca="1">+GETPIVOTDATA("XDB4",'dabac (2016)'!$A$3,"MA_HT","LMU","MA_QH","DNL")</f>
        <v>0</v>
      </c>
      <c r="AE17" s="22">
        <f ca="1">+GETPIVOTDATA("XDB4",'dabac (2016)'!$A$3,"MA_HT","LMU","MA_QH","DBV")</f>
        <v>0</v>
      </c>
      <c r="AF17" s="22">
        <f ca="1">+GETPIVOTDATA("XDB4",'dabac (2016)'!$A$3,"MA_HT","LMU","MA_QH","DVH")</f>
        <v>0</v>
      </c>
      <c r="AG17" s="22">
        <f ca="1">+GETPIVOTDATA("XDB4",'dabac (2016)'!$A$3,"MA_HT","LMU","MA_QH","DYT")</f>
        <v>0</v>
      </c>
      <c r="AH17" s="22">
        <f ca="1">+GETPIVOTDATA("XDB4",'dabac (2016)'!$A$3,"MA_HT","LMU","MA_QH","DGD")</f>
        <v>0</v>
      </c>
      <c r="AI17" s="22">
        <f ca="1">+GETPIVOTDATA("XDB4",'dabac (2016)'!$A$3,"MA_HT","LMU","MA_QH","DTT")</f>
        <v>0</v>
      </c>
      <c r="AJ17" s="22">
        <f ca="1">+GETPIVOTDATA("XDB4",'dabac (2016)'!$A$3,"MA_HT","LMU","MA_QH","NCK")</f>
        <v>0</v>
      </c>
      <c r="AK17" s="22">
        <f ca="1">+GETPIVOTDATA("XDB4",'dabac (2016)'!$A$3,"MA_HT","LMU","MA_QH","DXH")</f>
        <v>0</v>
      </c>
      <c r="AL17" s="22">
        <f ca="1">+GETPIVOTDATA("XDB4",'dabac (2016)'!$A$3,"MA_HT","LMU","MA_QH","DCH")</f>
        <v>0</v>
      </c>
      <c r="AM17" s="22">
        <f ca="1">+GETPIVOTDATA("XDB4",'dabac (2016)'!$A$3,"MA_HT","LMU","MA_QH","DKG")</f>
        <v>0</v>
      </c>
      <c r="AN17" s="22">
        <f ca="1">+GETPIVOTDATA("XDB4",'dabac (2016)'!$A$3,"MA_HT","LMU","MA_QH","DDT")</f>
        <v>0</v>
      </c>
      <c r="AO17" s="22">
        <f ca="1">+GETPIVOTDATA("XDB4",'dabac (2016)'!$A$3,"MA_HT","LMU","MA_QH","DDL")</f>
        <v>0</v>
      </c>
      <c r="AP17" s="22">
        <f ca="1">+GETPIVOTDATA("XDB4",'dabac (2016)'!$A$3,"MA_HT","LMU","MA_QH","DRA")</f>
        <v>0</v>
      </c>
      <c r="AQ17" s="22">
        <f ca="1">+GETPIVOTDATA("XDB4",'dabac (2016)'!$A$3,"MA_HT","LMU","MA_QH","ONT")</f>
        <v>0</v>
      </c>
      <c r="AR17" s="22">
        <f ca="1">+GETPIVOTDATA("XDB4",'dabac (2016)'!$A$3,"MA_HT","LMU","MA_QH","ODT")</f>
        <v>0</v>
      </c>
      <c r="AS17" s="22">
        <f ca="1">+GETPIVOTDATA("XDB4",'dabac (2016)'!$A$3,"MA_HT","LMU","MA_QH","TSC")</f>
        <v>0</v>
      </c>
      <c r="AT17" s="22">
        <f ca="1">+GETPIVOTDATA("XDB4",'dabac (2016)'!$A$3,"MA_HT","LMU","MA_QH","DTS")</f>
        <v>0</v>
      </c>
      <c r="AU17" s="22">
        <f ca="1">+GETPIVOTDATA("XDB4",'dabac (2016)'!$A$3,"MA_HT","LMU","MA_QH","DNG")</f>
        <v>0</v>
      </c>
      <c r="AV17" s="22">
        <f ca="1">+GETPIVOTDATA("XDB4",'dabac (2016)'!$A$3,"MA_HT","LMU","MA_QH","TON")</f>
        <v>0</v>
      </c>
      <c r="AW17" s="22">
        <f ca="1">+GETPIVOTDATA("XDB4",'dabac (2016)'!$A$3,"MA_HT","LMU","MA_QH","NTD")</f>
        <v>0</v>
      </c>
      <c r="AX17" s="22">
        <f ca="1">+GETPIVOTDATA("XDB4",'dabac (2016)'!$A$3,"MA_HT","LMU","MA_QH","SKX")</f>
        <v>0</v>
      </c>
      <c r="AY17" s="22">
        <f ca="1">+GETPIVOTDATA("XDB4",'dabac (2016)'!$A$3,"MA_HT","LMU","MA_QH","DSH")</f>
        <v>0</v>
      </c>
      <c r="AZ17" s="22">
        <f ca="1">+GETPIVOTDATA("XDB4",'dabac (2016)'!$A$3,"MA_HT","LMU","MA_QH","DKV")</f>
        <v>0</v>
      </c>
      <c r="BA17" s="89">
        <f ca="1">+GETPIVOTDATA("XDB4",'dabac (2016)'!$A$3,"MA_HT","LMU","MA_QH","TIN")</f>
        <v>0</v>
      </c>
      <c r="BB17" s="50">
        <f ca="1">+GETPIVOTDATA("XDB4",'dabac (2016)'!$A$3,"MA_HT","LMU","MA_QH","SON")</f>
        <v>0</v>
      </c>
      <c r="BC17" s="50">
        <f ca="1">+GETPIVOTDATA("XDB4",'dabac (2016)'!$A$3,"MA_HT","LMU","MA_QH","MNC")</f>
        <v>0</v>
      </c>
      <c r="BD17" s="22">
        <f ca="1">+GETPIVOTDATA("XDB4",'dabac (2016)'!$A$3,"MA_HT","LMU","MA_QH","PNK")</f>
        <v>0</v>
      </c>
      <c r="BE17" s="71">
        <f ca="1">+GETPIVOTDATA("XDB4",'dabac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+GETPIVOTDATA("XDB4",'dabac (2016)'!$A$3,"MA_HT","NKH","MA_QH","LUC")</f>
        <v>0</v>
      </c>
      <c r="H18" s="22">
        <f ca="1">+GETPIVOTDATA("XDB4",'dabac (2016)'!$A$3,"MA_HT","NKH","MA_QH","LUK")</f>
        <v>0</v>
      </c>
      <c r="I18" s="22">
        <f ca="1">+GETPIVOTDATA("XDB4",'dabac (2016)'!$A$3,"MA_HT","NKH","MA_QH","LUN")</f>
        <v>0</v>
      </c>
      <c r="J18" s="22">
        <f ca="1">+GETPIVOTDATA("XDB4",'dabac (2016)'!$A$3,"MA_HT","NKH","MA_QH","HNK")</f>
        <v>0</v>
      </c>
      <c r="K18" s="22">
        <f ca="1">+GETPIVOTDATA("XDB4",'dabac (2016)'!$A$3,"MA_HT","NKH","MA_QH","CLN")</f>
        <v>0</v>
      </c>
      <c r="L18" s="22">
        <f ca="1">+GETPIVOTDATA("XDB4",'dabac (2016)'!$A$3,"MA_HT","NKH","MA_QH","RSX")</f>
        <v>0</v>
      </c>
      <c r="M18" s="22">
        <f ca="1">+GETPIVOTDATA("XDB4",'dabac (2016)'!$A$3,"MA_HT","NKH","MA_QH","RPH")</f>
        <v>0</v>
      </c>
      <c r="N18" s="22">
        <f ca="1">+GETPIVOTDATA("XDB4",'dabac (2016)'!$A$3,"MA_HT","NKH","MA_QH","RDD")</f>
        <v>0</v>
      </c>
      <c r="O18" s="22">
        <f ca="1">+GETPIVOTDATA("XDB4",'dabac (2016)'!$A$3,"MA_HT","NKH","MA_QH","NTS")</f>
        <v>0</v>
      </c>
      <c r="P18" s="22">
        <f ca="1">+GETPIVOTDATA("XDB4",'dabac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+GETPIVOTDATA("XDB4",'dabac (2016)'!$A$3,"MA_HT","NKH","MA_QH","CQP")</f>
        <v>0</v>
      </c>
      <c r="T18" s="22">
        <f ca="1">+GETPIVOTDATA("XDB4",'dabac (2016)'!$A$3,"MA_HT","NKH","MA_QH","CAN")</f>
        <v>0</v>
      </c>
      <c r="U18" s="22">
        <f ca="1">+GETPIVOTDATA("XDB4",'dabac (2016)'!$A$3,"MA_HT","NKH","MA_QH","SKK")</f>
        <v>0</v>
      </c>
      <c r="V18" s="22">
        <f ca="1">+GETPIVOTDATA("XDB4",'dabac (2016)'!$A$3,"MA_HT","NKH","MA_QH","SKT")</f>
        <v>0</v>
      </c>
      <c r="W18" s="22">
        <f ca="1">+GETPIVOTDATA("XDB4",'dabac (2016)'!$A$3,"MA_HT","NKH","MA_QH","SKN")</f>
        <v>0</v>
      </c>
      <c r="X18" s="22">
        <f ca="1">+GETPIVOTDATA("XDB4",'dabac (2016)'!$A$3,"MA_HT","NKH","MA_QH","TMD")</f>
        <v>0</v>
      </c>
      <c r="Y18" s="22">
        <f ca="1">+GETPIVOTDATA("XDB4",'dabac (2016)'!$A$3,"MA_HT","NKH","MA_QH","SKC")</f>
        <v>0</v>
      </c>
      <c r="Z18" s="22">
        <f ca="1">+GETPIVOTDATA("XDB4",'dabac (2016)'!$A$3,"MA_HT","NKH","MA_QH","SKS")</f>
        <v>0</v>
      </c>
      <c r="AA18" s="52">
        <f ca="1" t="shared" si="4"/>
        <v>0</v>
      </c>
      <c r="AB18" s="22">
        <f ca="1">+GETPIVOTDATA("XDB4",'dabac (2016)'!$A$3,"MA_HT","NKH","MA_QH","DGT")</f>
        <v>0</v>
      </c>
      <c r="AC18" s="22">
        <f ca="1">+GETPIVOTDATA("XDB4",'dabac (2016)'!$A$3,"MA_HT","NKH","MA_QH","DTL")</f>
        <v>0</v>
      </c>
      <c r="AD18" s="22">
        <f ca="1">+GETPIVOTDATA("XDB4",'dabac (2016)'!$A$3,"MA_HT","NKH","MA_QH","DNL")</f>
        <v>0</v>
      </c>
      <c r="AE18" s="22">
        <f ca="1">+GETPIVOTDATA("XDB4",'dabac (2016)'!$A$3,"MA_HT","NKH","MA_QH","DBV")</f>
        <v>0</v>
      </c>
      <c r="AF18" s="22">
        <f ca="1">+GETPIVOTDATA("XDB4",'dabac (2016)'!$A$3,"MA_HT","NKH","MA_QH","DVH")</f>
        <v>0</v>
      </c>
      <c r="AG18" s="22">
        <f ca="1">+GETPIVOTDATA("XDB4",'dabac (2016)'!$A$3,"MA_HT","NKH","MA_QH","DYT")</f>
        <v>0</v>
      </c>
      <c r="AH18" s="22">
        <f ca="1">+GETPIVOTDATA("XDB4",'dabac (2016)'!$A$3,"MA_HT","NKH","MA_QH","DGD")</f>
        <v>0</v>
      </c>
      <c r="AI18" s="22">
        <f ca="1">+GETPIVOTDATA("XDB4",'dabac (2016)'!$A$3,"MA_HT","NKH","MA_QH","DTT")</f>
        <v>0</v>
      </c>
      <c r="AJ18" s="22">
        <f ca="1">+GETPIVOTDATA("XDB4",'dabac (2016)'!$A$3,"MA_HT","NKH","MA_QH","NCK")</f>
        <v>0</v>
      </c>
      <c r="AK18" s="22">
        <f ca="1">+GETPIVOTDATA("XDB4",'dabac (2016)'!$A$3,"MA_HT","NKH","MA_QH","DXH")</f>
        <v>0</v>
      </c>
      <c r="AL18" s="22">
        <f ca="1">+GETPIVOTDATA("XDB4",'dabac (2016)'!$A$3,"MA_HT","NKH","MA_QH","DCH")</f>
        <v>0</v>
      </c>
      <c r="AM18" s="22">
        <f ca="1">+GETPIVOTDATA("XDB4",'dabac (2016)'!$A$3,"MA_HT","NKH","MA_QH","DKG")</f>
        <v>0</v>
      </c>
      <c r="AN18" s="22">
        <f ca="1">+GETPIVOTDATA("XDB4",'dabac (2016)'!$A$3,"MA_HT","NKH","MA_QH","DDT")</f>
        <v>0</v>
      </c>
      <c r="AO18" s="22">
        <f ca="1">+GETPIVOTDATA("XDB4",'dabac (2016)'!$A$3,"MA_HT","NKH","MA_QH","DDL")</f>
        <v>0</v>
      </c>
      <c r="AP18" s="22">
        <f ca="1">+GETPIVOTDATA("XDB4",'dabac (2016)'!$A$3,"MA_HT","NKH","MA_QH","DRA")</f>
        <v>0</v>
      </c>
      <c r="AQ18" s="22">
        <f ca="1">+GETPIVOTDATA("XDB4",'dabac (2016)'!$A$3,"MA_HT","NKH","MA_QH","ONT")</f>
        <v>0</v>
      </c>
      <c r="AR18" s="22">
        <f ca="1">+GETPIVOTDATA("XDB4",'dabac (2016)'!$A$3,"MA_HT","NKH","MA_QH","ODT")</f>
        <v>0</v>
      </c>
      <c r="AS18" s="22">
        <f ca="1">+GETPIVOTDATA("XDB4",'dabac (2016)'!$A$3,"MA_HT","NKH","MA_QH","TSC")</f>
        <v>0</v>
      </c>
      <c r="AT18" s="22">
        <f ca="1">+GETPIVOTDATA("XDB4",'dabac (2016)'!$A$3,"MA_HT","NKH","MA_QH","DTS")</f>
        <v>0</v>
      </c>
      <c r="AU18" s="22">
        <f ca="1">+GETPIVOTDATA("XDB4",'dabac (2016)'!$A$3,"MA_HT","NKH","MA_QH","DNG")</f>
        <v>0</v>
      </c>
      <c r="AV18" s="22">
        <f ca="1">+GETPIVOTDATA("XDB4",'dabac (2016)'!$A$3,"MA_HT","NKH","MA_QH","TON")</f>
        <v>0</v>
      </c>
      <c r="AW18" s="22">
        <f ca="1">+GETPIVOTDATA("XDB4",'dabac (2016)'!$A$3,"MA_HT","NKH","MA_QH","NTD")</f>
        <v>0</v>
      </c>
      <c r="AX18" s="22">
        <f ca="1">+GETPIVOTDATA("XDB4",'dabac (2016)'!$A$3,"MA_HT","NKH","MA_QH","SKX")</f>
        <v>0</v>
      </c>
      <c r="AY18" s="22">
        <f ca="1">+GETPIVOTDATA("XDB4",'dabac (2016)'!$A$3,"MA_HT","NKH","MA_QH","DSH")</f>
        <v>0</v>
      </c>
      <c r="AZ18" s="22">
        <f ca="1">+GETPIVOTDATA("XDB4",'dabac (2016)'!$A$3,"MA_HT","NKH","MA_QH","DKV")</f>
        <v>0</v>
      </c>
      <c r="BA18" s="89">
        <f ca="1">+GETPIVOTDATA("XDB4",'dabac (2016)'!$A$3,"MA_HT","NKH","MA_QH","TIN")</f>
        <v>0</v>
      </c>
      <c r="BB18" s="50">
        <f ca="1">+GETPIVOTDATA("XDB4",'dabac (2016)'!$A$3,"MA_HT","NKH","MA_QH","SON")</f>
        <v>0</v>
      </c>
      <c r="BC18" s="50">
        <f ca="1">+GETPIVOTDATA("XDB4",'dabac (2016)'!$A$3,"MA_HT","NKH","MA_QH","MNC")</f>
        <v>0</v>
      </c>
      <c r="BD18" s="22">
        <f ca="1">+GETPIVOTDATA("XDB4",'dabac (2016)'!$A$3,"MA_HT","NKH","MA_QH","PNK")</f>
        <v>0</v>
      </c>
      <c r="BE18" s="71">
        <f ca="1">+GETPIVOTDATA("XDB4",'dabac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+GETPIVOTDATA("XDB4",'dabac (2016)'!$A$3,"MA_HT","CQP","MA_QH","LUC")</f>
        <v>0</v>
      </c>
      <c r="H20" s="22">
        <f ca="1">+GETPIVOTDATA("XDB4",'dabac (2016)'!$A$3,"MA_HT","CQP","MA_QH","LUK")</f>
        <v>0</v>
      </c>
      <c r="I20" s="22">
        <f ca="1">+GETPIVOTDATA("XDB4",'dabac (2016)'!$A$3,"MA_HT","CQP","MA_QH","LUN")</f>
        <v>0</v>
      </c>
      <c r="J20" s="22">
        <f ca="1">+GETPIVOTDATA("XDB4",'dabac (2016)'!$A$3,"MA_HT","CQP","MA_QH","HNK")</f>
        <v>0</v>
      </c>
      <c r="K20" s="22">
        <f ca="1">+GETPIVOTDATA("XDB4",'dabac (2016)'!$A$3,"MA_HT","CQP","MA_QH","CLN")</f>
        <v>0</v>
      </c>
      <c r="L20" s="22">
        <f ca="1">+GETPIVOTDATA("XDB4",'dabac (2016)'!$A$3,"MA_HT","CQP","MA_QH","RSX")</f>
        <v>0</v>
      </c>
      <c r="M20" s="22">
        <f ca="1">+GETPIVOTDATA("XDB4",'dabac (2016)'!$A$3,"MA_HT","CQP","MA_QH","RPH")</f>
        <v>0</v>
      </c>
      <c r="N20" s="22">
        <f ca="1">+GETPIVOTDATA("XDB4",'dabac (2016)'!$A$3,"MA_HT","CQP","MA_QH","RDD")</f>
        <v>0</v>
      </c>
      <c r="O20" s="22">
        <f ca="1">+GETPIVOTDATA("XDB4",'dabac (2016)'!$A$3,"MA_HT","CQP","MA_QH","NTS")</f>
        <v>0</v>
      </c>
      <c r="P20" s="22">
        <f ca="1">+GETPIVOTDATA("XDB4",'dabac (2016)'!$A$3,"MA_HT","CQP","MA_QH","LMU")</f>
        <v>0</v>
      </c>
      <c r="Q20" s="22">
        <f ca="1">+GETPIVOTDATA("XDB4",'dabac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+GETPIVOTDATA("XDB4",'dabac (2016)'!$A$3,"MA_HT","CQP","MA_QH","CAN")</f>
        <v>0</v>
      </c>
      <c r="U20" s="22">
        <f ca="1">+GETPIVOTDATA("XDB4",'dabac (2016)'!$A$3,"MA_HT","CQP","MA_QH","SKK")</f>
        <v>0</v>
      </c>
      <c r="V20" s="22">
        <f ca="1">+GETPIVOTDATA("XDB4",'dabac (2016)'!$A$3,"MA_HT","CQP","MA_QH","SKT")</f>
        <v>0</v>
      </c>
      <c r="W20" s="22">
        <f ca="1">+GETPIVOTDATA("XDB4",'dabac (2016)'!$A$3,"MA_HT","CQP","MA_QH","SKN")</f>
        <v>0</v>
      </c>
      <c r="X20" s="22">
        <f ca="1">+GETPIVOTDATA("XDB4",'dabac (2016)'!$A$3,"MA_HT","CQP","MA_QH","TMD")</f>
        <v>0</v>
      </c>
      <c r="Y20" s="22">
        <f ca="1">+GETPIVOTDATA("XDB4",'dabac (2016)'!$A$3,"MA_HT","CQP","MA_QH","SKC")</f>
        <v>0</v>
      </c>
      <c r="Z20" s="22">
        <f ca="1">+GETPIVOTDATA("XDB4",'dabac (2016)'!$A$3,"MA_HT","CQP","MA_QH","SKS")</f>
        <v>0</v>
      </c>
      <c r="AA20" s="52">
        <f ca="1" t="shared" ref="AA20:AA27" si="12">+SUM(AB20:AM20)</f>
        <v>0</v>
      </c>
      <c r="AB20" s="22">
        <f ca="1">+GETPIVOTDATA("XDB4",'dabac (2016)'!$A$3,"MA_HT","CQP","MA_QH","DGT")</f>
        <v>0</v>
      </c>
      <c r="AC20" s="22">
        <f ca="1">+GETPIVOTDATA("XDB4",'dabac (2016)'!$A$3,"MA_HT","CQP","MA_QH","DTL")</f>
        <v>0</v>
      </c>
      <c r="AD20" s="22">
        <f ca="1">+GETPIVOTDATA("XDB4",'dabac (2016)'!$A$3,"MA_HT","CQP","MA_QH","DNL")</f>
        <v>0</v>
      </c>
      <c r="AE20" s="22">
        <f ca="1">+GETPIVOTDATA("XDB4",'dabac (2016)'!$A$3,"MA_HT","CQP","MA_QH","DBV")</f>
        <v>0</v>
      </c>
      <c r="AF20" s="22">
        <f ca="1">+GETPIVOTDATA("XDB4",'dabac (2016)'!$A$3,"MA_HT","CQP","MA_QH","DVH")</f>
        <v>0</v>
      </c>
      <c r="AG20" s="22">
        <f ca="1">+GETPIVOTDATA("XDB4",'dabac (2016)'!$A$3,"MA_HT","CQP","MA_QH","DYT")</f>
        <v>0</v>
      </c>
      <c r="AH20" s="22">
        <f ca="1">+GETPIVOTDATA("XDB4",'dabac (2016)'!$A$3,"MA_HT","CQP","MA_QH","DGD")</f>
        <v>0</v>
      </c>
      <c r="AI20" s="22">
        <f ca="1">+GETPIVOTDATA("XDB4",'dabac (2016)'!$A$3,"MA_HT","CQP","MA_QH","DTT")</f>
        <v>0</v>
      </c>
      <c r="AJ20" s="22">
        <f ca="1">+GETPIVOTDATA("XDB4",'dabac (2016)'!$A$3,"MA_HT","CQP","MA_QH","NCK")</f>
        <v>0</v>
      </c>
      <c r="AK20" s="22">
        <f ca="1">+GETPIVOTDATA("XDB4",'dabac (2016)'!$A$3,"MA_HT","CQP","MA_QH","DXH")</f>
        <v>0</v>
      </c>
      <c r="AL20" s="22">
        <f ca="1">+GETPIVOTDATA("XDB4",'dabac (2016)'!$A$3,"MA_HT","CQP","MA_QH","DCH")</f>
        <v>0</v>
      </c>
      <c r="AM20" s="22">
        <f ca="1">+GETPIVOTDATA("XDB4",'dabac (2016)'!$A$3,"MA_HT","CQP","MA_QH","DKG")</f>
        <v>0</v>
      </c>
      <c r="AN20" s="22">
        <f ca="1">+GETPIVOTDATA("XDB4",'dabac (2016)'!$A$3,"MA_HT","CQP","MA_QH","DDT")</f>
        <v>0</v>
      </c>
      <c r="AO20" s="22">
        <f ca="1">+GETPIVOTDATA("XDB4",'dabac (2016)'!$A$3,"MA_HT","CQP","MA_QH","DDL")</f>
        <v>0</v>
      </c>
      <c r="AP20" s="22">
        <f ca="1">+GETPIVOTDATA("XDB4",'dabac (2016)'!$A$3,"MA_HT","CQP","MA_QH","DRA")</f>
        <v>0</v>
      </c>
      <c r="AQ20" s="22">
        <f ca="1">+GETPIVOTDATA("XDB4",'dabac (2016)'!$A$3,"MA_HT","CQP","MA_QH","ONT")</f>
        <v>0</v>
      </c>
      <c r="AR20" s="22">
        <f ca="1">+GETPIVOTDATA("XDB4",'dabac (2016)'!$A$3,"MA_HT","CQP","MA_QH","ODT")</f>
        <v>0</v>
      </c>
      <c r="AS20" s="22">
        <f ca="1">+GETPIVOTDATA("XDB4",'dabac (2016)'!$A$3,"MA_HT","CQP","MA_QH","TSC")</f>
        <v>0</v>
      </c>
      <c r="AT20" s="22">
        <f ca="1">+GETPIVOTDATA("XDB4",'dabac (2016)'!$A$3,"MA_HT","CQP","MA_QH","DTS")</f>
        <v>0</v>
      </c>
      <c r="AU20" s="22">
        <f ca="1">+GETPIVOTDATA("XDB4",'dabac (2016)'!$A$3,"MA_HT","CQP","MA_QH","DNG")</f>
        <v>0</v>
      </c>
      <c r="AV20" s="22">
        <f ca="1">+GETPIVOTDATA("XDB4",'dabac (2016)'!$A$3,"MA_HT","CQP","MA_QH","TON")</f>
        <v>0</v>
      </c>
      <c r="AW20" s="22">
        <f ca="1">+GETPIVOTDATA("XDB4",'dabac (2016)'!$A$3,"MA_HT","CQP","MA_QH","NTD")</f>
        <v>0</v>
      </c>
      <c r="AX20" s="22">
        <f ca="1">+GETPIVOTDATA("XDB4",'dabac (2016)'!$A$3,"MA_HT","CQP","MA_QH","SKX")</f>
        <v>0</v>
      </c>
      <c r="AY20" s="22">
        <f ca="1">+GETPIVOTDATA("XDB4",'dabac (2016)'!$A$3,"MA_HT","CQP","MA_QH","DSH")</f>
        <v>0</v>
      </c>
      <c r="AZ20" s="22">
        <f ca="1">+GETPIVOTDATA("XDB4",'dabac (2016)'!$A$3,"MA_HT","CQP","MA_QH","DKV")</f>
        <v>0</v>
      </c>
      <c r="BA20" s="89">
        <f ca="1">+GETPIVOTDATA("XDB4",'dabac (2016)'!$A$3,"MA_HT","CQP","MA_QH","TIN")</f>
        <v>0</v>
      </c>
      <c r="BB20" s="50">
        <f ca="1">+GETPIVOTDATA("XDB4",'dabac (2016)'!$A$3,"MA_HT","CQP","MA_QH","SON")</f>
        <v>0</v>
      </c>
      <c r="BC20" s="50">
        <f ca="1">+GETPIVOTDATA("XDB4",'dabac (2016)'!$A$3,"MA_HT","CQP","MA_QH","MNC")</f>
        <v>0</v>
      </c>
      <c r="BD20" s="22">
        <f ca="1">+GETPIVOTDATA("XDB4",'dabac (2016)'!$A$3,"MA_HT","CQP","MA_QH","PNK")</f>
        <v>0</v>
      </c>
      <c r="BE20" s="71">
        <f ca="1">+GETPIVOTDATA("XDB4",'dabac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+GETPIVOTDATA("XDB4",'dabac (2016)'!$A$3,"MA_HT","CAN","MA_QH","LUC")</f>
        <v>0</v>
      </c>
      <c r="H21" s="22">
        <f ca="1">+GETPIVOTDATA("XDB4",'dabac (2016)'!$A$3,"MA_HT","CAN","MA_QH","LUK")</f>
        <v>0</v>
      </c>
      <c r="I21" s="22">
        <f ca="1">+GETPIVOTDATA("XDB4",'dabac (2016)'!$A$3,"MA_HT","CAN","MA_QH","LUN")</f>
        <v>0</v>
      </c>
      <c r="J21" s="22">
        <f ca="1">+GETPIVOTDATA("XDB4",'dabac (2016)'!$A$3,"MA_HT","CAN","MA_QH","HNK")</f>
        <v>0</v>
      </c>
      <c r="K21" s="22">
        <f ca="1">+GETPIVOTDATA("XDB4",'dabac (2016)'!$A$3,"MA_HT","CAN","MA_QH","CLN")</f>
        <v>0</v>
      </c>
      <c r="L21" s="22">
        <f ca="1">+GETPIVOTDATA("XDB4",'dabac (2016)'!$A$3,"MA_HT","CAN","MA_QH","RSX")</f>
        <v>0</v>
      </c>
      <c r="M21" s="22">
        <f ca="1">+GETPIVOTDATA("XDB4",'dabac (2016)'!$A$3,"MA_HT","CAN","MA_QH","RPH")</f>
        <v>0</v>
      </c>
      <c r="N21" s="22">
        <f ca="1">+GETPIVOTDATA("XDB4",'dabac (2016)'!$A$3,"MA_HT","CAN","MA_QH","RDD")</f>
        <v>0</v>
      </c>
      <c r="O21" s="22">
        <f ca="1">+GETPIVOTDATA("XDB4",'dabac (2016)'!$A$3,"MA_HT","CAN","MA_QH","NTS")</f>
        <v>0</v>
      </c>
      <c r="P21" s="22">
        <f ca="1">+GETPIVOTDATA("XDB4",'dabac (2016)'!$A$3,"MA_HT","CAN","MA_QH","LMU")</f>
        <v>0</v>
      </c>
      <c r="Q21" s="22">
        <f ca="1">+GETPIVOTDATA("XDB4",'dabac (2016)'!$A$3,"MA_HT","CAN","MA_QH","NKH")</f>
        <v>0</v>
      </c>
      <c r="R21" s="42">
        <f ca="1">SUM(S21,U21:AA21,AN21:BD21)</f>
        <v>0</v>
      </c>
      <c r="S21" s="22">
        <f ca="1">+GETPIVOTDATA("XDB4",'dabac (2016)'!$A$3,"MA_HT","CAN","MA_QH","CQP")</f>
        <v>0</v>
      </c>
      <c r="T21" s="43" t="e">
        <f ca="1">$D21-$BF21</f>
        <v>#REF!</v>
      </c>
      <c r="U21" s="22">
        <f ca="1">+GETPIVOTDATA("XDB4",'dabac (2016)'!$A$3,"MA_HT","CAN","MA_QH","SKK")</f>
        <v>0</v>
      </c>
      <c r="V21" s="22">
        <f ca="1">+GETPIVOTDATA("XDB4",'dabac (2016)'!$A$3,"MA_HT","CAN","MA_QH","SKT")</f>
        <v>0</v>
      </c>
      <c r="W21" s="22">
        <f ca="1">+GETPIVOTDATA("XDB4",'dabac (2016)'!$A$3,"MA_HT","CAN","MA_QH","SKN")</f>
        <v>0</v>
      </c>
      <c r="X21" s="22">
        <f ca="1">+GETPIVOTDATA("XDB4",'dabac (2016)'!$A$3,"MA_HT","CAN","MA_QH","TMD")</f>
        <v>0</v>
      </c>
      <c r="Y21" s="22">
        <f ca="1">+GETPIVOTDATA("XDB4",'dabac (2016)'!$A$3,"MA_HT","CAN","MA_QH","SKC")</f>
        <v>0</v>
      </c>
      <c r="Z21" s="22">
        <f ca="1">+GETPIVOTDATA("XDB4",'dabac (2016)'!$A$3,"MA_HT","CAN","MA_QH","SKS")</f>
        <v>0</v>
      </c>
      <c r="AA21" s="52">
        <f ca="1" t="shared" si="12"/>
        <v>0</v>
      </c>
      <c r="AB21" s="22">
        <f ca="1">+GETPIVOTDATA("XDB4",'dabac (2016)'!$A$3,"MA_HT","CAN","MA_QH","DGT")</f>
        <v>0</v>
      </c>
      <c r="AC21" s="22">
        <f ca="1">+GETPIVOTDATA("XDB4",'dabac (2016)'!$A$3,"MA_HT","CAN","MA_QH","DTL")</f>
        <v>0</v>
      </c>
      <c r="AD21" s="22">
        <f ca="1">+GETPIVOTDATA("XDB4",'dabac (2016)'!$A$3,"MA_HT","CAN","MA_QH","DNL")</f>
        <v>0</v>
      </c>
      <c r="AE21" s="22">
        <f ca="1">+GETPIVOTDATA("XDB4",'dabac (2016)'!$A$3,"MA_HT","CAN","MA_QH","DBV")</f>
        <v>0</v>
      </c>
      <c r="AF21" s="22">
        <f ca="1">+GETPIVOTDATA("XDB4",'dabac (2016)'!$A$3,"MA_HT","CAN","MA_QH","DVH")</f>
        <v>0</v>
      </c>
      <c r="AG21" s="22">
        <f ca="1">+GETPIVOTDATA("XDB4",'dabac (2016)'!$A$3,"MA_HT","CAN","MA_QH","DYT")</f>
        <v>0</v>
      </c>
      <c r="AH21" s="22">
        <f ca="1">+GETPIVOTDATA("XDB4",'dabac (2016)'!$A$3,"MA_HT","CAN","MA_QH","DGD")</f>
        <v>0</v>
      </c>
      <c r="AI21" s="22">
        <f ca="1">+GETPIVOTDATA("XDB4",'dabac (2016)'!$A$3,"MA_HT","CAN","MA_QH","DTT")</f>
        <v>0</v>
      </c>
      <c r="AJ21" s="22">
        <f ca="1">+GETPIVOTDATA("XDB4",'dabac (2016)'!$A$3,"MA_HT","CAN","MA_QH","NCK")</f>
        <v>0</v>
      </c>
      <c r="AK21" s="22">
        <f ca="1">+GETPIVOTDATA("XDB4",'dabac (2016)'!$A$3,"MA_HT","CAN","MA_QH","DXH")</f>
        <v>0</v>
      </c>
      <c r="AL21" s="22">
        <f ca="1">+GETPIVOTDATA("XDB4",'dabac (2016)'!$A$3,"MA_HT","CAN","MA_QH","DCH")</f>
        <v>0</v>
      </c>
      <c r="AM21" s="22">
        <f ca="1">+GETPIVOTDATA("XDB4",'dabac (2016)'!$A$3,"MA_HT","CAN","MA_QH","DKG")</f>
        <v>0</v>
      </c>
      <c r="AN21" s="22">
        <f ca="1">+GETPIVOTDATA("XDB4",'dabac (2016)'!$A$3,"MA_HT","CAN","MA_QH","DDT")</f>
        <v>0</v>
      </c>
      <c r="AO21" s="22">
        <f ca="1">+GETPIVOTDATA("XDB4",'dabac (2016)'!$A$3,"MA_HT","CAN","MA_QH","DDL")</f>
        <v>0</v>
      </c>
      <c r="AP21" s="22">
        <f ca="1">+GETPIVOTDATA("XDB4",'dabac (2016)'!$A$3,"MA_HT","CAN","MA_QH","DRA")</f>
        <v>0</v>
      </c>
      <c r="AQ21" s="22">
        <f ca="1">+GETPIVOTDATA("XDB4",'dabac (2016)'!$A$3,"MA_HT","CAN","MA_QH","ONT")</f>
        <v>0</v>
      </c>
      <c r="AR21" s="22">
        <f ca="1">+GETPIVOTDATA("XDB4",'dabac (2016)'!$A$3,"MA_HT","CAN","MA_QH","ODT")</f>
        <v>0</v>
      </c>
      <c r="AS21" s="22">
        <f ca="1">+GETPIVOTDATA("XDB4",'dabac (2016)'!$A$3,"MA_HT","CAN","MA_QH","TSC")</f>
        <v>0</v>
      </c>
      <c r="AT21" s="22">
        <f ca="1">+GETPIVOTDATA("XDB4",'dabac (2016)'!$A$3,"MA_HT","CAN","MA_QH","DTS")</f>
        <v>0</v>
      </c>
      <c r="AU21" s="22">
        <f ca="1">+GETPIVOTDATA("XDB4",'dabac (2016)'!$A$3,"MA_HT","CAN","MA_QH","DNG")</f>
        <v>0</v>
      </c>
      <c r="AV21" s="22">
        <f ca="1">+GETPIVOTDATA("XDB4",'dabac (2016)'!$A$3,"MA_HT","CAN","MA_QH","TON")</f>
        <v>0</v>
      </c>
      <c r="AW21" s="22">
        <f ca="1">+GETPIVOTDATA("XDB4",'dabac (2016)'!$A$3,"MA_HT","CAN","MA_QH","NTD")</f>
        <v>0</v>
      </c>
      <c r="AX21" s="22">
        <f ca="1">+GETPIVOTDATA("XDB4",'dabac (2016)'!$A$3,"MA_HT","CAN","MA_QH","SKX")</f>
        <v>0</v>
      </c>
      <c r="AY21" s="22">
        <f ca="1">+GETPIVOTDATA("XDB4",'dabac (2016)'!$A$3,"MA_HT","CAN","MA_QH","DSH")</f>
        <v>0</v>
      </c>
      <c r="AZ21" s="22">
        <f ca="1">+GETPIVOTDATA("XDB4",'dabac (2016)'!$A$3,"MA_HT","CAN","MA_QH","DKV")</f>
        <v>0</v>
      </c>
      <c r="BA21" s="89">
        <f ca="1">+GETPIVOTDATA("XDB4",'dabac (2016)'!$A$3,"MA_HT","CAN","MA_QH","TIN")</f>
        <v>0</v>
      </c>
      <c r="BB21" s="50">
        <f ca="1">+GETPIVOTDATA("XDB4",'dabac (2016)'!$A$3,"MA_HT","CAN","MA_QH","SON")</f>
        <v>0</v>
      </c>
      <c r="BC21" s="50">
        <f ca="1">+GETPIVOTDATA("XDB4",'dabac (2016)'!$A$3,"MA_HT","CAN","MA_QH","MNC")</f>
        <v>0</v>
      </c>
      <c r="BD21" s="22">
        <f ca="1">+GETPIVOTDATA("XDB4",'dabac (2016)'!$A$3,"MA_HT","CAN","MA_QH","PNK")</f>
        <v>0</v>
      </c>
      <c r="BE21" s="71">
        <f ca="1">+GETPIVOTDATA("XDB4",'dabac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+GETPIVOTDATA("XDB4",'dabac (2016)'!$A$3,"MA_HT","SKK","MA_QH","LUC")</f>
        <v>0</v>
      </c>
      <c r="H22" s="22">
        <f ca="1">+GETPIVOTDATA("XDB4",'dabac (2016)'!$A$3,"MA_HT","SKK","MA_QH","LUK")</f>
        <v>0</v>
      </c>
      <c r="I22" s="22">
        <f ca="1">+GETPIVOTDATA("XDB4",'dabac (2016)'!$A$3,"MA_HT","SKK","MA_QH","LUN")</f>
        <v>0</v>
      </c>
      <c r="J22" s="22">
        <f ca="1">+GETPIVOTDATA("XDB4",'dabac (2016)'!$A$3,"MA_HT","SKK","MA_QH","HNK")</f>
        <v>0</v>
      </c>
      <c r="K22" s="22">
        <f ca="1">+GETPIVOTDATA("XDB4",'dabac (2016)'!$A$3,"MA_HT","SKK","MA_QH","CLN")</f>
        <v>0</v>
      </c>
      <c r="L22" s="22">
        <f ca="1">+GETPIVOTDATA("XDB4",'dabac (2016)'!$A$3,"MA_HT","SKK","MA_QH","RSX")</f>
        <v>0</v>
      </c>
      <c r="M22" s="22">
        <f ca="1">+GETPIVOTDATA("XDB4",'dabac (2016)'!$A$3,"MA_HT","SKK","MA_QH","RPH")</f>
        <v>0</v>
      </c>
      <c r="N22" s="22">
        <f ca="1">+GETPIVOTDATA("XDB4",'dabac (2016)'!$A$3,"MA_HT","SKK","MA_QH","RDD")</f>
        <v>0</v>
      </c>
      <c r="O22" s="22">
        <f ca="1">+GETPIVOTDATA("XDB4",'dabac (2016)'!$A$3,"MA_HT","SKK","MA_QH","NTS")</f>
        <v>0</v>
      </c>
      <c r="P22" s="22">
        <f ca="1">+GETPIVOTDATA("XDB4",'dabac (2016)'!$A$3,"MA_HT","SKK","MA_QH","LMU")</f>
        <v>0</v>
      </c>
      <c r="Q22" s="22">
        <f ca="1">+GETPIVOTDATA("XDB4",'dabac (2016)'!$A$3,"MA_HT","SKK","MA_QH","NKH")</f>
        <v>0</v>
      </c>
      <c r="R22" s="42">
        <f ca="1">SUM(S22:T22,V22:AA22,AN22:BD22)</f>
        <v>0</v>
      </c>
      <c r="S22" s="22">
        <f ca="1">+GETPIVOTDATA("XDB4",'dabac (2016)'!$A$3,"MA_HT","SKK","MA_QH","CQP")</f>
        <v>0</v>
      </c>
      <c r="T22" s="22">
        <f ca="1">+GETPIVOTDATA("XDB4",'dabac (2016)'!$A$3,"MA_HT","SKK","MA_QH","CAN")</f>
        <v>0</v>
      </c>
      <c r="U22" s="43" t="e">
        <f ca="1">$D22-$BF22</f>
        <v>#REF!</v>
      </c>
      <c r="V22" s="22">
        <f ca="1">+GETPIVOTDATA("XDB4",'dabac (2016)'!$A$3,"MA_HT","SKK","MA_QH","SKT")</f>
        <v>0</v>
      </c>
      <c r="W22" s="22">
        <f ca="1">+GETPIVOTDATA("XDB4",'dabac (2016)'!$A$3,"MA_HT","SKK","MA_QH","SKN")</f>
        <v>0</v>
      </c>
      <c r="X22" s="22">
        <f ca="1">+GETPIVOTDATA("XDB4",'dabac (2016)'!$A$3,"MA_HT","SKK","MA_QH","TMD")</f>
        <v>0</v>
      </c>
      <c r="Y22" s="22">
        <f ca="1">+GETPIVOTDATA("XDB4",'dabac (2016)'!$A$3,"MA_HT","SKK","MA_QH","SKC")</f>
        <v>0</v>
      </c>
      <c r="Z22" s="22">
        <f ca="1">+GETPIVOTDATA("XDB4",'dabac (2016)'!$A$3,"MA_HT","SKK","MA_QH","SKS")</f>
        <v>0</v>
      </c>
      <c r="AA22" s="52">
        <f ca="1" t="shared" si="12"/>
        <v>0</v>
      </c>
      <c r="AB22" s="22">
        <f ca="1">+GETPIVOTDATA("XDB4",'dabac (2016)'!$A$3,"MA_HT","SKK","MA_QH","DGT")</f>
        <v>0</v>
      </c>
      <c r="AC22" s="22">
        <f ca="1">+GETPIVOTDATA("XDB4",'dabac (2016)'!$A$3,"MA_HT","SKK","MA_QH","DTL")</f>
        <v>0</v>
      </c>
      <c r="AD22" s="22">
        <f ca="1">+GETPIVOTDATA("XDB4",'dabac (2016)'!$A$3,"MA_HT","SKK","MA_QH","DNL")</f>
        <v>0</v>
      </c>
      <c r="AE22" s="22">
        <f ca="1">+GETPIVOTDATA("XDB4",'dabac (2016)'!$A$3,"MA_HT","SKK","MA_QH","DBV")</f>
        <v>0</v>
      </c>
      <c r="AF22" s="22">
        <f ca="1">+GETPIVOTDATA("XDB4",'dabac (2016)'!$A$3,"MA_HT","SKK","MA_QH","DVH")</f>
        <v>0</v>
      </c>
      <c r="AG22" s="22">
        <f ca="1">+GETPIVOTDATA("XDB4",'dabac (2016)'!$A$3,"MA_HT","SKK","MA_QH","DYT")</f>
        <v>0</v>
      </c>
      <c r="AH22" s="22">
        <f ca="1">+GETPIVOTDATA("XDB4",'dabac (2016)'!$A$3,"MA_HT","SKK","MA_QH","DGD")</f>
        <v>0</v>
      </c>
      <c r="AI22" s="22">
        <f ca="1">+GETPIVOTDATA("XDB4",'dabac (2016)'!$A$3,"MA_HT","SKK","MA_QH","DTT")</f>
        <v>0</v>
      </c>
      <c r="AJ22" s="22">
        <f ca="1">+GETPIVOTDATA("XDB4",'dabac (2016)'!$A$3,"MA_HT","SKK","MA_QH","NCK")</f>
        <v>0</v>
      </c>
      <c r="AK22" s="22">
        <f ca="1">+GETPIVOTDATA("XDB4",'dabac (2016)'!$A$3,"MA_HT","SKK","MA_QH","DXH")</f>
        <v>0</v>
      </c>
      <c r="AL22" s="22">
        <f ca="1">+GETPIVOTDATA("XDB4",'dabac (2016)'!$A$3,"MA_HT","SKK","MA_QH","DCH")</f>
        <v>0</v>
      </c>
      <c r="AM22" s="22">
        <f ca="1">+GETPIVOTDATA("XDB4",'dabac (2016)'!$A$3,"MA_HT","SKK","MA_QH","DKG")</f>
        <v>0</v>
      </c>
      <c r="AN22" s="22">
        <f ca="1">+GETPIVOTDATA("XDB4",'dabac (2016)'!$A$3,"MA_HT","SKK","MA_QH","DDT")</f>
        <v>0</v>
      </c>
      <c r="AO22" s="22">
        <f ca="1">+GETPIVOTDATA("XDB4",'dabac (2016)'!$A$3,"MA_HT","SKK","MA_QH","DDL")</f>
        <v>0</v>
      </c>
      <c r="AP22" s="22">
        <f ca="1">+GETPIVOTDATA("XDB4",'dabac (2016)'!$A$3,"MA_HT","SKK","MA_QH","DRA")</f>
        <v>0</v>
      </c>
      <c r="AQ22" s="22">
        <f ca="1">+GETPIVOTDATA("XDB4",'dabac (2016)'!$A$3,"MA_HT","SKK","MA_QH","ONT")</f>
        <v>0</v>
      </c>
      <c r="AR22" s="22">
        <f ca="1">+GETPIVOTDATA("XDB4",'dabac (2016)'!$A$3,"MA_HT","SKK","MA_QH","ODT")</f>
        <v>0</v>
      </c>
      <c r="AS22" s="22">
        <f ca="1">+GETPIVOTDATA("XDB4",'dabac (2016)'!$A$3,"MA_HT","SKK","MA_QH","TSC")</f>
        <v>0</v>
      </c>
      <c r="AT22" s="22">
        <f ca="1">+GETPIVOTDATA("XDB4",'dabac (2016)'!$A$3,"MA_HT","SKK","MA_QH","DTS")</f>
        <v>0</v>
      </c>
      <c r="AU22" s="22">
        <f ca="1">+GETPIVOTDATA("XDB4",'dabac (2016)'!$A$3,"MA_HT","SKK","MA_QH","DNG")</f>
        <v>0</v>
      </c>
      <c r="AV22" s="22">
        <f ca="1">+GETPIVOTDATA("XDB4",'dabac (2016)'!$A$3,"MA_HT","SKK","MA_QH","TON")</f>
        <v>0</v>
      </c>
      <c r="AW22" s="22">
        <f ca="1">+GETPIVOTDATA("XDB4",'dabac (2016)'!$A$3,"MA_HT","SKK","MA_QH","NTD")</f>
        <v>0</v>
      </c>
      <c r="AX22" s="22">
        <f ca="1">+GETPIVOTDATA("XDB4",'dabac (2016)'!$A$3,"MA_HT","SKK","MA_QH","SKX")</f>
        <v>0</v>
      </c>
      <c r="AY22" s="22">
        <f ca="1">+GETPIVOTDATA("XDB4",'dabac (2016)'!$A$3,"MA_HT","SKK","MA_QH","DSH")</f>
        <v>0</v>
      </c>
      <c r="AZ22" s="22">
        <f ca="1">+GETPIVOTDATA("XDB4",'dabac (2016)'!$A$3,"MA_HT","SKK","MA_QH","DKV")</f>
        <v>0</v>
      </c>
      <c r="BA22" s="89">
        <f ca="1">+GETPIVOTDATA("XDB4",'dabac (2016)'!$A$3,"MA_HT","SKK","MA_QH","TIN")</f>
        <v>0</v>
      </c>
      <c r="BB22" s="50">
        <f ca="1">+GETPIVOTDATA("XDB4",'dabac (2016)'!$A$3,"MA_HT","SKK","MA_QH","SON")</f>
        <v>0</v>
      </c>
      <c r="BC22" s="50">
        <f ca="1">+GETPIVOTDATA("XDB4",'dabac (2016)'!$A$3,"MA_HT","SKK","MA_QH","MNC")</f>
        <v>0</v>
      </c>
      <c r="BD22" s="22">
        <f ca="1">+GETPIVOTDATA("XDB4",'dabac (2016)'!$A$3,"MA_HT","SKK","MA_QH","PNK")</f>
        <v>0</v>
      </c>
      <c r="BE22" s="71">
        <f ca="1">+GETPIVOTDATA("XDB4",'dabac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+GETPIVOTDATA("XDB4",'dabac (2016)'!$A$3,"MA_HT","SKT","MA_QH","LUC")</f>
        <v>0</v>
      </c>
      <c r="H23" s="22">
        <f ca="1">+GETPIVOTDATA("XDB4",'dabac (2016)'!$A$3,"MA_HT","SKT","MA_QH","LUK")</f>
        <v>0</v>
      </c>
      <c r="I23" s="22">
        <f ca="1">+GETPIVOTDATA("XDB4",'dabac (2016)'!$A$3,"MA_HT","SKT","MA_QH","LUN")</f>
        <v>0</v>
      </c>
      <c r="J23" s="22">
        <f ca="1">+GETPIVOTDATA("XDB4",'dabac (2016)'!$A$3,"MA_HT","SKT","MA_QH","HNK")</f>
        <v>0</v>
      </c>
      <c r="K23" s="22">
        <f ca="1">+GETPIVOTDATA("XDB4",'dabac (2016)'!$A$3,"MA_HT","SKT","MA_QH","CLN")</f>
        <v>0</v>
      </c>
      <c r="L23" s="22">
        <f ca="1">+GETPIVOTDATA("XDB4",'dabac (2016)'!$A$3,"MA_HT","SKT","MA_QH","RSX")</f>
        <v>0</v>
      </c>
      <c r="M23" s="22">
        <f ca="1">+GETPIVOTDATA("XDB4",'dabac (2016)'!$A$3,"MA_HT","SKT","MA_QH","RPH")</f>
        <v>0</v>
      </c>
      <c r="N23" s="22">
        <f ca="1">+GETPIVOTDATA("XDB4",'dabac (2016)'!$A$3,"MA_HT","SKT","MA_QH","RDD")</f>
        <v>0</v>
      </c>
      <c r="O23" s="22">
        <f ca="1">+GETPIVOTDATA("XDB4",'dabac (2016)'!$A$3,"MA_HT","SKT","MA_QH","NTS")</f>
        <v>0</v>
      </c>
      <c r="P23" s="22">
        <f ca="1">+GETPIVOTDATA("XDB4",'dabac (2016)'!$A$3,"MA_HT","SKT","MA_QH","LMU")</f>
        <v>0</v>
      </c>
      <c r="Q23" s="22">
        <f ca="1">+GETPIVOTDATA("XDB4",'dabac (2016)'!$A$3,"MA_HT","SKT","MA_QH","NKH")</f>
        <v>0</v>
      </c>
      <c r="R23" s="42">
        <f ca="1">SUM(S23:U23,W23:AA23,AN23:BD23)</f>
        <v>0</v>
      </c>
      <c r="S23" s="22">
        <f ca="1">+GETPIVOTDATA("XDB4",'dabac (2016)'!$A$3,"MA_HT","SKT","MA_QH","CQP")</f>
        <v>0</v>
      </c>
      <c r="T23" s="22">
        <f ca="1">+GETPIVOTDATA("XDB4",'dabac (2016)'!$A$3,"MA_HT","SKT","MA_QH","CAN")</f>
        <v>0</v>
      </c>
      <c r="U23" s="22">
        <f ca="1">+GETPIVOTDATA("XDB4",'dabac (2016)'!$A$3,"MA_HT","SKT","MA_QH","SKK")</f>
        <v>0</v>
      </c>
      <c r="V23" s="43" t="e">
        <f ca="1">$D23-$BF23</f>
        <v>#REF!</v>
      </c>
      <c r="W23" s="22">
        <f ca="1">+GETPIVOTDATA("XDB4",'dabac (2016)'!$A$3,"MA_HT","SKT","MA_QH","SKN")</f>
        <v>0</v>
      </c>
      <c r="X23" s="22">
        <f ca="1">+GETPIVOTDATA("XDB4",'dabac (2016)'!$A$3,"MA_HT","SKT","MA_QH","TMD")</f>
        <v>0</v>
      </c>
      <c r="Y23" s="22">
        <f ca="1">+GETPIVOTDATA("XDB4",'dabac (2016)'!$A$3,"MA_HT","SKT","MA_QH","SKC")</f>
        <v>0</v>
      </c>
      <c r="Z23" s="22">
        <f ca="1">+GETPIVOTDATA("XDB4",'dabac (2016)'!$A$3,"MA_HT","SKT","MA_QH","SKS")</f>
        <v>0</v>
      </c>
      <c r="AA23" s="52">
        <f ca="1" t="shared" si="12"/>
        <v>0</v>
      </c>
      <c r="AB23" s="22">
        <f ca="1">+GETPIVOTDATA("XDB4",'dabac (2016)'!$A$3,"MA_HT","SKT","MA_QH","DGT")</f>
        <v>0</v>
      </c>
      <c r="AC23" s="22">
        <f ca="1">+GETPIVOTDATA("XDB4",'dabac (2016)'!$A$3,"MA_HT","SKT","MA_QH","DTL")</f>
        <v>0</v>
      </c>
      <c r="AD23" s="22">
        <f ca="1">+GETPIVOTDATA("XDB4",'dabac (2016)'!$A$3,"MA_HT","SKT","MA_QH","DNL")</f>
        <v>0</v>
      </c>
      <c r="AE23" s="22">
        <f ca="1">+GETPIVOTDATA("XDB4",'dabac (2016)'!$A$3,"MA_HT","SKT","MA_QH","DBV")</f>
        <v>0</v>
      </c>
      <c r="AF23" s="22">
        <f ca="1">+GETPIVOTDATA("XDB4",'dabac (2016)'!$A$3,"MA_HT","SKT","MA_QH","DVH")</f>
        <v>0</v>
      </c>
      <c r="AG23" s="22">
        <f ca="1">+GETPIVOTDATA("XDB4",'dabac (2016)'!$A$3,"MA_HT","SKT","MA_QH","DYT")</f>
        <v>0</v>
      </c>
      <c r="AH23" s="22">
        <f ca="1">+GETPIVOTDATA("XDB4",'dabac (2016)'!$A$3,"MA_HT","SKT","MA_QH","DGD")</f>
        <v>0</v>
      </c>
      <c r="AI23" s="22">
        <f ca="1">+GETPIVOTDATA("XDB4",'dabac (2016)'!$A$3,"MA_HT","SKT","MA_QH","DTT")</f>
        <v>0</v>
      </c>
      <c r="AJ23" s="22">
        <f ca="1">+GETPIVOTDATA("XDB4",'dabac (2016)'!$A$3,"MA_HT","SKT","MA_QH","NCK")</f>
        <v>0</v>
      </c>
      <c r="AK23" s="22">
        <f ca="1">+GETPIVOTDATA("XDB4",'dabac (2016)'!$A$3,"MA_HT","SKT","MA_QH","DXH")</f>
        <v>0</v>
      </c>
      <c r="AL23" s="22">
        <f ca="1">+GETPIVOTDATA("XDB4",'dabac (2016)'!$A$3,"MA_HT","SKT","MA_QH","DCH")</f>
        <v>0</v>
      </c>
      <c r="AM23" s="22">
        <f ca="1">+GETPIVOTDATA("XDB4",'dabac (2016)'!$A$3,"MA_HT","SKT","MA_QH","DKG")</f>
        <v>0</v>
      </c>
      <c r="AN23" s="22">
        <f ca="1">+GETPIVOTDATA("XDB4",'dabac (2016)'!$A$3,"MA_HT","SKT","MA_QH","DDT")</f>
        <v>0</v>
      </c>
      <c r="AO23" s="22">
        <f ca="1">+GETPIVOTDATA("XDB4",'dabac (2016)'!$A$3,"MA_HT","SKT","MA_QH","DDL")</f>
        <v>0</v>
      </c>
      <c r="AP23" s="22">
        <f ca="1">+GETPIVOTDATA("XDB4",'dabac (2016)'!$A$3,"MA_HT","SKT","MA_QH","DRA")</f>
        <v>0</v>
      </c>
      <c r="AQ23" s="22">
        <f ca="1">+GETPIVOTDATA("XDB4",'dabac (2016)'!$A$3,"MA_HT","SKT","MA_QH","ONT")</f>
        <v>0</v>
      </c>
      <c r="AR23" s="22">
        <f ca="1">+GETPIVOTDATA("XDB4",'dabac (2016)'!$A$3,"MA_HT","SKT","MA_QH","ODT")</f>
        <v>0</v>
      </c>
      <c r="AS23" s="22">
        <f ca="1">+GETPIVOTDATA("XDB4",'dabac (2016)'!$A$3,"MA_HT","SKT","MA_QH","TSC")</f>
        <v>0</v>
      </c>
      <c r="AT23" s="22">
        <f ca="1">+GETPIVOTDATA("XDB4",'dabac (2016)'!$A$3,"MA_HT","SKT","MA_QH","DTS")</f>
        <v>0</v>
      </c>
      <c r="AU23" s="22">
        <f ca="1">+GETPIVOTDATA("XDB4",'dabac (2016)'!$A$3,"MA_HT","SKT","MA_QH","DNG")</f>
        <v>0</v>
      </c>
      <c r="AV23" s="22">
        <f ca="1">+GETPIVOTDATA("XDB4",'dabac (2016)'!$A$3,"MA_HT","SKT","MA_QH","TON")</f>
        <v>0</v>
      </c>
      <c r="AW23" s="22">
        <f ca="1">+GETPIVOTDATA("XDB4",'dabac (2016)'!$A$3,"MA_HT","SKT","MA_QH","NTD")</f>
        <v>0</v>
      </c>
      <c r="AX23" s="22">
        <f ca="1">+GETPIVOTDATA("XDB4",'dabac (2016)'!$A$3,"MA_HT","SKT","MA_QH","SKX")</f>
        <v>0</v>
      </c>
      <c r="AY23" s="22">
        <f ca="1">+GETPIVOTDATA("XDB4",'dabac (2016)'!$A$3,"MA_HT","SKT","MA_QH","DSH")</f>
        <v>0</v>
      </c>
      <c r="AZ23" s="22">
        <f ca="1">+GETPIVOTDATA("XDB4",'dabac (2016)'!$A$3,"MA_HT","SKT","MA_QH","DKV")</f>
        <v>0</v>
      </c>
      <c r="BA23" s="89">
        <f ca="1">+GETPIVOTDATA("XDB4",'dabac (2016)'!$A$3,"MA_HT","SKT","MA_QH","TIN")</f>
        <v>0</v>
      </c>
      <c r="BB23" s="50">
        <f ca="1">+GETPIVOTDATA("XDB4",'dabac (2016)'!$A$3,"MA_HT","SKT","MA_QH","SON")</f>
        <v>0</v>
      </c>
      <c r="BC23" s="50">
        <f ca="1">+GETPIVOTDATA("XDB4",'dabac (2016)'!$A$3,"MA_HT","SKT","MA_QH","MNC")</f>
        <v>0</v>
      </c>
      <c r="BD23" s="22">
        <f ca="1">+GETPIVOTDATA("XDB4",'dabac (2016)'!$A$3,"MA_HT","SKT","MA_QH","PNK")</f>
        <v>0</v>
      </c>
      <c r="BE23" s="71">
        <f ca="1">+GETPIVOTDATA("XDB4",'dabac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+GETPIVOTDATA("XDB4",'dabac (2016)'!$A$3,"MA_HT","SKN","MA_QH","LUC")</f>
        <v>0</v>
      </c>
      <c r="H24" s="22">
        <f ca="1">+GETPIVOTDATA("XDB4",'dabac (2016)'!$A$3,"MA_HT","SKN","MA_QH","LUK")</f>
        <v>0</v>
      </c>
      <c r="I24" s="22">
        <f ca="1">+GETPIVOTDATA("XDB4",'dabac (2016)'!$A$3,"MA_HT","SKN","MA_QH","LUN")</f>
        <v>0</v>
      </c>
      <c r="J24" s="22">
        <f ca="1">+GETPIVOTDATA("XDB4",'dabac (2016)'!$A$3,"MA_HT","SKN","MA_QH","HNK")</f>
        <v>0</v>
      </c>
      <c r="K24" s="22">
        <f ca="1">+GETPIVOTDATA("XDB4",'dabac (2016)'!$A$3,"MA_HT","SKN","MA_QH","CLN")</f>
        <v>0</v>
      </c>
      <c r="L24" s="22">
        <f ca="1">+GETPIVOTDATA("XDB4",'dabac (2016)'!$A$3,"MA_HT","SKN","MA_QH","RSX")</f>
        <v>0</v>
      </c>
      <c r="M24" s="22">
        <f ca="1">+GETPIVOTDATA("XDB4",'dabac (2016)'!$A$3,"MA_HT","SKN","MA_QH","RPH")</f>
        <v>0</v>
      </c>
      <c r="N24" s="22">
        <f ca="1">+GETPIVOTDATA("XDB4",'dabac (2016)'!$A$3,"MA_HT","SKN","MA_QH","RDD")</f>
        <v>0</v>
      </c>
      <c r="O24" s="22">
        <f ca="1">+GETPIVOTDATA("XDB4",'dabac (2016)'!$A$3,"MA_HT","SKN","MA_QH","NTS")</f>
        <v>0</v>
      </c>
      <c r="P24" s="22">
        <f ca="1">+GETPIVOTDATA("XDB4",'dabac (2016)'!$A$3,"MA_HT","SKN","MA_QH","LMU")</f>
        <v>0</v>
      </c>
      <c r="Q24" s="22">
        <f ca="1">+GETPIVOTDATA("XDB4",'dabac (2016)'!$A$3,"MA_HT","SKN","MA_QH","NKH")</f>
        <v>0</v>
      </c>
      <c r="R24" s="42">
        <f ca="1">SUM(S24:V24,X24:AA24,AN24:BD24)</f>
        <v>0</v>
      </c>
      <c r="S24" s="22">
        <f ca="1">+GETPIVOTDATA("XDB4",'dabac (2016)'!$A$3,"MA_HT","SKN","MA_QH","CQP")</f>
        <v>0</v>
      </c>
      <c r="T24" s="22">
        <f ca="1">+GETPIVOTDATA("XDB4",'dabac (2016)'!$A$3,"MA_HT","SKN","MA_QH","CAN")</f>
        <v>0</v>
      </c>
      <c r="U24" s="22">
        <f ca="1">+GETPIVOTDATA("XDB4",'dabac (2016)'!$A$3,"MA_HT","SKN","MA_QH","SKK")</f>
        <v>0</v>
      </c>
      <c r="V24" s="22">
        <f ca="1">+GETPIVOTDATA("XDB4",'dabac (2016)'!$A$3,"MA_HT","SKN","MA_QH","SKT")</f>
        <v>0</v>
      </c>
      <c r="W24" s="43" t="e">
        <f ca="1">$D24-$BF24</f>
        <v>#REF!</v>
      </c>
      <c r="X24" s="22">
        <f ca="1">+GETPIVOTDATA("XDB4",'dabac (2016)'!$A$3,"MA_HT","SKN","MA_QH","TMD")</f>
        <v>0</v>
      </c>
      <c r="Y24" s="22">
        <f ca="1">+GETPIVOTDATA("XDB4",'dabac (2016)'!$A$3,"MA_HT","SKN","MA_QH","SKC")</f>
        <v>0</v>
      </c>
      <c r="Z24" s="22">
        <f ca="1">+GETPIVOTDATA("XDB4",'dabac (2016)'!$A$3,"MA_HT","SKN","MA_QH","SKS")</f>
        <v>0</v>
      </c>
      <c r="AA24" s="52">
        <f ca="1" t="shared" si="12"/>
        <v>0</v>
      </c>
      <c r="AB24" s="22">
        <f ca="1">+GETPIVOTDATA("XDB4",'dabac (2016)'!$A$3,"MA_HT","SKN","MA_QH","DGT")</f>
        <v>0</v>
      </c>
      <c r="AC24" s="22">
        <f ca="1">+GETPIVOTDATA("XDB4",'dabac (2016)'!$A$3,"MA_HT","SKN","MA_QH","DTL")</f>
        <v>0</v>
      </c>
      <c r="AD24" s="22">
        <f ca="1">+GETPIVOTDATA("XDB4",'dabac (2016)'!$A$3,"MA_HT","SKN","MA_QH","DNL")</f>
        <v>0</v>
      </c>
      <c r="AE24" s="22">
        <f ca="1">+GETPIVOTDATA("XDB4",'dabac (2016)'!$A$3,"MA_HT","SKN","MA_QH","DBV")</f>
        <v>0</v>
      </c>
      <c r="AF24" s="22">
        <f ca="1">+GETPIVOTDATA("XDB4",'dabac (2016)'!$A$3,"MA_HT","SKN","MA_QH","DVH")</f>
        <v>0</v>
      </c>
      <c r="AG24" s="22">
        <f ca="1">+GETPIVOTDATA("XDB4",'dabac (2016)'!$A$3,"MA_HT","SKN","MA_QH","DYT")</f>
        <v>0</v>
      </c>
      <c r="AH24" s="22">
        <f ca="1">+GETPIVOTDATA("XDB4",'dabac (2016)'!$A$3,"MA_HT","SKN","MA_QH","DGD")</f>
        <v>0</v>
      </c>
      <c r="AI24" s="22">
        <f ca="1">+GETPIVOTDATA("XDB4",'dabac (2016)'!$A$3,"MA_HT","SKN","MA_QH","DTT")</f>
        <v>0</v>
      </c>
      <c r="AJ24" s="22">
        <f ca="1">+GETPIVOTDATA("XDB4",'dabac (2016)'!$A$3,"MA_HT","SKN","MA_QH","NCK")</f>
        <v>0</v>
      </c>
      <c r="AK24" s="22">
        <f ca="1">+GETPIVOTDATA("XDB4",'dabac (2016)'!$A$3,"MA_HT","SKN","MA_QH","DXH")</f>
        <v>0</v>
      </c>
      <c r="AL24" s="22">
        <f ca="1">+GETPIVOTDATA("XDB4",'dabac (2016)'!$A$3,"MA_HT","SKN","MA_QH","DCH")</f>
        <v>0</v>
      </c>
      <c r="AM24" s="22">
        <f ca="1">+GETPIVOTDATA("XDB4",'dabac (2016)'!$A$3,"MA_HT","SKN","MA_QH","DKG")</f>
        <v>0</v>
      </c>
      <c r="AN24" s="22">
        <f ca="1">+GETPIVOTDATA("XDB4",'dabac (2016)'!$A$3,"MA_HT","SKN","MA_QH","DDT")</f>
        <v>0</v>
      </c>
      <c r="AO24" s="22">
        <f ca="1">+GETPIVOTDATA("XDB4",'dabac (2016)'!$A$3,"MA_HT","SKN","MA_QH","DDL")</f>
        <v>0</v>
      </c>
      <c r="AP24" s="22">
        <f ca="1">+GETPIVOTDATA("XDB4",'dabac (2016)'!$A$3,"MA_HT","SKN","MA_QH","DRA")</f>
        <v>0</v>
      </c>
      <c r="AQ24" s="22">
        <f ca="1">+GETPIVOTDATA("XDB4",'dabac (2016)'!$A$3,"MA_HT","SKN","MA_QH","ONT")</f>
        <v>0</v>
      </c>
      <c r="AR24" s="22">
        <f ca="1">+GETPIVOTDATA("XDB4",'dabac (2016)'!$A$3,"MA_HT","SKN","MA_QH","ODT")</f>
        <v>0</v>
      </c>
      <c r="AS24" s="22">
        <f ca="1">+GETPIVOTDATA("XDB4",'dabac (2016)'!$A$3,"MA_HT","SKN","MA_QH","TSC")</f>
        <v>0</v>
      </c>
      <c r="AT24" s="22">
        <f ca="1">+GETPIVOTDATA("XDB4",'dabac (2016)'!$A$3,"MA_HT","SKN","MA_QH","DTS")</f>
        <v>0</v>
      </c>
      <c r="AU24" s="22">
        <f ca="1">+GETPIVOTDATA("XDB4",'dabac (2016)'!$A$3,"MA_HT","SKN","MA_QH","DNG")</f>
        <v>0</v>
      </c>
      <c r="AV24" s="22">
        <f ca="1">+GETPIVOTDATA("XDB4",'dabac (2016)'!$A$3,"MA_HT","SKN","MA_QH","TON")</f>
        <v>0</v>
      </c>
      <c r="AW24" s="22">
        <f ca="1">+GETPIVOTDATA("XDB4",'dabac (2016)'!$A$3,"MA_HT","SKN","MA_QH","NTD")</f>
        <v>0</v>
      </c>
      <c r="AX24" s="22">
        <f ca="1">+GETPIVOTDATA("XDB4",'dabac (2016)'!$A$3,"MA_HT","SKN","MA_QH","SKX")</f>
        <v>0</v>
      </c>
      <c r="AY24" s="22">
        <f ca="1">+GETPIVOTDATA("XDB4",'dabac (2016)'!$A$3,"MA_HT","SKN","MA_QH","DSH")</f>
        <v>0</v>
      </c>
      <c r="AZ24" s="22">
        <f ca="1">+GETPIVOTDATA("XDB4",'dabac (2016)'!$A$3,"MA_HT","SKN","MA_QH","DKV")</f>
        <v>0</v>
      </c>
      <c r="BA24" s="89">
        <f ca="1">+GETPIVOTDATA("XDB4",'dabac (2016)'!$A$3,"MA_HT","SKN","MA_QH","TIN")</f>
        <v>0</v>
      </c>
      <c r="BB24" s="50">
        <f ca="1">+GETPIVOTDATA("XDB4",'dabac (2016)'!$A$3,"MA_HT","SKN","MA_QH","SON")</f>
        <v>0</v>
      </c>
      <c r="BC24" s="50">
        <f ca="1">+GETPIVOTDATA("XDB4",'dabac (2016)'!$A$3,"MA_HT","SKN","MA_QH","MNC")</f>
        <v>0</v>
      </c>
      <c r="BD24" s="22">
        <f ca="1">+GETPIVOTDATA("XDB4",'dabac (2016)'!$A$3,"MA_HT","SKN","MA_QH","PNK")</f>
        <v>0</v>
      </c>
      <c r="BE24" s="71">
        <f ca="1">+GETPIVOTDATA("XDB4",'dabac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+GETPIVOTDATA("XDB4",'dabac (2016)'!$A$3,"MA_HT","TMD","MA_QH","LUC")</f>
        <v>0</v>
      </c>
      <c r="H25" s="22">
        <f ca="1">+GETPIVOTDATA("XDB4",'dabac (2016)'!$A$3,"MA_HT","TMD","MA_QH","LUK")</f>
        <v>0</v>
      </c>
      <c r="I25" s="22">
        <f ca="1">+GETPIVOTDATA("XDB4",'dabac (2016)'!$A$3,"MA_HT","TMD","MA_QH","LUN")</f>
        <v>0</v>
      </c>
      <c r="J25" s="22">
        <f ca="1">+GETPIVOTDATA("XDB4",'dabac (2016)'!$A$3,"MA_HT","TMD","MA_QH","HNK")</f>
        <v>0</v>
      </c>
      <c r="K25" s="22">
        <f ca="1">+GETPIVOTDATA("XDB4",'dabac (2016)'!$A$3,"MA_HT","TMD","MA_QH","CLN")</f>
        <v>0</v>
      </c>
      <c r="L25" s="22">
        <f ca="1">+GETPIVOTDATA("XDB4",'dabac (2016)'!$A$3,"MA_HT","TMD","MA_QH","RSX")</f>
        <v>0</v>
      </c>
      <c r="M25" s="22">
        <f ca="1">+GETPIVOTDATA("XDB4",'dabac (2016)'!$A$3,"MA_HT","TMD","MA_QH","RPH")</f>
        <v>0</v>
      </c>
      <c r="N25" s="22">
        <f ca="1">+GETPIVOTDATA("XDB4",'dabac (2016)'!$A$3,"MA_HT","TMD","MA_QH","RDD")</f>
        <v>0</v>
      </c>
      <c r="O25" s="22">
        <f ca="1">+GETPIVOTDATA("XDB4",'dabac (2016)'!$A$3,"MA_HT","TMD","MA_QH","NTS")</f>
        <v>0</v>
      </c>
      <c r="P25" s="22">
        <f ca="1">+GETPIVOTDATA("XDB4",'dabac (2016)'!$A$3,"MA_HT","TMD","MA_QH","LMU")</f>
        <v>0</v>
      </c>
      <c r="Q25" s="22">
        <f ca="1">+GETPIVOTDATA("XDB4",'dabac (2016)'!$A$3,"MA_HT","TMD","MA_QH","NKH")</f>
        <v>0</v>
      </c>
      <c r="R25" s="42">
        <f ca="1">SUM(S25:W25,Y25:AA25,AN25:BD25)</f>
        <v>0</v>
      </c>
      <c r="S25" s="22">
        <f ca="1">+GETPIVOTDATA("XDB4",'dabac (2016)'!$A$3,"MA_HT","TMD","MA_QH","CQP")</f>
        <v>0</v>
      </c>
      <c r="T25" s="22">
        <f ca="1">+GETPIVOTDATA("XDB4",'dabac (2016)'!$A$3,"MA_HT","TMD","MA_QH","CAN")</f>
        <v>0</v>
      </c>
      <c r="U25" s="22">
        <f ca="1">+GETPIVOTDATA("XDB4",'dabac (2016)'!$A$3,"MA_HT","TMD","MA_QH","SKK")</f>
        <v>0</v>
      </c>
      <c r="V25" s="22">
        <f ca="1">+GETPIVOTDATA("XDB4",'dabac (2016)'!$A$3,"MA_HT","TMD","MA_QH","SKT")</f>
        <v>0</v>
      </c>
      <c r="W25" s="22">
        <f ca="1">+GETPIVOTDATA("XDB4",'dabac (2016)'!$A$3,"MA_HT","TMD","MA_QH","SKN")</f>
        <v>0</v>
      </c>
      <c r="X25" s="43" t="e">
        <f ca="1">$D25-$BF25</f>
        <v>#REF!</v>
      </c>
      <c r="Y25" s="22">
        <f ca="1">+GETPIVOTDATA("XDB4",'dabac (2016)'!$A$3,"MA_HT","TMD","MA_QH","SKC")</f>
        <v>0</v>
      </c>
      <c r="Z25" s="22">
        <f ca="1">+GETPIVOTDATA("XDB4",'dabac (2016)'!$A$3,"MA_HT","TMD","MA_QH","SKS")</f>
        <v>0</v>
      </c>
      <c r="AA25" s="52">
        <f ca="1" t="shared" si="12"/>
        <v>0</v>
      </c>
      <c r="AB25" s="22">
        <f ca="1">+GETPIVOTDATA("XDB4",'dabac (2016)'!$A$3,"MA_HT","TMD","MA_QH","DGT")</f>
        <v>0</v>
      </c>
      <c r="AC25" s="22">
        <f ca="1">+GETPIVOTDATA("XDB4",'dabac (2016)'!$A$3,"MA_HT","TMD","MA_QH","DTL")</f>
        <v>0</v>
      </c>
      <c r="AD25" s="22">
        <f ca="1">+GETPIVOTDATA("XDB4",'dabac (2016)'!$A$3,"MA_HT","TMD","MA_QH","DNL")</f>
        <v>0</v>
      </c>
      <c r="AE25" s="22">
        <f ca="1">+GETPIVOTDATA("XDB4",'dabac (2016)'!$A$3,"MA_HT","TMD","MA_QH","DBV")</f>
        <v>0</v>
      </c>
      <c r="AF25" s="22">
        <f ca="1">+GETPIVOTDATA("XDB4",'dabac (2016)'!$A$3,"MA_HT","TMD","MA_QH","DVH")</f>
        <v>0</v>
      </c>
      <c r="AG25" s="22">
        <f ca="1">+GETPIVOTDATA("XDB4",'dabac (2016)'!$A$3,"MA_HT","TMD","MA_QH","DYT")</f>
        <v>0</v>
      </c>
      <c r="AH25" s="22">
        <f ca="1">+GETPIVOTDATA("XDB4",'dabac (2016)'!$A$3,"MA_HT","TMD","MA_QH","DGD")</f>
        <v>0</v>
      </c>
      <c r="AI25" s="22">
        <f ca="1">+GETPIVOTDATA("XDB4",'dabac (2016)'!$A$3,"MA_HT","TMD","MA_QH","DTT")</f>
        <v>0</v>
      </c>
      <c r="AJ25" s="22">
        <f ca="1">+GETPIVOTDATA("XDB4",'dabac (2016)'!$A$3,"MA_HT","TMD","MA_QH","NCK")</f>
        <v>0</v>
      </c>
      <c r="AK25" s="22">
        <f ca="1">+GETPIVOTDATA("XDB4",'dabac (2016)'!$A$3,"MA_HT","TMD","MA_QH","DXH")</f>
        <v>0</v>
      </c>
      <c r="AL25" s="22">
        <f ca="1">+GETPIVOTDATA("XDB4",'dabac (2016)'!$A$3,"MA_HT","TMD","MA_QH","DCH")</f>
        <v>0</v>
      </c>
      <c r="AM25" s="22">
        <f ca="1">+GETPIVOTDATA("XDB4",'dabac (2016)'!$A$3,"MA_HT","TMD","MA_QH","DKG")</f>
        <v>0</v>
      </c>
      <c r="AN25" s="22">
        <f ca="1">+GETPIVOTDATA("XDB4",'dabac (2016)'!$A$3,"MA_HT","TMD","MA_QH","DDT")</f>
        <v>0</v>
      </c>
      <c r="AO25" s="22">
        <f ca="1">+GETPIVOTDATA("XDB4",'dabac (2016)'!$A$3,"MA_HT","TMD","MA_QH","DDL")</f>
        <v>0</v>
      </c>
      <c r="AP25" s="22">
        <f ca="1">+GETPIVOTDATA("XDB4",'dabac (2016)'!$A$3,"MA_HT","TMD","MA_QH","DRA")</f>
        <v>0</v>
      </c>
      <c r="AQ25" s="22">
        <f ca="1">+GETPIVOTDATA("XDB4",'dabac (2016)'!$A$3,"MA_HT","TMD","MA_QH","ONT")</f>
        <v>0</v>
      </c>
      <c r="AR25" s="22">
        <f ca="1">+GETPIVOTDATA("XDB4",'dabac (2016)'!$A$3,"MA_HT","TMD","MA_QH","ODT")</f>
        <v>0</v>
      </c>
      <c r="AS25" s="22">
        <f ca="1">+GETPIVOTDATA("XDB4",'dabac (2016)'!$A$3,"MA_HT","TMD","MA_QH","TSC")</f>
        <v>0</v>
      </c>
      <c r="AT25" s="22">
        <f ca="1">+GETPIVOTDATA("XDB4",'dabac (2016)'!$A$3,"MA_HT","TMD","MA_QH","DTS")</f>
        <v>0</v>
      </c>
      <c r="AU25" s="22">
        <f ca="1">+GETPIVOTDATA("XDB4",'dabac (2016)'!$A$3,"MA_HT","TMD","MA_QH","DNG")</f>
        <v>0</v>
      </c>
      <c r="AV25" s="22">
        <f ca="1">+GETPIVOTDATA("XDB4",'dabac (2016)'!$A$3,"MA_HT","TMD","MA_QH","TON")</f>
        <v>0</v>
      </c>
      <c r="AW25" s="22">
        <f ca="1">+GETPIVOTDATA("XDB4",'dabac (2016)'!$A$3,"MA_HT","TMD","MA_QH","NTD")</f>
        <v>0</v>
      </c>
      <c r="AX25" s="22">
        <f ca="1">+GETPIVOTDATA("XDB4",'dabac (2016)'!$A$3,"MA_HT","TMD","MA_QH","SKX")</f>
        <v>0</v>
      </c>
      <c r="AY25" s="22">
        <f ca="1">+GETPIVOTDATA("XDB4",'dabac (2016)'!$A$3,"MA_HT","TMD","MA_QH","DSH")</f>
        <v>0</v>
      </c>
      <c r="AZ25" s="22">
        <f ca="1">+GETPIVOTDATA("XDB4",'dabac (2016)'!$A$3,"MA_HT","TMD","MA_QH","DKV")</f>
        <v>0</v>
      </c>
      <c r="BA25" s="89">
        <f ca="1">+GETPIVOTDATA("XDB4",'dabac (2016)'!$A$3,"MA_HT","TMD","MA_QH","TIN")</f>
        <v>0</v>
      </c>
      <c r="BB25" s="50">
        <f ca="1">+GETPIVOTDATA("XDB4",'dabac (2016)'!$A$3,"MA_HT","TMD","MA_QH","SON")</f>
        <v>0</v>
      </c>
      <c r="BC25" s="50">
        <f ca="1">+GETPIVOTDATA("XDB4",'dabac (2016)'!$A$3,"MA_HT","TMD","MA_QH","MNC")</f>
        <v>0</v>
      </c>
      <c r="BD25" s="22">
        <f ca="1">+GETPIVOTDATA("XDB4",'dabac (2016)'!$A$3,"MA_HT","TMD","MA_QH","PNK")</f>
        <v>0</v>
      </c>
      <c r="BE25" s="71">
        <f ca="1">+GETPIVOTDATA("XDB4",'dabac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+GETPIVOTDATA("XDB4",'dabac (2016)'!$A$3,"MA_HT","SKC","MA_QH","LUC")</f>
        <v>0</v>
      </c>
      <c r="H26" s="22">
        <f ca="1">+GETPIVOTDATA("XDB4",'dabac (2016)'!$A$3,"MA_HT","SKC","MA_QH","LUK")</f>
        <v>0</v>
      </c>
      <c r="I26" s="22">
        <f ca="1">+GETPIVOTDATA("XDB4",'dabac (2016)'!$A$3,"MA_HT","SKC","MA_QH","LUN")</f>
        <v>0</v>
      </c>
      <c r="J26" s="22">
        <f ca="1">+GETPIVOTDATA("XDB4",'dabac (2016)'!$A$3,"MA_HT","SKC","MA_QH","HNK")</f>
        <v>0</v>
      </c>
      <c r="K26" s="22">
        <f ca="1">+GETPIVOTDATA("XDB4",'dabac (2016)'!$A$3,"MA_HT","SKC","MA_QH","CLN")</f>
        <v>0</v>
      </c>
      <c r="L26" s="22">
        <f ca="1">+GETPIVOTDATA("XDB4",'dabac (2016)'!$A$3,"MA_HT","SKC","MA_QH","RSX")</f>
        <v>0</v>
      </c>
      <c r="M26" s="22">
        <f ca="1">+GETPIVOTDATA("XDB4",'dabac (2016)'!$A$3,"MA_HT","SKC","MA_QH","RPH")</f>
        <v>0</v>
      </c>
      <c r="N26" s="22">
        <f ca="1">+GETPIVOTDATA("XDB4",'dabac (2016)'!$A$3,"MA_HT","SKC","MA_QH","RDD")</f>
        <v>0</v>
      </c>
      <c r="O26" s="22">
        <f ca="1">+GETPIVOTDATA("XDB4",'dabac (2016)'!$A$3,"MA_HT","SKC","MA_QH","NTS")</f>
        <v>0</v>
      </c>
      <c r="P26" s="22">
        <f ca="1">+GETPIVOTDATA("XDB4",'dabac (2016)'!$A$3,"MA_HT","SKC","MA_QH","LMU")</f>
        <v>0</v>
      </c>
      <c r="Q26" s="22">
        <f ca="1">+GETPIVOTDATA("XDB4",'dabac (2016)'!$A$3,"MA_HT","SKC","MA_QH","NKH")</f>
        <v>0</v>
      </c>
      <c r="R26" s="42">
        <f ca="1">SUM(S26:X26,Z26,AN26:BD26)</f>
        <v>0</v>
      </c>
      <c r="S26" s="22">
        <f ca="1">+GETPIVOTDATA("XDB4",'dabac (2016)'!$A$3,"MA_HT","SKC","MA_QH","CQP")</f>
        <v>0</v>
      </c>
      <c r="T26" s="22">
        <f ca="1">+GETPIVOTDATA("XDB4",'dabac (2016)'!$A$3,"MA_HT","SKC","MA_QH","CAN")</f>
        <v>0</v>
      </c>
      <c r="U26" s="22">
        <f ca="1">+GETPIVOTDATA("XDB4",'dabac (2016)'!$A$3,"MA_HT","SKC","MA_QH","SKK")</f>
        <v>0</v>
      </c>
      <c r="V26" s="22">
        <f ca="1">+GETPIVOTDATA("XDB4",'dabac (2016)'!$A$3,"MA_HT","SKC","MA_QH","SKT")</f>
        <v>0</v>
      </c>
      <c r="W26" s="22">
        <f ca="1">+GETPIVOTDATA("XDB4",'dabac (2016)'!$A$3,"MA_HT","SKC","MA_QH","SKN")</f>
        <v>0</v>
      </c>
      <c r="X26" s="22">
        <f ca="1">+GETPIVOTDATA("XDB4",'dabac (2016)'!$A$3,"MA_HT","SKC","MA_QH","TMD")</f>
        <v>0</v>
      </c>
      <c r="Y26" s="43" t="e">
        <f ca="1">$D26-$BF26</f>
        <v>#REF!</v>
      </c>
      <c r="Z26" s="22">
        <f ca="1">+GETPIVOTDATA("XDB4",'dabac (2016)'!$A$3,"MA_HT","SKC","MA_QH","SKS")</f>
        <v>0</v>
      </c>
      <c r="AA26" s="52">
        <f ca="1" t="shared" si="12"/>
        <v>0</v>
      </c>
      <c r="AB26" s="22">
        <f ca="1">+GETPIVOTDATA("XDB4",'dabac (2016)'!$A$3,"MA_HT","SKC","MA_QH","DGT")</f>
        <v>0</v>
      </c>
      <c r="AC26" s="22">
        <f ca="1">+GETPIVOTDATA("XDB4",'dabac (2016)'!$A$3,"MA_HT","SKC","MA_QH","DTL")</f>
        <v>0</v>
      </c>
      <c r="AD26" s="22">
        <f ca="1">+GETPIVOTDATA("XDB4",'dabac (2016)'!$A$3,"MA_HT","SKC","MA_QH","DNL")</f>
        <v>0</v>
      </c>
      <c r="AE26" s="22">
        <f ca="1">+GETPIVOTDATA("XDB4",'dabac (2016)'!$A$3,"MA_HT","SKC","MA_QH","DBV")</f>
        <v>0</v>
      </c>
      <c r="AF26" s="22">
        <f ca="1">+GETPIVOTDATA("XDB4",'dabac (2016)'!$A$3,"MA_HT","SKC","MA_QH","DVH")</f>
        <v>0</v>
      </c>
      <c r="AG26" s="22">
        <f ca="1">+GETPIVOTDATA("XDB4",'dabac (2016)'!$A$3,"MA_HT","SKC","MA_QH","DYT")</f>
        <v>0</v>
      </c>
      <c r="AH26" s="22">
        <f ca="1">+GETPIVOTDATA("XDB4",'dabac (2016)'!$A$3,"MA_HT","SKC","MA_QH","DGD")</f>
        <v>0</v>
      </c>
      <c r="AI26" s="22">
        <f ca="1">+GETPIVOTDATA("XDB4",'dabac (2016)'!$A$3,"MA_HT","SKC","MA_QH","DTT")</f>
        <v>0</v>
      </c>
      <c r="AJ26" s="22">
        <f ca="1">+GETPIVOTDATA("XDB4",'dabac (2016)'!$A$3,"MA_HT","SKC","MA_QH","NCK")</f>
        <v>0</v>
      </c>
      <c r="AK26" s="22">
        <f ca="1">+GETPIVOTDATA("XDB4",'dabac (2016)'!$A$3,"MA_HT","SKC","MA_QH","DXH")</f>
        <v>0</v>
      </c>
      <c r="AL26" s="22">
        <f ca="1">+GETPIVOTDATA("XDB4",'dabac (2016)'!$A$3,"MA_HT","SKC","MA_QH","DCH")</f>
        <v>0</v>
      </c>
      <c r="AM26" s="22">
        <f ca="1">+GETPIVOTDATA("XDB4",'dabac (2016)'!$A$3,"MA_HT","SKC","MA_QH","DKG")</f>
        <v>0</v>
      </c>
      <c r="AN26" s="22">
        <f ca="1">+GETPIVOTDATA("XDB4",'dabac (2016)'!$A$3,"MA_HT","SKC","MA_QH","DDT")</f>
        <v>0</v>
      </c>
      <c r="AO26" s="22">
        <f ca="1">+GETPIVOTDATA("XDB4",'dabac (2016)'!$A$3,"MA_HT","SKC","MA_QH","DDL")</f>
        <v>0</v>
      </c>
      <c r="AP26" s="22">
        <f ca="1">+GETPIVOTDATA("XDB4",'dabac (2016)'!$A$3,"MA_HT","SKC","MA_QH","DRA")</f>
        <v>0</v>
      </c>
      <c r="AQ26" s="22">
        <f ca="1">+GETPIVOTDATA("XDB4",'dabac (2016)'!$A$3,"MA_HT","SKC","MA_QH","ONT")</f>
        <v>0</v>
      </c>
      <c r="AR26" s="22">
        <f ca="1">+GETPIVOTDATA("XDB4",'dabac (2016)'!$A$3,"MA_HT","SKC","MA_QH","ODT")</f>
        <v>0</v>
      </c>
      <c r="AS26" s="22">
        <f ca="1">+GETPIVOTDATA("XDB4",'dabac (2016)'!$A$3,"MA_HT","SKC","MA_QH","TSC")</f>
        <v>0</v>
      </c>
      <c r="AT26" s="22">
        <f ca="1">+GETPIVOTDATA("XDB4",'dabac (2016)'!$A$3,"MA_HT","SKC","MA_QH","DTS")</f>
        <v>0</v>
      </c>
      <c r="AU26" s="22">
        <f ca="1">+GETPIVOTDATA("XDB4",'dabac (2016)'!$A$3,"MA_HT","SKC","MA_QH","DNG")</f>
        <v>0</v>
      </c>
      <c r="AV26" s="22">
        <f ca="1">+GETPIVOTDATA("XDB4",'dabac (2016)'!$A$3,"MA_HT","SKC","MA_QH","TON")</f>
        <v>0</v>
      </c>
      <c r="AW26" s="22">
        <f ca="1">+GETPIVOTDATA("XDB4",'dabac (2016)'!$A$3,"MA_HT","SKC","MA_QH","NTD")</f>
        <v>0</v>
      </c>
      <c r="AX26" s="22">
        <f ca="1">+GETPIVOTDATA("XDB4",'dabac (2016)'!$A$3,"MA_HT","SKC","MA_QH","SKX")</f>
        <v>0</v>
      </c>
      <c r="AY26" s="22">
        <f ca="1">+GETPIVOTDATA("XDB4",'dabac (2016)'!$A$3,"MA_HT","SKC","MA_QH","DSH")</f>
        <v>0</v>
      </c>
      <c r="AZ26" s="22">
        <f ca="1">+GETPIVOTDATA("XDB4",'dabac (2016)'!$A$3,"MA_HT","SKC","MA_QH","DKV")</f>
        <v>0</v>
      </c>
      <c r="BA26" s="89">
        <f ca="1">+GETPIVOTDATA("XDB4",'dabac (2016)'!$A$3,"MA_HT","SKC","MA_QH","TIN")</f>
        <v>0</v>
      </c>
      <c r="BB26" s="50">
        <f ca="1">+GETPIVOTDATA("XDB4",'dabac (2016)'!$A$3,"MA_HT","SKC","MA_QH","SON")</f>
        <v>0</v>
      </c>
      <c r="BC26" s="50">
        <f ca="1">+GETPIVOTDATA("XDB4",'dabac (2016)'!$A$3,"MA_HT","SKC","MA_QH","MNC")</f>
        <v>0</v>
      </c>
      <c r="BD26" s="22">
        <f ca="1">+GETPIVOTDATA("XDB4",'dabac (2016)'!$A$3,"MA_HT","SKC","MA_QH","PNK")</f>
        <v>0</v>
      </c>
      <c r="BE26" s="71">
        <f ca="1">+GETPIVOTDATA("XDB4",'dabac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+GETPIVOTDATA("XDB4",'dabac (2016)'!$A$3,"MA_HT","SKS","MA_QH","LUC")</f>
        <v>0</v>
      </c>
      <c r="H27" s="22">
        <f ca="1">+GETPIVOTDATA("XDB4",'dabac (2016)'!$A$3,"MA_HT","SKS","MA_QH","LUK")</f>
        <v>0</v>
      </c>
      <c r="I27" s="22">
        <f ca="1">+GETPIVOTDATA("XDB4",'dabac (2016)'!$A$3,"MA_HT","SKS","MA_QH","LUN")</f>
        <v>0</v>
      </c>
      <c r="J27" s="22">
        <f ca="1">+GETPIVOTDATA("XDB4",'dabac (2016)'!$A$3,"MA_HT","SKS","MA_QH","HNK")</f>
        <v>0</v>
      </c>
      <c r="K27" s="22">
        <f ca="1">+GETPIVOTDATA("XDB4",'dabac (2016)'!$A$3,"MA_HT","SKS","MA_QH","CLN")</f>
        <v>0</v>
      </c>
      <c r="L27" s="22">
        <f ca="1">+GETPIVOTDATA("XDB4",'dabac (2016)'!$A$3,"MA_HT","SKS","MA_QH","RSX")</f>
        <v>0</v>
      </c>
      <c r="M27" s="22">
        <f ca="1">+GETPIVOTDATA("XDB4",'dabac (2016)'!$A$3,"MA_HT","SKS","MA_QH","RPH")</f>
        <v>0</v>
      </c>
      <c r="N27" s="22">
        <f ca="1">+GETPIVOTDATA("XDB4",'dabac (2016)'!$A$3,"MA_HT","SKS","MA_QH","RDD")</f>
        <v>0</v>
      </c>
      <c r="O27" s="22">
        <f ca="1">+GETPIVOTDATA("XDB4",'dabac (2016)'!$A$3,"MA_HT","SKS","MA_QH","NTS")</f>
        <v>0</v>
      </c>
      <c r="P27" s="22">
        <f ca="1">+GETPIVOTDATA("XDB4",'dabac (2016)'!$A$3,"MA_HT","SKS","MA_QH","LMU")</f>
        <v>0</v>
      </c>
      <c r="Q27" s="22">
        <f ca="1">+GETPIVOTDATA("XDB4",'dabac (2016)'!$A$3,"MA_HT","SKS","MA_QH","NKH")</f>
        <v>0</v>
      </c>
      <c r="R27" s="42">
        <f ca="1">SUM(S27:Y27,AA27,AN27:BD27)</f>
        <v>0</v>
      </c>
      <c r="S27" s="22">
        <f ca="1">+GETPIVOTDATA("XDB4",'dabac (2016)'!$A$3,"MA_HT","SKS","MA_QH","CQP")</f>
        <v>0</v>
      </c>
      <c r="T27" s="22">
        <f ca="1">+GETPIVOTDATA("XDB4",'dabac (2016)'!$A$3,"MA_HT","SKS","MA_QH","CAN")</f>
        <v>0</v>
      </c>
      <c r="U27" s="22">
        <f ca="1">+GETPIVOTDATA("XDB4",'dabac (2016)'!$A$3,"MA_HT","SKS","MA_QH","SKK")</f>
        <v>0</v>
      </c>
      <c r="V27" s="22">
        <f ca="1">+GETPIVOTDATA("XDB4",'dabac (2016)'!$A$3,"MA_HT","SKS","MA_QH","SKT")</f>
        <v>0</v>
      </c>
      <c r="W27" s="22">
        <f ca="1">+GETPIVOTDATA("XDB4",'dabac (2016)'!$A$3,"MA_HT","SKS","MA_QH","SKN")</f>
        <v>0</v>
      </c>
      <c r="X27" s="22">
        <f ca="1">+GETPIVOTDATA("XDB4",'dabac (2016)'!$A$3,"MA_HT","SKS","MA_QH","TMD")</f>
        <v>0</v>
      </c>
      <c r="Y27" s="22">
        <f ca="1">+GETPIVOTDATA("XDB4",'dabac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+GETPIVOTDATA("XDB4",'dabac (2016)'!$A$3,"MA_HT","SKS","MA_QH","DGT")</f>
        <v>0</v>
      </c>
      <c r="AC27" s="22">
        <f ca="1">+GETPIVOTDATA("XDB4",'dabac (2016)'!$A$3,"MA_HT","SKS","MA_QH","DTL")</f>
        <v>0</v>
      </c>
      <c r="AD27" s="22">
        <f ca="1">+GETPIVOTDATA("XDB4",'dabac (2016)'!$A$3,"MA_HT","SKS","MA_QH","DNL")</f>
        <v>0</v>
      </c>
      <c r="AE27" s="22">
        <f ca="1">+GETPIVOTDATA("XDB4",'dabac (2016)'!$A$3,"MA_HT","SKS","MA_QH","DBV")</f>
        <v>0</v>
      </c>
      <c r="AF27" s="22">
        <f ca="1">+GETPIVOTDATA("XDB4",'dabac (2016)'!$A$3,"MA_HT","SKS","MA_QH","DVH")</f>
        <v>0</v>
      </c>
      <c r="AG27" s="22">
        <f ca="1">+GETPIVOTDATA("XDB4",'dabac (2016)'!$A$3,"MA_HT","SKS","MA_QH","DYT")</f>
        <v>0</v>
      </c>
      <c r="AH27" s="22">
        <f ca="1">+GETPIVOTDATA("XDB4",'dabac (2016)'!$A$3,"MA_HT","SKS","MA_QH","DGD")</f>
        <v>0</v>
      </c>
      <c r="AI27" s="22">
        <f ca="1">+GETPIVOTDATA("XDB4",'dabac (2016)'!$A$3,"MA_HT","SKS","MA_QH","DTT")</f>
        <v>0</v>
      </c>
      <c r="AJ27" s="22">
        <f ca="1">+GETPIVOTDATA("XDB4",'dabac (2016)'!$A$3,"MA_HT","SKS","MA_QH","NCK")</f>
        <v>0</v>
      </c>
      <c r="AK27" s="22">
        <f ca="1">+GETPIVOTDATA("XDB4",'dabac (2016)'!$A$3,"MA_HT","SKS","MA_QH","DXH")</f>
        <v>0</v>
      </c>
      <c r="AL27" s="22">
        <f ca="1">+GETPIVOTDATA("XDB4",'dabac (2016)'!$A$3,"MA_HT","SKS","MA_QH","DCH")</f>
        <v>0</v>
      </c>
      <c r="AM27" s="22">
        <f ca="1">+GETPIVOTDATA("XDB4",'dabac (2016)'!$A$3,"MA_HT","SKS","MA_QH","DKG")</f>
        <v>0</v>
      </c>
      <c r="AN27" s="22">
        <f ca="1">+GETPIVOTDATA("XDB4",'dabac (2016)'!$A$3,"MA_HT","SKS","MA_QH","DDT")</f>
        <v>0</v>
      </c>
      <c r="AO27" s="22">
        <f ca="1">+GETPIVOTDATA("XDB4",'dabac (2016)'!$A$3,"MA_HT","SKS","MA_QH","DDL")</f>
        <v>0</v>
      </c>
      <c r="AP27" s="22">
        <f ca="1">+GETPIVOTDATA("XDB4",'dabac (2016)'!$A$3,"MA_HT","SKS","MA_QH","DRA")</f>
        <v>0</v>
      </c>
      <c r="AQ27" s="22">
        <f ca="1">+GETPIVOTDATA("XDB4",'dabac (2016)'!$A$3,"MA_HT","SKS","MA_QH","ONT")</f>
        <v>0</v>
      </c>
      <c r="AR27" s="22">
        <f ca="1">+GETPIVOTDATA("XDB4",'dabac (2016)'!$A$3,"MA_HT","SKS","MA_QH","ODT")</f>
        <v>0</v>
      </c>
      <c r="AS27" s="22">
        <f ca="1">+GETPIVOTDATA("XDB4",'dabac (2016)'!$A$3,"MA_HT","SKS","MA_QH","TSC")</f>
        <v>0</v>
      </c>
      <c r="AT27" s="22">
        <f ca="1">+GETPIVOTDATA("XDB4",'dabac (2016)'!$A$3,"MA_HT","SKS","MA_QH","DTS")</f>
        <v>0</v>
      </c>
      <c r="AU27" s="22">
        <f ca="1">+GETPIVOTDATA("XDB4",'dabac (2016)'!$A$3,"MA_HT","SKS","MA_QH","DNG")</f>
        <v>0</v>
      </c>
      <c r="AV27" s="22">
        <f ca="1">+GETPIVOTDATA("XDB4",'dabac (2016)'!$A$3,"MA_HT","SKS","MA_QH","TON")</f>
        <v>0</v>
      </c>
      <c r="AW27" s="22">
        <f ca="1">+GETPIVOTDATA("XDB4",'dabac (2016)'!$A$3,"MA_HT","SKS","MA_QH","NTD")</f>
        <v>0</v>
      </c>
      <c r="AX27" s="22">
        <f ca="1">+GETPIVOTDATA("XDB4",'dabac (2016)'!$A$3,"MA_HT","SKS","MA_QH","SKX")</f>
        <v>0</v>
      </c>
      <c r="AY27" s="22">
        <f ca="1">+GETPIVOTDATA("XDB4",'dabac (2016)'!$A$3,"MA_HT","SKS","MA_QH","DSH")</f>
        <v>0</v>
      </c>
      <c r="AZ27" s="22">
        <f ca="1">+GETPIVOTDATA("XDB4",'dabac (2016)'!$A$3,"MA_HT","SKS","MA_QH","DKV")</f>
        <v>0</v>
      </c>
      <c r="BA27" s="89">
        <f ca="1">+GETPIVOTDATA("XDB4",'dabac (2016)'!$A$3,"MA_HT","SKS","MA_QH","TIN")</f>
        <v>0</v>
      </c>
      <c r="BB27" s="50">
        <f ca="1">+GETPIVOTDATA("XDB4",'dabac (2016)'!$A$3,"MA_HT","SKS","MA_QH","SON")</f>
        <v>0</v>
      </c>
      <c r="BC27" s="50">
        <f ca="1">+GETPIVOTDATA("XDB4",'dabac (2016)'!$A$3,"MA_HT","SKS","MA_QH","MNC")</f>
        <v>0</v>
      </c>
      <c r="BD27" s="22">
        <f ca="1">+GETPIVOTDATA("XDB4",'dabac (2016)'!$A$3,"MA_HT","SKS","MA_QH","PNK")</f>
        <v>0</v>
      </c>
      <c r="BE27" s="71">
        <f ca="1">+GETPIVOTDATA("XDB4",'dabac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+GETPIVOTDATA("XDB4",'dabac (2016)'!$A$3,"MA_HT","DGT","MA_QH","LUC")</f>
        <v>0</v>
      </c>
      <c r="H29" s="50">
        <f ca="1">+GETPIVOTDATA("XDB4",'dabac (2016)'!$A$3,"MA_HT","DGT","MA_QH","LUK")</f>
        <v>0</v>
      </c>
      <c r="I29" s="50">
        <f ca="1">+GETPIVOTDATA("XDB4",'dabac (2016)'!$A$3,"MA_HT","DGT","MA_QH","LUN")</f>
        <v>0</v>
      </c>
      <c r="J29" s="50">
        <f ca="1">+GETPIVOTDATA("XDB4",'dabac (2016)'!$A$3,"MA_HT","DGT","MA_QH","HNK")</f>
        <v>0</v>
      </c>
      <c r="K29" s="50">
        <f ca="1">+GETPIVOTDATA("XDB4",'dabac (2016)'!$A$3,"MA_HT","DGT","MA_QH","CLN")</f>
        <v>0</v>
      </c>
      <c r="L29" s="50">
        <f ca="1">+GETPIVOTDATA("XDB4",'dabac (2016)'!$A$3,"MA_HT","DGT","MA_QH","RSX")</f>
        <v>0</v>
      </c>
      <c r="M29" s="50">
        <f ca="1">+GETPIVOTDATA("XDB4",'dabac (2016)'!$A$3,"MA_HT","DGT","MA_QH","RPH")</f>
        <v>0</v>
      </c>
      <c r="N29" s="50">
        <f ca="1">+GETPIVOTDATA("XDB4",'dabac (2016)'!$A$3,"MA_HT","DGT","MA_QH","RDD")</f>
        <v>0</v>
      </c>
      <c r="O29" s="50">
        <f ca="1">+GETPIVOTDATA("XDB4",'dabac (2016)'!$A$3,"MA_HT","DGT","MA_QH","NTS")</f>
        <v>0</v>
      </c>
      <c r="P29" s="50">
        <f ca="1">+GETPIVOTDATA("XDB4",'dabac (2016)'!$A$3,"MA_HT","DGT","MA_QH","LMU")</f>
        <v>0</v>
      </c>
      <c r="Q29" s="50">
        <f ca="1">+GETPIVOTDATA("XDB4",'dabac (2016)'!$A$3,"MA_HT","DGT","MA_QH","NKH")</f>
        <v>0</v>
      </c>
      <c r="R29" s="48">
        <f ca="1">SUM(S29:AA29,AN29:BD29)</f>
        <v>0</v>
      </c>
      <c r="S29" s="50">
        <f ca="1">+GETPIVOTDATA("XDB4",'dabac (2016)'!$A$3,"MA_HT","DGT","MA_QH","CQP")</f>
        <v>0</v>
      </c>
      <c r="T29" s="50">
        <f ca="1">+GETPIVOTDATA("XDB4",'dabac (2016)'!$A$3,"MA_HT","DGT","MA_QH","CAN")</f>
        <v>0</v>
      </c>
      <c r="U29" s="50">
        <f ca="1">+GETPIVOTDATA("XDB4",'dabac (2016)'!$A$3,"MA_HT","DGT","MA_QH","SKK")</f>
        <v>0</v>
      </c>
      <c r="V29" s="50">
        <f ca="1">+GETPIVOTDATA("XDB4",'dabac (2016)'!$A$3,"MA_HT","DGT","MA_QH","SKT")</f>
        <v>0</v>
      </c>
      <c r="W29" s="50">
        <f ca="1">+GETPIVOTDATA("XDB4",'dabac (2016)'!$A$3,"MA_HT","DGT","MA_QH","SKN")</f>
        <v>0</v>
      </c>
      <c r="X29" s="50">
        <f ca="1">+GETPIVOTDATA("XDB4",'dabac (2016)'!$A$3,"MA_HT","DGT","MA_QH","TMD")</f>
        <v>0</v>
      </c>
      <c r="Y29" s="50">
        <f ca="1">+GETPIVOTDATA("XDB4",'dabac (2016)'!$A$3,"MA_HT","DGT","MA_QH","SKC")</f>
        <v>0</v>
      </c>
      <c r="Z29" s="50">
        <f ca="1">+GETPIVOTDATA("XDB4",'dabac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+GETPIVOTDATA("XDB4",'dabac (2016)'!$A$3,"MA_HT","DGT","MA_QH","DTL")</f>
        <v>0</v>
      </c>
      <c r="AD29" s="50">
        <f ca="1">+GETPIVOTDATA("XDB4",'dabac (2016)'!$A$3,"MA_HT","DGT","MA_QH","DNL")</f>
        <v>0</v>
      </c>
      <c r="AE29" s="50">
        <f ca="1">+GETPIVOTDATA("XDB4",'dabac (2016)'!$A$3,"MA_HT","DGT","MA_QH","DBV")</f>
        <v>0</v>
      </c>
      <c r="AF29" s="50">
        <f ca="1">+GETPIVOTDATA("XDB4",'dabac (2016)'!$A$3,"MA_HT","DGT","MA_QH","DVH")</f>
        <v>0</v>
      </c>
      <c r="AG29" s="50">
        <f ca="1">+GETPIVOTDATA("XDB4",'dabac (2016)'!$A$3,"MA_HT","DGT","MA_QH","DYT")</f>
        <v>0</v>
      </c>
      <c r="AH29" s="50">
        <f ca="1">+GETPIVOTDATA("XDB4",'dabac (2016)'!$A$3,"MA_HT","DGT","MA_QH","DGD")</f>
        <v>0</v>
      </c>
      <c r="AI29" s="50">
        <f ca="1">+GETPIVOTDATA("XDB4",'dabac (2016)'!$A$3,"MA_HT","DGT","MA_QH","DTT")</f>
        <v>0</v>
      </c>
      <c r="AJ29" s="50">
        <f ca="1">+GETPIVOTDATA("XDB4",'dabac (2016)'!$A$3,"MA_HT","DGT","MA_QH","NCK")</f>
        <v>0</v>
      </c>
      <c r="AK29" s="50">
        <f ca="1">+GETPIVOTDATA("XDB4",'dabac (2016)'!$A$3,"MA_HT","DGT","MA_QH","DXH")</f>
        <v>0</v>
      </c>
      <c r="AL29" s="50">
        <f ca="1">+GETPIVOTDATA("XDB4",'dabac (2016)'!$A$3,"MA_HT","DGT","MA_QH","DCH")</f>
        <v>0</v>
      </c>
      <c r="AM29" s="50">
        <f ca="1">+GETPIVOTDATA("XDB4",'dabac (2016)'!$A$3,"MA_HT","DGT","MA_QH","DKG")</f>
        <v>0</v>
      </c>
      <c r="AN29" s="50">
        <f ca="1">+GETPIVOTDATA("XDB4",'dabac (2016)'!$A$3,"MA_HT","DGT","MA_QH","DDT")</f>
        <v>0</v>
      </c>
      <c r="AO29" s="50">
        <f ca="1">+GETPIVOTDATA("XDB4",'dabac (2016)'!$A$3,"MA_HT","DGT","MA_QH","DDL")</f>
        <v>0</v>
      </c>
      <c r="AP29" s="50">
        <f ca="1">+GETPIVOTDATA("XDB4",'dabac (2016)'!$A$3,"MA_HT","DGT","MA_QH","DRA")</f>
        <v>0</v>
      </c>
      <c r="AQ29" s="50">
        <f ca="1">+GETPIVOTDATA("XDB4",'dabac (2016)'!$A$3,"MA_HT","DGT","MA_QH","ONT")</f>
        <v>0</v>
      </c>
      <c r="AR29" s="50">
        <f ca="1">+GETPIVOTDATA("XDB4",'dabac (2016)'!$A$3,"MA_HT","DGT","MA_QH","ODT")</f>
        <v>0</v>
      </c>
      <c r="AS29" s="50">
        <f ca="1">+GETPIVOTDATA("XDB4",'dabac (2016)'!$A$3,"MA_HT","DGT","MA_QH","TSC")</f>
        <v>0</v>
      </c>
      <c r="AT29" s="50">
        <f ca="1">+GETPIVOTDATA("XDB4",'dabac (2016)'!$A$3,"MA_HT","DGT","MA_QH","DTS")</f>
        <v>0</v>
      </c>
      <c r="AU29" s="50">
        <f ca="1">+GETPIVOTDATA("XDB4",'dabac (2016)'!$A$3,"MA_HT","DGT","MA_QH","DNG")</f>
        <v>0</v>
      </c>
      <c r="AV29" s="50">
        <f ca="1">+GETPIVOTDATA("XDB4",'dabac (2016)'!$A$3,"MA_HT","DGT","MA_QH","TON")</f>
        <v>0</v>
      </c>
      <c r="AW29" s="50">
        <f ca="1">+GETPIVOTDATA("XDB4",'dabac (2016)'!$A$3,"MA_HT","DGT","MA_QH","NTD")</f>
        <v>0</v>
      </c>
      <c r="AX29" s="50">
        <f ca="1">+GETPIVOTDATA("XDB4",'dabac (2016)'!$A$3,"MA_HT","DGT","MA_QH","SKX")</f>
        <v>0</v>
      </c>
      <c r="AY29" s="50">
        <f ca="1">+GETPIVOTDATA("XDB4",'dabac (2016)'!$A$3,"MA_HT","DGT","MA_QH","DSH")</f>
        <v>0</v>
      </c>
      <c r="AZ29" s="50">
        <f ca="1">+GETPIVOTDATA("XDB4",'dabac (2016)'!$A$3,"MA_HT","DGT","MA_QH","DKV")</f>
        <v>0</v>
      </c>
      <c r="BA29" s="88">
        <f ca="1">+GETPIVOTDATA("XDB4",'dabac (2016)'!$A$3,"MA_HT","DGT","MA_QH","TIN")</f>
        <v>0</v>
      </c>
      <c r="BB29" s="50">
        <f ca="1">+GETPIVOTDATA("XDB4",'dabac (2016)'!$A$3,"MA_HT","DGT","MA_QH","SON")</f>
        <v>0</v>
      </c>
      <c r="BC29" s="50">
        <f ca="1">+GETPIVOTDATA("XDB4",'dabac (2016)'!$A$3,"MA_HT","DGT","MA_QH","MNC")</f>
        <v>0</v>
      </c>
      <c r="BD29" s="50">
        <f ca="1">+GETPIVOTDATA("XDB4",'dabac (2016)'!$A$3,"MA_HT","DGT","MA_QH","PNK")</f>
        <v>0</v>
      </c>
      <c r="BE29" s="80">
        <f ca="1">+GETPIVOTDATA("XDB4",'dabac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+GETPIVOTDATA("XDB4",'dabac (2016)'!$A$3,"MA_HT","DTL","MA_QH","LUC")</f>
        <v>0</v>
      </c>
      <c r="H30" s="50">
        <f ca="1">+GETPIVOTDATA("XDB4",'dabac (2016)'!$A$3,"MA_HT","DTL","MA_QH","LUK")</f>
        <v>0</v>
      </c>
      <c r="I30" s="50">
        <f ca="1">+GETPIVOTDATA("XDB4",'dabac (2016)'!$A$3,"MA_HT","DTL","MA_QH","LUN")</f>
        <v>0</v>
      </c>
      <c r="J30" s="50">
        <f ca="1">+GETPIVOTDATA("XDB4",'dabac (2016)'!$A$3,"MA_HT","DTL","MA_QH","HNK")</f>
        <v>0</v>
      </c>
      <c r="K30" s="50">
        <f ca="1">+GETPIVOTDATA("XDB4",'dabac (2016)'!$A$3,"MA_HT","DTL","MA_QH","CLN")</f>
        <v>0</v>
      </c>
      <c r="L30" s="50">
        <f ca="1">+GETPIVOTDATA("XDB4",'dabac (2016)'!$A$3,"MA_HT","DTL","MA_QH","RSX")</f>
        <v>0</v>
      </c>
      <c r="M30" s="50">
        <f ca="1">+GETPIVOTDATA("XDB4",'dabac (2016)'!$A$3,"MA_HT","DTL","MA_QH","RPH")</f>
        <v>0</v>
      </c>
      <c r="N30" s="50">
        <f ca="1">+GETPIVOTDATA("XDB4",'dabac (2016)'!$A$3,"MA_HT","DTL","MA_QH","RDD")</f>
        <v>0</v>
      </c>
      <c r="O30" s="50">
        <f ca="1">+GETPIVOTDATA("XDB4",'dabac (2016)'!$A$3,"MA_HT","DTL","MA_QH","NTS")</f>
        <v>0</v>
      </c>
      <c r="P30" s="50">
        <f ca="1">+GETPIVOTDATA("XDB4",'dabac (2016)'!$A$3,"MA_HT","DTL","MA_QH","LMU")</f>
        <v>0</v>
      </c>
      <c r="Q30" s="50">
        <f ca="1">+GETPIVOTDATA("XDB4",'dabac (2016)'!$A$3,"MA_HT","DTL","MA_QH","NKH")</f>
        <v>0</v>
      </c>
      <c r="R30" s="48">
        <f ca="1" t="shared" ref="R30:R40" si="20">SUM(S30:AA30,AN30:BD30)</f>
        <v>0</v>
      </c>
      <c r="S30" s="50">
        <f ca="1">+GETPIVOTDATA("XDB4",'dabac (2016)'!$A$3,"MA_HT","DTL","MA_QH","CQP")</f>
        <v>0</v>
      </c>
      <c r="T30" s="50">
        <f ca="1">+GETPIVOTDATA("XDB4",'dabac (2016)'!$A$3,"MA_HT","DTL","MA_QH","CAN")</f>
        <v>0</v>
      </c>
      <c r="U30" s="50">
        <f ca="1">+GETPIVOTDATA("XDB4",'dabac (2016)'!$A$3,"MA_HT","DTL","MA_QH","SKK")</f>
        <v>0</v>
      </c>
      <c r="V30" s="50">
        <f ca="1">+GETPIVOTDATA("XDB4",'dabac (2016)'!$A$3,"MA_HT","DTL","MA_QH","SKT")</f>
        <v>0</v>
      </c>
      <c r="W30" s="50">
        <f ca="1">+GETPIVOTDATA("XDB4",'dabac (2016)'!$A$3,"MA_HT","DTL","MA_QH","SKN")</f>
        <v>0</v>
      </c>
      <c r="X30" s="50">
        <f ca="1">+GETPIVOTDATA("XDB4",'dabac (2016)'!$A$3,"MA_HT","DTL","MA_QH","TMD")</f>
        <v>0</v>
      </c>
      <c r="Y30" s="50">
        <f ca="1">+GETPIVOTDATA("XDB4",'dabac (2016)'!$A$3,"MA_HT","DTL","MA_QH","SKC")</f>
        <v>0</v>
      </c>
      <c r="Z30" s="50">
        <f ca="1">+GETPIVOTDATA("XDB4",'dabac (2016)'!$A$3,"MA_HT","DTL","MA_QH","SKS")</f>
        <v>0</v>
      </c>
      <c r="AA30" s="52">
        <f ca="1">+SUM(AB30,AD30:AM30)</f>
        <v>0</v>
      </c>
      <c r="AB30" s="50">
        <f ca="1">+GETPIVOTDATA("XDB4",'dabac (2016)'!$A$3,"MA_HT","DTL","MA_QH","DGT")</f>
        <v>0</v>
      </c>
      <c r="AC30" s="49" t="e">
        <f ca="1">$D30-$BF30</f>
        <v>#REF!</v>
      </c>
      <c r="AD30" s="50">
        <f ca="1">+GETPIVOTDATA("XDB4",'dabac (2016)'!$A$3,"MA_HT","DTL","MA_QH","DNL")</f>
        <v>0</v>
      </c>
      <c r="AE30" s="50">
        <f ca="1">+GETPIVOTDATA("XDB4",'dabac (2016)'!$A$3,"MA_HT","DTL","MA_QH","DBV")</f>
        <v>0</v>
      </c>
      <c r="AF30" s="50">
        <f ca="1">+GETPIVOTDATA("XDB4",'dabac (2016)'!$A$3,"MA_HT","DTL","MA_QH","DVH")</f>
        <v>0</v>
      </c>
      <c r="AG30" s="50">
        <f ca="1">+GETPIVOTDATA("XDB4",'dabac (2016)'!$A$3,"MA_HT","DTL","MA_QH","DYT")</f>
        <v>0</v>
      </c>
      <c r="AH30" s="50">
        <f ca="1">+GETPIVOTDATA("XDB4",'dabac (2016)'!$A$3,"MA_HT","DTL","MA_QH","DGD")</f>
        <v>0</v>
      </c>
      <c r="AI30" s="50">
        <f ca="1">+GETPIVOTDATA("XDB4",'dabac (2016)'!$A$3,"MA_HT","DTL","MA_QH","DTT")</f>
        <v>0</v>
      </c>
      <c r="AJ30" s="50">
        <f ca="1">+GETPIVOTDATA("XDB4",'dabac (2016)'!$A$3,"MA_HT","DTL","MA_QH","NCK")</f>
        <v>0</v>
      </c>
      <c r="AK30" s="50">
        <f ca="1">+GETPIVOTDATA("XDB4",'dabac (2016)'!$A$3,"MA_HT","DTL","MA_QH","DXH")</f>
        <v>0</v>
      </c>
      <c r="AL30" s="50">
        <f ca="1">+GETPIVOTDATA("XDB4",'dabac (2016)'!$A$3,"MA_HT","DTL","MA_QH","DCH")</f>
        <v>0</v>
      </c>
      <c r="AM30" s="50">
        <f ca="1">+GETPIVOTDATA("XDB4",'dabac (2016)'!$A$3,"MA_HT","DTL","MA_QH","DKG")</f>
        <v>0</v>
      </c>
      <c r="AN30" s="50">
        <f ca="1">+GETPIVOTDATA("XDB4",'dabac (2016)'!$A$3,"MA_HT","DTL","MA_QH","DDT")</f>
        <v>0</v>
      </c>
      <c r="AO30" s="50">
        <f ca="1">+GETPIVOTDATA("XDB4",'dabac (2016)'!$A$3,"MA_HT","DTL","MA_QH","DDL")</f>
        <v>0</v>
      </c>
      <c r="AP30" s="50">
        <f ca="1">+GETPIVOTDATA("XDB4",'dabac (2016)'!$A$3,"MA_HT","DTL","MA_QH","DRA")</f>
        <v>0</v>
      </c>
      <c r="AQ30" s="50">
        <f ca="1">+GETPIVOTDATA("XDB4",'dabac (2016)'!$A$3,"MA_HT","DTL","MA_QH","ONT")</f>
        <v>0</v>
      </c>
      <c r="AR30" s="50">
        <f ca="1">+GETPIVOTDATA("XDB4",'dabac (2016)'!$A$3,"MA_HT","DTL","MA_QH","ODT")</f>
        <v>0</v>
      </c>
      <c r="AS30" s="50">
        <f ca="1">+GETPIVOTDATA("XDB4",'dabac (2016)'!$A$3,"MA_HT","DTL","MA_QH","TSC")</f>
        <v>0</v>
      </c>
      <c r="AT30" s="50">
        <f ca="1">+GETPIVOTDATA("XDB4",'dabac (2016)'!$A$3,"MA_HT","DTL","MA_QH","DTS")</f>
        <v>0</v>
      </c>
      <c r="AU30" s="50">
        <f ca="1">+GETPIVOTDATA("XDB4",'dabac (2016)'!$A$3,"MA_HT","DTL","MA_QH","DNG")</f>
        <v>0</v>
      </c>
      <c r="AV30" s="50">
        <f ca="1">+GETPIVOTDATA("XDB4",'dabac (2016)'!$A$3,"MA_HT","DTL","MA_QH","TON")</f>
        <v>0</v>
      </c>
      <c r="AW30" s="50">
        <f ca="1">+GETPIVOTDATA("XDB4",'dabac (2016)'!$A$3,"MA_HT","DTL","MA_QH","NTD")</f>
        <v>0</v>
      </c>
      <c r="AX30" s="50">
        <f ca="1">+GETPIVOTDATA("XDB4",'dabac (2016)'!$A$3,"MA_HT","DTL","MA_QH","SKX")</f>
        <v>0</v>
      </c>
      <c r="AY30" s="50">
        <f ca="1">+GETPIVOTDATA("XDB4",'dabac (2016)'!$A$3,"MA_HT","DTL","MA_QH","DSH")</f>
        <v>0</v>
      </c>
      <c r="AZ30" s="50">
        <f ca="1">+GETPIVOTDATA("XDB4",'dabac (2016)'!$A$3,"MA_HT","DTL","MA_QH","DKV")</f>
        <v>0</v>
      </c>
      <c r="BA30" s="88">
        <f ca="1">+GETPIVOTDATA("XDB4",'dabac (2016)'!$A$3,"MA_HT","DTL","MA_QH","TIN")</f>
        <v>0</v>
      </c>
      <c r="BB30" s="50">
        <f ca="1">+GETPIVOTDATA("XDB4",'dabac (2016)'!$A$3,"MA_HT","DTL","MA_QH","SON")</f>
        <v>0</v>
      </c>
      <c r="BC30" s="50">
        <f ca="1">+GETPIVOTDATA("XDB4",'dabac (2016)'!$A$3,"MA_HT","DTL","MA_QH","MNC")</f>
        <v>0</v>
      </c>
      <c r="BD30" s="50">
        <f ca="1">+GETPIVOTDATA("XDB4",'dabac (2016)'!$A$3,"MA_HT","DTL","MA_QH","PNK")</f>
        <v>0</v>
      </c>
      <c r="BE30" s="80">
        <f ca="1">+GETPIVOTDATA("XDB4",'dabac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+GETPIVOTDATA("XDB4",'dabac (2016)'!$A$3,"MA_HT","DNL","MA_QH","LUC")</f>
        <v>0</v>
      </c>
      <c r="H31" s="50">
        <f ca="1">+GETPIVOTDATA("XDB4",'dabac (2016)'!$A$3,"MA_HT","DNL","MA_QH","LUK")</f>
        <v>0</v>
      </c>
      <c r="I31" s="50">
        <f ca="1">+GETPIVOTDATA("XDB4",'dabac (2016)'!$A$3,"MA_HT","DNL","MA_QH","LUN")</f>
        <v>0</v>
      </c>
      <c r="J31" s="50">
        <f ca="1">+GETPIVOTDATA("XDB4",'dabac (2016)'!$A$3,"MA_HT","DNL","MA_QH","HNK")</f>
        <v>0</v>
      </c>
      <c r="K31" s="50">
        <f ca="1">+GETPIVOTDATA("XDB4",'dabac (2016)'!$A$3,"MA_HT","DNL","MA_QH","CLN")</f>
        <v>0</v>
      </c>
      <c r="L31" s="50">
        <f ca="1">+GETPIVOTDATA("XDB4",'dabac (2016)'!$A$3,"MA_HT","DNL","MA_QH","RSX")</f>
        <v>0</v>
      </c>
      <c r="M31" s="50">
        <f ca="1">+GETPIVOTDATA("XDB4",'dabac (2016)'!$A$3,"MA_HT","DNL","MA_QH","RPH")</f>
        <v>0</v>
      </c>
      <c r="N31" s="50">
        <f ca="1">+GETPIVOTDATA("XDB4",'dabac (2016)'!$A$3,"MA_HT","DNL","MA_QH","RDD")</f>
        <v>0</v>
      </c>
      <c r="O31" s="50">
        <f ca="1">+GETPIVOTDATA("XDB4",'dabac (2016)'!$A$3,"MA_HT","DNL","MA_QH","NTS")</f>
        <v>0</v>
      </c>
      <c r="P31" s="50">
        <f ca="1">+GETPIVOTDATA("XDB4",'dabac (2016)'!$A$3,"MA_HT","DNL","MA_QH","LMU")</f>
        <v>0</v>
      </c>
      <c r="Q31" s="50">
        <f ca="1">+GETPIVOTDATA("XDB4",'dabac (2016)'!$A$3,"MA_HT","DNL","MA_QH","NKH")</f>
        <v>0</v>
      </c>
      <c r="R31" s="48">
        <f ca="1" t="shared" si="20"/>
        <v>0</v>
      </c>
      <c r="S31" s="50">
        <f ca="1">+GETPIVOTDATA("XDB4",'dabac (2016)'!$A$3,"MA_HT","DNL","MA_QH","CQP")</f>
        <v>0</v>
      </c>
      <c r="T31" s="50">
        <f ca="1">+GETPIVOTDATA("XDB4",'dabac (2016)'!$A$3,"MA_HT","DNL","MA_QH","CAN")</f>
        <v>0</v>
      </c>
      <c r="U31" s="50">
        <f ca="1">+GETPIVOTDATA("XDB4",'dabac (2016)'!$A$3,"MA_HT","DNL","MA_QH","SKK")</f>
        <v>0</v>
      </c>
      <c r="V31" s="50">
        <f ca="1">+GETPIVOTDATA("XDB4",'dabac (2016)'!$A$3,"MA_HT","DNL","MA_QH","SKT")</f>
        <v>0</v>
      </c>
      <c r="W31" s="50">
        <f ca="1">+GETPIVOTDATA("XDB4",'dabac (2016)'!$A$3,"MA_HT","DNL","MA_QH","SKN")</f>
        <v>0</v>
      </c>
      <c r="X31" s="50">
        <f ca="1">+GETPIVOTDATA("XDB4",'dabac (2016)'!$A$3,"MA_HT","DNL","MA_QH","TMD")</f>
        <v>0</v>
      </c>
      <c r="Y31" s="50">
        <f ca="1">+GETPIVOTDATA("XDB4",'dabac (2016)'!$A$3,"MA_HT","DNL","MA_QH","SKC")</f>
        <v>0</v>
      </c>
      <c r="Z31" s="50">
        <f ca="1">+GETPIVOTDATA("XDB4",'dabac (2016)'!$A$3,"MA_HT","DNL","MA_QH","SKS")</f>
        <v>0</v>
      </c>
      <c r="AA31" s="52">
        <f ca="1">+SUM(AB31:AC31,AE31:AM31)</f>
        <v>0</v>
      </c>
      <c r="AB31" s="50">
        <f ca="1">+GETPIVOTDATA("XDB4",'dabac (2016)'!$A$3,"MA_HT","DNL","MA_QH","DGT")</f>
        <v>0</v>
      </c>
      <c r="AC31" s="50">
        <f ca="1">+GETPIVOTDATA("XDB4",'dabac (2016)'!$A$3,"MA_HT","DNL","MA_QH","DTL")</f>
        <v>0</v>
      </c>
      <c r="AD31" s="49" t="e">
        <f ca="1">$D31-$BF31</f>
        <v>#REF!</v>
      </c>
      <c r="AE31" s="50">
        <f ca="1">+GETPIVOTDATA("XDB4",'dabac (2016)'!$A$3,"MA_HT","DNL","MA_QH","DBV")</f>
        <v>0</v>
      </c>
      <c r="AF31" s="50">
        <f ca="1">+GETPIVOTDATA("XDB4",'dabac (2016)'!$A$3,"MA_HT","DNL","MA_QH","DVH")</f>
        <v>0</v>
      </c>
      <c r="AG31" s="50">
        <f ca="1">+GETPIVOTDATA("XDB4",'dabac (2016)'!$A$3,"MA_HT","DNL","MA_QH","DYT")</f>
        <v>0</v>
      </c>
      <c r="AH31" s="50">
        <f ca="1">+GETPIVOTDATA("XDB4",'dabac (2016)'!$A$3,"MA_HT","DNL","MA_QH","DGD")</f>
        <v>0</v>
      </c>
      <c r="AI31" s="50">
        <f ca="1">+GETPIVOTDATA("XDB4",'dabac (2016)'!$A$3,"MA_HT","DNL","MA_QH","DTT")</f>
        <v>0</v>
      </c>
      <c r="AJ31" s="50">
        <f ca="1">+GETPIVOTDATA("XDB4",'dabac (2016)'!$A$3,"MA_HT","DNL","MA_QH","NCK")</f>
        <v>0</v>
      </c>
      <c r="AK31" s="50">
        <f ca="1">+GETPIVOTDATA("XDB4",'dabac (2016)'!$A$3,"MA_HT","DNL","MA_QH","DXH")</f>
        <v>0</v>
      </c>
      <c r="AL31" s="50">
        <f ca="1">+GETPIVOTDATA("XDB4",'dabac (2016)'!$A$3,"MA_HT","DNL","MA_QH","DCH")</f>
        <v>0</v>
      </c>
      <c r="AM31" s="50">
        <f ca="1">+GETPIVOTDATA("XDB4",'dabac (2016)'!$A$3,"MA_HT","DNL","MA_QH","DKG")</f>
        <v>0</v>
      </c>
      <c r="AN31" s="50">
        <f ca="1">+GETPIVOTDATA("XDB4",'dabac (2016)'!$A$3,"MA_HT","DNL","MA_QH","DDT")</f>
        <v>0</v>
      </c>
      <c r="AO31" s="50">
        <f ca="1">+GETPIVOTDATA("XDB4",'dabac (2016)'!$A$3,"MA_HT","DNL","MA_QH","DDL")</f>
        <v>0</v>
      </c>
      <c r="AP31" s="50">
        <f ca="1">+GETPIVOTDATA("XDB4",'dabac (2016)'!$A$3,"MA_HT","DNL","MA_QH","DRA")</f>
        <v>0</v>
      </c>
      <c r="AQ31" s="50">
        <f ca="1">+GETPIVOTDATA("XDB4",'dabac (2016)'!$A$3,"MA_HT","DNL","MA_QH","ONT")</f>
        <v>0</v>
      </c>
      <c r="AR31" s="50">
        <f ca="1">+GETPIVOTDATA("XDB4",'dabac (2016)'!$A$3,"MA_HT","DNL","MA_QH","ODT")</f>
        <v>0</v>
      </c>
      <c r="AS31" s="50">
        <f ca="1">+GETPIVOTDATA("XDB4",'dabac (2016)'!$A$3,"MA_HT","DNL","MA_QH","TSC")</f>
        <v>0</v>
      </c>
      <c r="AT31" s="50">
        <f ca="1">+GETPIVOTDATA("XDB4",'dabac (2016)'!$A$3,"MA_HT","DNL","MA_QH","DTS")</f>
        <v>0</v>
      </c>
      <c r="AU31" s="50">
        <f ca="1">+GETPIVOTDATA("XDB4",'dabac (2016)'!$A$3,"MA_HT","DNL","MA_QH","DNG")</f>
        <v>0</v>
      </c>
      <c r="AV31" s="50">
        <f ca="1">+GETPIVOTDATA("XDB4",'dabac (2016)'!$A$3,"MA_HT","DNL","MA_QH","TON")</f>
        <v>0</v>
      </c>
      <c r="AW31" s="50">
        <f ca="1">+GETPIVOTDATA("XDB4",'dabac (2016)'!$A$3,"MA_HT","DNL","MA_QH","NTD")</f>
        <v>0</v>
      </c>
      <c r="AX31" s="50">
        <f ca="1">+GETPIVOTDATA("XDB4",'dabac (2016)'!$A$3,"MA_HT","DNL","MA_QH","SKX")</f>
        <v>0</v>
      </c>
      <c r="AY31" s="50">
        <f ca="1">+GETPIVOTDATA("XDB4",'dabac (2016)'!$A$3,"MA_HT","DNL","MA_QH","DSH")</f>
        <v>0</v>
      </c>
      <c r="AZ31" s="50">
        <f ca="1">+GETPIVOTDATA("XDB4",'dabac (2016)'!$A$3,"MA_HT","DNL","MA_QH","DKV")</f>
        <v>0</v>
      </c>
      <c r="BA31" s="88">
        <f ca="1">+GETPIVOTDATA("XDB4",'dabac (2016)'!$A$3,"MA_HT","DNL","MA_QH","TIN")</f>
        <v>0</v>
      </c>
      <c r="BB31" s="50">
        <f ca="1">+GETPIVOTDATA("XDB4",'dabac (2016)'!$A$3,"MA_HT","DNL","MA_QH","SON")</f>
        <v>0</v>
      </c>
      <c r="BC31" s="50">
        <f ca="1">+GETPIVOTDATA("XDB4",'dabac (2016)'!$A$3,"MA_HT","DNL","MA_QH","MNC")</f>
        <v>0</v>
      </c>
      <c r="BD31" s="50">
        <f ca="1">+GETPIVOTDATA("XDB4",'dabac (2016)'!$A$3,"MA_HT","DNL","MA_QH","PNK")</f>
        <v>0</v>
      </c>
      <c r="BE31" s="80">
        <f ca="1">+GETPIVOTDATA("XDB4",'dabac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+GETPIVOTDATA("XDB4",'dabac (2016)'!$A$3,"MA_HT","DBV","MA_QH","LUC")</f>
        <v>0</v>
      </c>
      <c r="H32" s="50">
        <f ca="1">+GETPIVOTDATA("XDB4",'dabac (2016)'!$A$3,"MA_HT","DBV","MA_QH","LUK")</f>
        <v>0</v>
      </c>
      <c r="I32" s="50">
        <f ca="1">+GETPIVOTDATA("XDB4",'dabac (2016)'!$A$3,"MA_HT","DBV","MA_QH","LUN")</f>
        <v>0</v>
      </c>
      <c r="J32" s="50">
        <f ca="1">+GETPIVOTDATA("XDB4",'dabac (2016)'!$A$3,"MA_HT","DBV","MA_QH","HNK")</f>
        <v>0</v>
      </c>
      <c r="K32" s="50">
        <f ca="1">+GETPIVOTDATA("XDB4",'dabac (2016)'!$A$3,"MA_HT","DBV","MA_QH","CLN")</f>
        <v>0</v>
      </c>
      <c r="L32" s="50">
        <f ca="1">+GETPIVOTDATA("XDB4",'dabac (2016)'!$A$3,"MA_HT","DBV","MA_QH","RSX")</f>
        <v>0</v>
      </c>
      <c r="M32" s="50">
        <f ca="1">+GETPIVOTDATA("XDB4",'dabac (2016)'!$A$3,"MA_HT","DBV","MA_QH","RPH")</f>
        <v>0</v>
      </c>
      <c r="N32" s="50">
        <f ca="1">+GETPIVOTDATA("XDB4",'dabac (2016)'!$A$3,"MA_HT","DBV","MA_QH","RDD")</f>
        <v>0</v>
      </c>
      <c r="O32" s="50">
        <f ca="1">+GETPIVOTDATA("XDB4",'dabac (2016)'!$A$3,"MA_HT","DBV","MA_QH","NTS")</f>
        <v>0</v>
      </c>
      <c r="P32" s="50">
        <f ca="1">+GETPIVOTDATA("XDB4",'dabac (2016)'!$A$3,"MA_HT","DBV","MA_QH","LMU")</f>
        <v>0</v>
      </c>
      <c r="Q32" s="50">
        <f ca="1">+GETPIVOTDATA("XDB4",'dabac (2016)'!$A$3,"MA_HT","DBV","MA_QH","NKH")</f>
        <v>0</v>
      </c>
      <c r="R32" s="48">
        <f ca="1" t="shared" si="20"/>
        <v>0</v>
      </c>
      <c r="S32" s="50">
        <f ca="1">+GETPIVOTDATA("XDB4",'dabac (2016)'!$A$3,"MA_HT","DBV","MA_QH","CQP")</f>
        <v>0</v>
      </c>
      <c r="T32" s="50">
        <f ca="1">+GETPIVOTDATA("XDB4",'dabac (2016)'!$A$3,"MA_HT","DBV","MA_QH","CAN")</f>
        <v>0</v>
      </c>
      <c r="U32" s="50">
        <f ca="1">+GETPIVOTDATA("XDB4",'dabac (2016)'!$A$3,"MA_HT","DBV","MA_QH","SKK")</f>
        <v>0</v>
      </c>
      <c r="V32" s="50">
        <f ca="1">+GETPIVOTDATA("XDB4",'dabac (2016)'!$A$3,"MA_HT","DBV","MA_QH","SKT")</f>
        <v>0</v>
      </c>
      <c r="W32" s="50">
        <f ca="1">+GETPIVOTDATA("XDB4",'dabac (2016)'!$A$3,"MA_HT","DBV","MA_QH","SKN")</f>
        <v>0</v>
      </c>
      <c r="X32" s="50">
        <f ca="1">+GETPIVOTDATA("XDB4",'dabac (2016)'!$A$3,"MA_HT","DBV","MA_QH","TMD")</f>
        <v>0</v>
      </c>
      <c r="Y32" s="50">
        <f ca="1">+GETPIVOTDATA("XDB4",'dabac (2016)'!$A$3,"MA_HT","DBV","MA_QH","SKC")</f>
        <v>0</v>
      </c>
      <c r="Z32" s="50">
        <f ca="1">+GETPIVOTDATA("XDB4",'dabac (2016)'!$A$3,"MA_HT","DBV","MA_QH","SKS")</f>
        <v>0</v>
      </c>
      <c r="AA32" s="52">
        <f ca="1">+SUM(AB32:AD32,AF32:AM32)</f>
        <v>0</v>
      </c>
      <c r="AB32" s="50">
        <f ca="1">+GETPIVOTDATA("XDB4",'dabac (2016)'!$A$3,"MA_HT","DBV","MA_QH","DGT")</f>
        <v>0</v>
      </c>
      <c r="AC32" s="50">
        <f ca="1">+GETPIVOTDATA("XDB4",'dabac (2016)'!$A$3,"MA_HT","DBV","MA_QH","DTL")</f>
        <v>0</v>
      </c>
      <c r="AD32" s="50">
        <f ca="1">+GETPIVOTDATA("XDB4",'dabac (2016)'!$A$3,"MA_HT","DBV","MA_QH","DNL")</f>
        <v>0</v>
      </c>
      <c r="AE32" s="49" t="e">
        <f ca="1">$D32-$BF32</f>
        <v>#REF!</v>
      </c>
      <c r="AF32" s="50">
        <f ca="1">+GETPIVOTDATA("XDB4",'dabac (2016)'!$A$3,"MA_HT","DBV","MA_QH","DVH")</f>
        <v>0</v>
      </c>
      <c r="AG32" s="50">
        <f ca="1">+GETPIVOTDATA("XDB4",'dabac (2016)'!$A$3,"MA_HT","DBV","MA_QH","DYT")</f>
        <v>0</v>
      </c>
      <c r="AH32" s="50">
        <f ca="1">+GETPIVOTDATA("XDB4",'dabac (2016)'!$A$3,"MA_HT","DBV","MA_QH","DGD")</f>
        <v>0</v>
      </c>
      <c r="AI32" s="50">
        <f ca="1">+GETPIVOTDATA("XDB4",'dabac (2016)'!$A$3,"MA_HT","DBV","MA_QH","DTT")</f>
        <v>0</v>
      </c>
      <c r="AJ32" s="50">
        <f ca="1">+GETPIVOTDATA("XDB4",'dabac (2016)'!$A$3,"MA_HT","DBV","MA_QH","NCK")</f>
        <v>0</v>
      </c>
      <c r="AK32" s="50">
        <f ca="1">+GETPIVOTDATA("XDB4",'dabac (2016)'!$A$3,"MA_HT","DBV","MA_QH","DXH")</f>
        <v>0</v>
      </c>
      <c r="AL32" s="50">
        <f ca="1">+GETPIVOTDATA("XDB4",'dabac (2016)'!$A$3,"MA_HT","DBV","MA_QH","DCH")</f>
        <v>0</v>
      </c>
      <c r="AM32" s="50">
        <f ca="1">+GETPIVOTDATA("XDB4",'dabac (2016)'!$A$3,"MA_HT","DBV","MA_QH","DKG")</f>
        <v>0</v>
      </c>
      <c r="AN32" s="50">
        <f ca="1">+GETPIVOTDATA("XDB4",'dabac (2016)'!$A$3,"MA_HT","DBV","MA_QH","DDT")</f>
        <v>0</v>
      </c>
      <c r="AO32" s="50">
        <f ca="1">+GETPIVOTDATA("XDB4",'dabac (2016)'!$A$3,"MA_HT","DBV","MA_QH","DDL")</f>
        <v>0</v>
      </c>
      <c r="AP32" s="50">
        <f ca="1">+GETPIVOTDATA("XDB4",'dabac (2016)'!$A$3,"MA_HT","DBV","MA_QH","DRA")</f>
        <v>0</v>
      </c>
      <c r="AQ32" s="50">
        <f ca="1">+GETPIVOTDATA("XDB4",'dabac (2016)'!$A$3,"MA_HT","DBV","MA_QH","ONT")</f>
        <v>0</v>
      </c>
      <c r="AR32" s="50">
        <f ca="1">+GETPIVOTDATA("XDB4",'dabac (2016)'!$A$3,"MA_HT","DBV","MA_QH","ODT")</f>
        <v>0</v>
      </c>
      <c r="AS32" s="50">
        <f ca="1">+GETPIVOTDATA("XDB4",'dabac (2016)'!$A$3,"MA_HT","DBV","MA_QH","TSC")</f>
        <v>0</v>
      </c>
      <c r="AT32" s="50">
        <f ca="1">+GETPIVOTDATA("XDB4",'dabac (2016)'!$A$3,"MA_HT","DBV","MA_QH","DTS")</f>
        <v>0</v>
      </c>
      <c r="AU32" s="50">
        <f ca="1">+GETPIVOTDATA("XDB4",'dabac (2016)'!$A$3,"MA_HT","DBV","MA_QH","DNG")</f>
        <v>0</v>
      </c>
      <c r="AV32" s="50">
        <f ca="1">+GETPIVOTDATA("XDB4",'dabac (2016)'!$A$3,"MA_HT","DBV","MA_QH","TON")</f>
        <v>0</v>
      </c>
      <c r="AW32" s="50">
        <f ca="1">+GETPIVOTDATA("XDB4",'dabac (2016)'!$A$3,"MA_HT","DBV","MA_QH","NTD")</f>
        <v>0</v>
      </c>
      <c r="AX32" s="50">
        <f ca="1">+GETPIVOTDATA("XDB4",'dabac (2016)'!$A$3,"MA_HT","DBV","MA_QH","SKX")</f>
        <v>0</v>
      </c>
      <c r="AY32" s="50">
        <f ca="1">+GETPIVOTDATA("XDB4",'dabac (2016)'!$A$3,"MA_HT","DBV","MA_QH","DSH")</f>
        <v>0</v>
      </c>
      <c r="AZ32" s="50">
        <f ca="1">+GETPIVOTDATA("XDB4",'dabac (2016)'!$A$3,"MA_HT","DBV","MA_QH","DKV")</f>
        <v>0</v>
      </c>
      <c r="BA32" s="88">
        <f ca="1">+GETPIVOTDATA("XDB4",'dabac (2016)'!$A$3,"MA_HT","DBV","MA_QH","TIN")</f>
        <v>0</v>
      </c>
      <c r="BB32" s="50">
        <f ca="1">+GETPIVOTDATA("XDB4",'dabac (2016)'!$A$3,"MA_HT","DBV","MA_QH","SON")</f>
        <v>0</v>
      </c>
      <c r="BC32" s="50">
        <f ca="1">+GETPIVOTDATA("XDB4",'dabac (2016)'!$A$3,"MA_HT","DBV","MA_QH","MNC")</f>
        <v>0</v>
      </c>
      <c r="BD32" s="50">
        <f ca="1">+GETPIVOTDATA("XDB4",'dabac (2016)'!$A$3,"MA_HT","DBV","MA_QH","PNK")</f>
        <v>0</v>
      </c>
      <c r="BE32" s="80">
        <f ca="1">+GETPIVOTDATA("XDB4",'dabac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+GETPIVOTDATA("XDB4",'dabac (2016)'!$A$3,"MA_HT","DVH","MA_QH","LUC")</f>
        <v>0</v>
      </c>
      <c r="H33" s="50">
        <f ca="1">+GETPIVOTDATA("XDB4",'dabac (2016)'!$A$3,"MA_HT","DVH","MA_QH","LUK")</f>
        <v>0</v>
      </c>
      <c r="I33" s="50">
        <f ca="1">+GETPIVOTDATA("XDB4",'dabac (2016)'!$A$3,"MA_HT","DVH","MA_QH","LUN")</f>
        <v>0</v>
      </c>
      <c r="J33" s="50">
        <f ca="1">+GETPIVOTDATA("XDB4",'dabac (2016)'!$A$3,"MA_HT","DVH","MA_QH","HNK")</f>
        <v>0</v>
      </c>
      <c r="K33" s="50">
        <f ca="1">+GETPIVOTDATA("XDB4",'dabac (2016)'!$A$3,"MA_HT","DVH","MA_QH","CLN")</f>
        <v>0</v>
      </c>
      <c r="L33" s="50">
        <f ca="1">+GETPIVOTDATA("XDB4",'dabac (2016)'!$A$3,"MA_HT","DVH","MA_QH","RSX")</f>
        <v>0</v>
      </c>
      <c r="M33" s="50">
        <f ca="1">+GETPIVOTDATA("XDB4",'dabac (2016)'!$A$3,"MA_HT","DVH","MA_QH","RPH")</f>
        <v>0</v>
      </c>
      <c r="N33" s="50">
        <f ca="1">+GETPIVOTDATA("XDB4",'dabac (2016)'!$A$3,"MA_HT","DVH","MA_QH","RDD")</f>
        <v>0</v>
      </c>
      <c r="O33" s="50">
        <f ca="1">+GETPIVOTDATA("XDB4",'dabac (2016)'!$A$3,"MA_HT","DVH","MA_QH","NTS")</f>
        <v>0</v>
      </c>
      <c r="P33" s="50">
        <f ca="1">+GETPIVOTDATA("XDB4",'dabac (2016)'!$A$3,"MA_HT","DVH","MA_QH","LMU")</f>
        <v>0</v>
      </c>
      <c r="Q33" s="50">
        <f ca="1">+GETPIVOTDATA("XDB4",'dabac (2016)'!$A$3,"MA_HT","DVH","MA_QH","NKH")</f>
        <v>0</v>
      </c>
      <c r="R33" s="48">
        <f ca="1" t="shared" si="20"/>
        <v>0</v>
      </c>
      <c r="S33" s="50">
        <f ca="1">+GETPIVOTDATA("XDB4",'dabac (2016)'!$A$3,"MA_HT","DVH","MA_QH","CQP")</f>
        <v>0</v>
      </c>
      <c r="T33" s="50">
        <f ca="1">+GETPIVOTDATA("XDB4",'dabac (2016)'!$A$3,"MA_HT","DVH","MA_QH","CAN")</f>
        <v>0</v>
      </c>
      <c r="U33" s="50">
        <f ca="1">+GETPIVOTDATA("XDB4",'dabac (2016)'!$A$3,"MA_HT","DVH","MA_QH","SKK")</f>
        <v>0</v>
      </c>
      <c r="V33" s="50">
        <f ca="1">+GETPIVOTDATA("XDB4",'dabac (2016)'!$A$3,"MA_HT","DVH","MA_QH","SKT")</f>
        <v>0</v>
      </c>
      <c r="W33" s="50">
        <f ca="1">+GETPIVOTDATA("XDB4",'dabac (2016)'!$A$3,"MA_HT","DVH","MA_QH","SKN")</f>
        <v>0</v>
      </c>
      <c r="X33" s="50">
        <f ca="1">+GETPIVOTDATA("XDB4",'dabac (2016)'!$A$3,"MA_HT","DVH","MA_QH","TMD")</f>
        <v>0</v>
      </c>
      <c r="Y33" s="50">
        <f ca="1">+GETPIVOTDATA("XDB4",'dabac (2016)'!$A$3,"MA_HT","DVH","MA_QH","SKC")</f>
        <v>0</v>
      </c>
      <c r="Z33" s="50">
        <f ca="1">+GETPIVOTDATA("XDB4",'dabac (2016)'!$A$3,"MA_HT","DVH","MA_QH","SKS")</f>
        <v>0</v>
      </c>
      <c r="AA33" s="52">
        <f ca="1">+SUM(AB33:AE33,AG33:AM33)</f>
        <v>0</v>
      </c>
      <c r="AB33" s="50">
        <f ca="1">+GETPIVOTDATA("XDB4",'dabac (2016)'!$A$3,"MA_HT","DVH","MA_QH","DGT")</f>
        <v>0</v>
      </c>
      <c r="AC33" s="50">
        <f ca="1">+GETPIVOTDATA("XDB4",'dabac (2016)'!$A$3,"MA_HT","DVH","MA_QH","DTL")</f>
        <v>0</v>
      </c>
      <c r="AD33" s="50">
        <f ca="1">+GETPIVOTDATA("XDB4",'dabac (2016)'!$A$3,"MA_HT","DVH","MA_QH","DNL")</f>
        <v>0</v>
      </c>
      <c r="AE33" s="50">
        <f ca="1">+GETPIVOTDATA("XDB4",'dabac (2016)'!$A$3,"MA_HT","DVH","MA_QH","DBV")</f>
        <v>0</v>
      </c>
      <c r="AF33" s="49" t="e">
        <f ca="1">$D33-$BF33</f>
        <v>#REF!</v>
      </c>
      <c r="AG33" s="50">
        <f ca="1">+GETPIVOTDATA("XDB4",'dabac (2016)'!$A$3,"MA_HT","DVH","MA_QH","DYT")</f>
        <v>0</v>
      </c>
      <c r="AH33" s="50">
        <f ca="1">+GETPIVOTDATA("XDB4",'dabac (2016)'!$A$3,"MA_HT","DVH","MA_QH","DGD")</f>
        <v>0</v>
      </c>
      <c r="AI33" s="50">
        <f ca="1">+GETPIVOTDATA("XDB4",'dabac (2016)'!$A$3,"MA_HT","DVH","MA_QH","DTT")</f>
        <v>0</v>
      </c>
      <c r="AJ33" s="50">
        <f ca="1">+GETPIVOTDATA("XDB4",'dabac (2016)'!$A$3,"MA_HT","DVH","MA_QH","NCK")</f>
        <v>0</v>
      </c>
      <c r="AK33" s="50">
        <f ca="1">+GETPIVOTDATA("XDB4",'dabac (2016)'!$A$3,"MA_HT","DVH","MA_QH","DXH")</f>
        <v>0</v>
      </c>
      <c r="AL33" s="50">
        <f ca="1">+GETPIVOTDATA("XDB4",'dabac (2016)'!$A$3,"MA_HT","DVH","MA_QH","DCH")</f>
        <v>0</v>
      </c>
      <c r="AM33" s="50">
        <f ca="1">+GETPIVOTDATA("XDB4",'dabac (2016)'!$A$3,"MA_HT","DVH","MA_QH","DKG")</f>
        <v>0</v>
      </c>
      <c r="AN33" s="50">
        <f ca="1">+GETPIVOTDATA("XDB4",'dabac (2016)'!$A$3,"MA_HT","DVH","MA_QH","DDT")</f>
        <v>0</v>
      </c>
      <c r="AO33" s="50">
        <f ca="1">+GETPIVOTDATA("XDB4",'dabac (2016)'!$A$3,"MA_HT","DVH","MA_QH","DDL")</f>
        <v>0</v>
      </c>
      <c r="AP33" s="50">
        <f ca="1">+GETPIVOTDATA("XDB4",'dabac (2016)'!$A$3,"MA_HT","DVH","MA_QH","DRA")</f>
        <v>0</v>
      </c>
      <c r="AQ33" s="50">
        <f ca="1">+GETPIVOTDATA("XDB4",'dabac (2016)'!$A$3,"MA_HT","DVH","MA_QH","ONT")</f>
        <v>0</v>
      </c>
      <c r="AR33" s="50">
        <f ca="1">+GETPIVOTDATA("XDB4",'dabac (2016)'!$A$3,"MA_HT","DVH","MA_QH","ODT")</f>
        <v>0</v>
      </c>
      <c r="AS33" s="50">
        <f ca="1">+GETPIVOTDATA("XDB4",'dabac (2016)'!$A$3,"MA_HT","DVH","MA_QH","TSC")</f>
        <v>0</v>
      </c>
      <c r="AT33" s="50">
        <f ca="1">+GETPIVOTDATA("XDB4",'dabac (2016)'!$A$3,"MA_HT","DVH","MA_QH","DTS")</f>
        <v>0</v>
      </c>
      <c r="AU33" s="50">
        <f ca="1">+GETPIVOTDATA("XDB4",'dabac (2016)'!$A$3,"MA_HT","DVH","MA_QH","DNG")</f>
        <v>0</v>
      </c>
      <c r="AV33" s="50">
        <f ca="1">+GETPIVOTDATA("XDB4",'dabac (2016)'!$A$3,"MA_HT","DVH","MA_QH","TON")</f>
        <v>0</v>
      </c>
      <c r="AW33" s="50">
        <f ca="1">+GETPIVOTDATA("XDB4",'dabac (2016)'!$A$3,"MA_HT","DVH","MA_QH","NTD")</f>
        <v>0</v>
      </c>
      <c r="AX33" s="50">
        <f ca="1">+GETPIVOTDATA("XDB4",'dabac (2016)'!$A$3,"MA_HT","DVH","MA_QH","SKX")</f>
        <v>0</v>
      </c>
      <c r="AY33" s="50">
        <f ca="1">+GETPIVOTDATA("XDB4",'dabac (2016)'!$A$3,"MA_HT","DVH","MA_QH","DSH")</f>
        <v>0</v>
      </c>
      <c r="AZ33" s="50">
        <f ca="1">+GETPIVOTDATA("XDB4",'dabac (2016)'!$A$3,"MA_HT","DVH","MA_QH","DKV")</f>
        <v>0</v>
      </c>
      <c r="BA33" s="88">
        <f ca="1">+GETPIVOTDATA("XDB4",'dabac (2016)'!$A$3,"MA_HT","DVH","MA_QH","TIN")</f>
        <v>0</v>
      </c>
      <c r="BB33" s="50">
        <f ca="1">+GETPIVOTDATA("XDB4",'dabac (2016)'!$A$3,"MA_HT","DVH","MA_QH","SON")</f>
        <v>0</v>
      </c>
      <c r="BC33" s="50">
        <f ca="1">+GETPIVOTDATA("XDB4",'dabac (2016)'!$A$3,"MA_HT","DVH","MA_QH","MNC")</f>
        <v>0</v>
      </c>
      <c r="BD33" s="50">
        <f ca="1">+GETPIVOTDATA("XDB4",'dabac (2016)'!$A$3,"MA_HT","DVH","MA_QH","PNK")</f>
        <v>0</v>
      </c>
      <c r="BE33" s="80">
        <f ca="1">+GETPIVOTDATA("XDB4",'dabac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+GETPIVOTDATA("XDB4",'dabac (2016)'!$A$3,"MA_HT","DYT","MA_QH","LUC")</f>
        <v>0</v>
      </c>
      <c r="H34" s="50">
        <f ca="1">+GETPIVOTDATA("XDB4",'dabac (2016)'!$A$3,"MA_HT","DYT","MA_QH","LUK")</f>
        <v>0</v>
      </c>
      <c r="I34" s="50">
        <f ca="1">+GETPIVOTDATA("XDB4",'dabac (2016)'!$A$3,"MA_HT","DYT","MA_QH","LUN")</f>
        <v>0</v>
      </c>
      <c r="J34" s="50">
        <f ca="1">+GETPIVOTDATA("XDB4",'dabac (2016)'!$A$3,"MA_HT","DYT","MA_QH","HNK")</f>
        <v>0</v>
      </c>
      <c r="K34" s="50">
        <f ca="1">+GETPIVOTDATA("XDB4",'dabac (2016)'!$A$3,"MA_HT","DYT","MA_QH","CLN")</f>
        <v>0</v>
      </c>
      <c r="L34" s="50">
        <f ca="1">+GETPIVOTDATA("XDB4",'dabac (2016)'!$A$3,"MA_HT","DYT","MA_QH","RSX")</f>
        <v>0</v>
      </c>
      <c r="M34" s="50">
        <f ca="1">+GETPIVOTDATA("XDB4",'dabac (2016)'!$A$3,"MA_HT","DYT","MA_QH","RPH")</f>
        <v>0</v>
      </c>
      <c r="N34" s="50">
        <f ca="1">+GETPIVOTDATA("XDB4",'dabac (2016)'!$A$3,"MA_HT","DYT","MA_QH","RDD")</f>
        <v>0</v>
      </c>
      <c r="O34" s="50">
        <f ca="1">+GETPIVOTDATA("XDB4",'dabac (2016)'!$A$3,"MA_HT","DYT","MA_QH","NTS")</f>
        <v>0</v>
      </c>
      <c r="P34" s="50">
        <f ca="1">+GETPIVOTDATA("XDB4",'dabac (2016)'!$A$3,"MA_HT","DYT","MA_QH","LMU")</f>
        <v>0</v>
      </c>
      <c r="Q34" s="50">
        <f ca="1">+GETPIVOTDATA("XDB4",'dabac (2016)'!$A$3,"MA_HT","DYT","MA_QH","NKH")</f>
        <v>0</v>
      </c>
      <c r="R34" s="48">
        <f ca="1" t="shared" si="20"/>
        <v>0</v>
      </c>
      <c r="S34" s="50">
        <f ca="1">+GETPIVOTDATA("XDB4",'dabac (2016)'!$A$3,"MA_HT","DYT","MA_QH","CQP")</f>
        <v>0</v>
      </c>
      <c r="T34" s="50">
        <f ca="1">+GETPIVOTDATA("XDB4",'dabac (2016)'!$A$3,"MA_HT","DYT","MA_QH","CAN")</f>
        <v>0</v>
      </c>
      <c r="U34" s="50">
        <f ca="1">+GETPIVOTDATA("XDB4",'dabac (2016)'!$A$3,"MA_HT","DYT","MA_QH","SKK")</f>
        <v>0</v>
      </c>
      <c r="V34" s="50">
        <f ca="1">+GETPIVOTDATA("XDB4",'dabac (2016)'!$A$3,"MA_HT","DYT","MA_QH","SKT")</f>
        <v>0</v>
      </c>
      <c r="W34" s="50">
        <f ca="1">+GETPIVOTDATA("XDB4",'dabac (2016)'!$A$3,"MA_HT","DYT","MA_QH","SKN")</f>
        <v>0</v>
      </c>
      <c r="X34" s="50">
        <f ca="1">+GETPIVOTDATA("XDB4",'dabac (2016)'!$A$3,"MA_HT","DYT","MA_QH","TMD")</f>
        <v>0</v>
      </c>
      <c r="Y34" s="50">
        <f ca="1">+GETPIVOTDATA("XDB4",'dabac (2016)'!$A$3,"MA_HT","DYT","MA_QH","SKC")</f>
        <v>0</v>
      </c>
      <c r="Z34" s="50">
        <f ca="1">+GETPIVOTDATA("XDB4",'dabac (2016)'!$A$3,"MA_HT","DYT","MA_QH","SKS")</f>
        <v>0</v>
      </c>
      <c r="AA34" s="52">
        <f ca="1">+SUM(AB34:AF34,AH34:AM34)</f>
        <v>0</v>
      </c>
      <c r="AB34" s="50">
        <f ca="1">+GETPIVOTDATA("XDB4",'dabac (2016)'!$A$3,"MA_HT","DYT","MA_QH","DGT")</f>
        <v>0</v>
      </c>
      <c r="AC34" s="50">
        <f ca="1">+GETPIVOTDATA("XDB4",'dabac (2016)'!$A$3,"MA_HT","DYT","MA_QH","DTL")</f>
        <v>0</v>
      </c>
      <c r="AD34" s="50">
        <f ca="1">+GETPIVOTDATA("XDB4",'dabac (2016)'!$A$3,"MA_HT","DYT","MA_QH","DNL")</f>
        <v>0</v>
      </c>
      <c r="AE34" s="50">
        <f ca="1">+GETPIVOTDATA("XDB4",'dabac (2016)'!$A$3,"MA_HT","DYT","MA_QH","DBV")</f>
        <v>0</v>
      </c>
      <c r="AF34" s="50">
        <f ca="1">+GETPIVOTDATA("XDB4",'dabac (2016)'!$A$3,"MA_HT","DYT","MA_QH","DVH")</f>
        <v>0</v>
      </c>
      <c r="AG34" s="49" t="e">
        <f ca="1">$D34-$BF34</f>
        <v>#REF!</v>
      </c>
      <c r="AH34" s="50">
        <f ca="1">+GETPIVOTDATA("XDB4",'dabac (2016)'!$A$3,"MA_HT","DYT","MA_QH","DGD")</f>
        <v>0</v>
      </c>
      <c r="AI34" s="50">
        <f ca="1">+GETPIVOTDATA("XDB4",'dabac (2016)'!$A$3,"MA_HT","DYT","MA_QH","DTT")</f>
        <v>0</v>
      </c>
      <c r="AJ34" s="50">
        <f ca="1">+GETPIVOTDATA("XDB4",'dabac (2016)'!$A$3,"MA_HT","DYT","MA_QH","NCK")</f>
        <v>0</v>
      </c>
      <c r="AK34" s="50">
        <f ca="1">+GETPIVOTDATA("XDB4",'dabac (2016)'!$A$3,"MA_HT","DYT","MA_QH","DXH")</f>
        <v>0</v>
      </c>
      <c r="AL34" s="50">
        <f ca="1">+GETPIVOTDATA("XDB4",'dabac (2016)'!$A$3,"MA_HT","DYT","MA_QH","DCH")</f>
        <v>0</v>
      </c>
      <c r="AM34" s="50">
        <f ca="1">+GETPIVOTDATA("XDB4",'dabac (2016)'!$A$3,"MA_HT","DYT","MA_QH","DKG")</f>
        <v>0</v>
      </c>
      <c r="AN34" s="50">
        <f ca="1">+GETPIVOTDATA("XDB4",'dabac (2016)'!$A$3,"MA_HT","DYT","MA_QH","DDT")</f>
        <v>0</v>
      </c>
      <c r="AO34" s="50">
        <f ca="1">+GETPIVOTDATA("XDB4",'dabac (2016)'!$A$3,"MA_HT","DYT","MA_QH","DDL")</f>
        <v>0</v>
      </c>
      <c r="AP34" s="50">
        <f ca="1">+GETPIVOTDATA("XDB4",'dabac (2016)'!$A$3,"MA_HT","DYT","MA_QH","DRA")</f>
        <v>0</v>
      </c>
      <c r="AQ34" s="50">
        <f ca="1">+GETPIVOTDATA("XDB4",'dabac (2016)'!$A$3,"MA_HT","DYT","MA_QH","ONT")</f>
        <v>0</v>
      </c>
      <c r="AR34" s="50">
        <f ca="1">+GETPIVOTDATA("XDB4",'dabac (2016)'!$A$3,"MA_HT","DYT","MA_QH","ODT")</f>
        <v>0</v>
      </c>
      <c r="AS34" s="50">
        <f ca="1">+GETPIVOTDATA("XDB4",'dabac (2016)'!$A$3,"MA_HT","DYT","MA_QH","TSC")</f>
        <v>0</v>
      </c>
      <c r="AT34" s="50">
        <f ca="1">+GETPIVOTDATA("XDB4",'dabac (2016)'!$A$3,"MA_HT","DYT","MA_QH","DTS")</f>
        <v>0</v>
      </c>
      <c r="AU34" s="50">
        <f ca="1">+GETPIVOTDATA("XDB4",'dabac (2016)'!$A$3,"MA_HT","DYT","MA_QH","DNG")</f>
        <v>0</v>
      </c>
      <c r="AV34" s="50">
        <f ca="1">+GETPIVOTDATA("XDB4",'dabac (2016)'!$A$3,"MA_HT","DYT","MA_QH","TON")</f>
        <v>0</v>
      </c>
      <c r="AW34" s="50">
        <f ca="1">+GETPIVOTDATA("XDB4",'dabac (2016)'!$A$3,"MA_HT","DYT","MA_QH","NTD")</f>
        <v>0</v>
      </c>
      <c r="AX34" s="50">
        <f ca="1">+GETPIVOTDATA("XDB4",'dabac (2016)'!$A$3,"MA_HT","DYT","MA_QH","SKX")</f>
        <v>0</v>
      </c>
      <c r="AY34" s="50">
        <f ca="1">+GETPIVOTDATA("XDB4",'dabac (2016)'!$A$3,"MA_HT","DYT","MA_QH","DSH")</f>
        <v>0</v>
      </c>
      <c r="AZ34" s="50">
        <f ca="1">+GETPIVOTDATA("XDB4",'dabac (2016)'!$A$3,"MA_HT","DYT","MA_QH","DKV")</f>
        <v>0</v>
      </c>
      <c r="BA34" s="88">
        <f ca="1">+GETPIVOTDATA("XDB4",'dabac (2016)'!$A$3,"MA_HT","DYT","MA_QH","TIN")</f>
        <v>0</v>
      </c>
      <c r="BB34" s="50">
        <f ca="1">+GETPIVOTDATA("XDB4",'dabac (2016)'!$A$3,"MA_HT","DYT","MA_QH","SON")</f>
        <v>0</v>
      </c>
      <c r="BC34" s="50">
        <f ca="1">+GETPIVOTDATA("XDB4",'dabac (2016)'!$A$3,"MA_HT","DYT","MA_QH","MNC")</f>
        <v>0</v>
      </c>
      <c r="BD34" s="50">
        <f ca="1">+GETPIVOTDATA("XDB4",'dabac (2016)'!$A$3,"MA_HT","DYT","MA_QH","PNK")</f>
        <v>0</v>
      </c>
      <c r="BE34" s="80">
        <f ca="1">+GETPIVOTDATA("XDB4",'dabac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+GETPIVOTDATA("XDB4",'dabac (2016)'!$A$3,"MA_HT","DGD","MA_QH","LUC")</f>
        <v>0</v>
      </c>
      <c r="H35" s="50">
        <f ca="1">+GETPIVOTDATA("XDB4",'dabac (2016)'!$A$3,"MA_HT","DGD","MA_QH","LUK")</f>
        <v>0</v>
      </c>
      <c r="I35" s="50">
        <f ca="1">+GETPIVOTDATA("XDB4",'dabac (2016)'!$A$3,"MA_HT","DGD","MA_QH","LUN")</f>
        <v>0</v>
      </c>
      <c r="J35" s="50">
        <f ca="1">+GETPIVOTDATA("XDB4",'dabac (2016)'!$A$3,"MA_HT","DGD","MA_QH","HNK")</f>
        <v>0</v>
      </c>
      <c r="K35" s="50">
        <f ca="1">+GETPIVOTDATA("XDB4",'dabac (2016)'!$A$3,"MA_HT","DGD","MA_QH","CLN")</f>
        <v>0</v>
      </c>
      <c r="L35" s="50">
        <f ca="1">+GETPIVOTDATA("XDB4",'dabac (2016)'!$A$3,"MA_HT","DGD","MA_QH","RSX")</f>
        <v>0</v>
      </c>
      <c r="M35" s="50">
        <f ca="1">+GETPIVOTDATA("XDB4",'dabac (2016)'!$A$3,"MA_HT","DGD","MA_QH","RPH")</f>
        <v>0</v>
      </c>
      <c r="N35" s="50">
        <f ca="1">+GETPIVOTDATA("XDB4",'dabac (2016)'!$A$3,"MA_HT","DGD","MA_QH","RDD")</f>
        <v>0</v>
      </c>
      <c r="O35" s="50">
        <f ca="1">+GETPIVOTDATA("XDB4",'dabac (2016)'!$A$3,"MA_HT","DGD","MA_QH","NTS")</f>
        <v>0</v>
      </c>
      <c r="P35" s="50">
        <f ca="1">+GETPIVOTDATA("XDB4",'dabac (2016)'!$A$3,"MA_HT","DGD","MA_QH","LMU")</f>
        <v>0</v>
      </c>
      <c r="Q35" s="50">
        <f ca="1">+GETPIVOTDATA("XDB4",'dabac (2016)'!$A$3,"MA_HT","DGD","MA_QH","NKH")</f>
        <v>0</v>
      </c>
      <c r="R35" s="48">
        <f ca="1" t="shared" si="20"/>
        <v>0</v>
      </c>
      <c r="S35" s="50">
        <f ca="1">+GETPIVOTDATA("XDB4",'dabac (2016)'!$A$3,"MA_HT","DGD","MA_QH","CQP")</f>
        <v>0</v>
      </c>
      <c r="T35" s="50">
        <f ca="1">+GETPIVOTDATA("XDB4",'dabac (2016)'!$A$3,"MA_HT","DGD","MA_QH","CAN")</f>
        <v>0</v>
      </c>
      <c r="U35" s="50">
        <f ca="1">+GETPIVOTDATA("XDB4",'dabac (2016)'!$A$3,"MA_HT","DGD","MA_QH","SKK")</f>
        <v>0</v>
      </c>
      <c r="V35" s="50">
        <f ca="1">+GETPIVOTDATA("XDB4",'dabac (2016)'!$A$3,"MA_HT","DGD","MA_QH","SKT")</f>
        <v>0</v>
      </c>
      <c r="W35" s="50">
        <f ca="1">+GETPIVOTDATA("XDB4",'dabac (2016)'!$A$3,"MA_HT","DGD","MA_QH","SKN")</f>
        <v>0</v>
      </c>
      <c r="X35" s="50">
        <f ca="1">+GETPIVOTDATA("XDB4",'dabac (2016)'!$A$3,"MA_HT","DGD","MA_QH","TMD")</f>
        <v>0</v>
      </c>
      <c r="Y35" s="50">
        <f ca="1">+GETPIVOTDATA("XDB4",'dabac (2016)'!$A$3,"MA_HT","DGD","MA_QH","SKC")</f>
        <v>0</v>
      </c>
      <c r="Z35" s="50">
        <f ca="1">+GETPIVOTDATA("XDB4",'dabac (2016)'!$A$3,"MA_HT","DGD","MA_QH","SKS")</f>
        <v>0</v>
      </c>
      <c r="AA35" s="52">
        <f ca="1">+SUM(AB35:AG35,AI35:AM35)</f>
        <v>0</v>
      </c>
      <c r="AB35" s="50">
        <f ca="1">+GETPIVOTDATA("XDB4",'dabac (2016)'!$A$3,"MA_HT","DGD","MA_QH","DGT")</f>
        <v>0</v>
      </c>
      <c r="AC35" s="50">
        <f ca="1">+GETPIVOTDATA("XDB4",'dabac (2016)'!$A$3,"MA_HT","DGD","MA_QH","DTL")</f>
        <v>0</v>
      </c>
      <c r="AD35" s="50">
        <f ca="1">+GETPIVOTDATA("XDB4",'dabac (2016)'!$A$3,"MA_HT","DGD","MA_QH","DNL")</f>
        <v>0</v>
      </c>
      <c r="AE35" s="50">
        <f ca="1">+GETPIVOTDATA("XDB4",'dabac (2016)'!$A$3,"MA_HT","DGD","MA_QH","DBV")</f>
        <v>0</v>
      </c>
      <c r="AF35" s="50">
        <f ca="1">+GETPIVOTDATA("XDB4",'dabac (2016)'!$A$3,"MA_HT","DGD","MA_QH","DVH")</f>
        <v>0</v>
      </c>
      <c r="AG35" s="50">
        <f ca="1">+GETPIVOTDATA("XDB4",'dabac (2016)'!$A$3,"MA_HT","DGD","MA_QH","DYT")</f>
        <v>0</v>
      </c>
      <c r="AH35" s="49" t="e">
        <f ca="1">$D35-$BF35</f>
        <v>#REF!</v>
      </c>
      <c r="AI35" s="50">
        <f ca="1">+GETPIVOTDATA("XDB4",'dabac (2016)'!$A$3,"MA_HT","DGD","MA_QH","DTT")</f>
        <v>0</v>
      </c>
      <c r="AJ35" s="50">
        <f ca="1">+GETPIVOTDATA("XDB4",'dabac (2016)'!$A$3,"MA_HT","DGD","MA_QH","NCK")</f>
        <v>0</v>
      </c>
      <c r="AK35" s="50">
        <f ca="1">+GETPIVOTDATA("XDB4",'dabac (2016)'!$A$3,"MA_HT","DGD","MA_QH","DXH")</f>
        <v>0</v>
      </c>
      <c r="AL35" s="50">
        <f ca="1">+GETPIVOTDATA("XDB4",'dabac (2016)'!$A$3,"MA_HT","DGD","MA_QH","DCH")</f>
        <v>0</v>
      </c>
      <c r="AM35" s="50">
        <f ca="1">+GETPIVOTDATA("XDB4",'dabac (2016)'!$A$3,"MA_HT","DGD","MA_QH","DKG")</f>
        <v>0</v>
      </c>
      <c r="AN35" s="50">
        <f ca="1">+GETPIVOTDATA("XDB4",'dabac (2016)'!$A$3,"MA_HT","DGD","MA_QH","DDT")</f>
        <v>0</v>
      </c>
      <c r="AO35" s="50">
        <f ca="1">+GETPIVOTDATA("XDB4",'dabac (2016)'!$A$3,"MA_HT","DGD","MA_QH","DDL")</f>
        <v>0</v>
      </c>
      <c r="AP35" s="50">
        <f ca="1">+GETPIVOTDATA("XDB4",'dabac (2016)'!$A$3,"MA_HT","DGD","MA_QH","DRA")</f>
        <v>0</v>
      </c>
      <c r="AQ35" s="50">
        <f ca="1">+GETPIVOTDATA("XDB4",'dabac (2016)'!$A$3,"MA_HT","DGD","MA_QH","ONT")</f>
        <v>0</v>
      </c>
      <c r="AR35" s="50">
        <f ca="1">+GETPIVOTDATA("XDB4",'dabac (2016)'!$A$3,"MA_HT","DGD","MA_QH","ODT")</f>
        <v>0</v>
      </c>
      <c r="AS35" s="50">
        <f ca="1">+GETPIVOTDATA("XDB4",'dabac (2016)'!$A$3,"MA_HT","DGD","MA_QH","TSC")</f>
        <v>0</v>
      </c>
      <c r="AT35" s="50">
        <f ca="1">+GETPIVOTDATA("XDB4",'dabac (2016)'!$A$3,"MA_HT","DGD","MA_QH","DTS")</f>
        <v>0</v>
      </c>
      <c r="AU35" s="50">
        <f ca="1">+GETPIVOTDATA("XDB4",'dabac (2016)'!$A$3,"MA_HT","DGD","MA_QH","DNG")</f>
        <v>0</v>
      </c>
      <c r="AV35" s="50">
        <f ca="1">+GETPIVOTDATA("XDB4",'dabac (2016)'!$A$3,"MA_HT","DGD","MA_QH","TON")</f>
        <v>0</v>
      </c>
      <c r="AW35" s="50">
        <f ca="1">+GETPIVOTDATA("XDB4",'dabac (2016)'!$A$3,"MA_HT","DGD","MA_QH","NTD")</f>
        <v>0</v>
      </c>
      <c r="AX35" s="50">
        <f ca="1">+GETPIVOTDATA("XDB4",'dabac (2016)'!$A$3,"MA_HT","DGD","MA_QH","SKX")</f>
        <v>0</v>
      </c>
      <c r="AY35" s="50">
        <f ca="1">+GETPIVOTDATA("XDB4",'dabac (2016)'!$A$3,"MA_HT","DGD","MA_QH","DSH")</f>
        <v>0</v>
      </c>
      <c r="AZ35" s="50">
        <f ca="1">+GETPIVOTDATA("XDB4",'dabac (2016)'!$A$3,"MA_HT","DGD","MA_QH","DKV")</f>
        <v>0</v>
      </c>
      <c r="BA35" s="88">
        <f ca="1">+GETPIVOTDATA("XDB4",'dabac (2016)'!$A$3,"MA_HT","DGD","MA_QH","TIN")</f>
        <v>0</v>
      </c>
      <c r="BB35" s="50">
        <f ca="1">+GETPIVOTDATA("XDB4",'dabac (2016)'!$A$3,"MA_HT","DGD","MA_QH","SON")</f>
        <v>0</v>
      </c>
      <c r="BC35" s="50">
        <f ca="1">+GETPIVOTDATA("XDB4",'dabac (2016)'!$A$3,"MA_HT","DGD","MA_QH","MNC")</f>
        <v>0</v>
      </c>
      <c r="BD35" s="50">
        <f ca="1">+GETPIVOTDATA("XDB4",'dabac (2016)'!$A$3,"MA_HT","DGD","MA_QH","PNK")</f>
        <v>0</v>
      </c>
      <c r="BE35" s="80">
        <f ca="1">+GETPIVOTDATA("XDB4",'dabac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+GETPIVOTDATA("XDB4",'dabac (2016)'!$A$3,"MA_HT","DTT","MA_QH","LUC")</f>
        <v>0</v>
      </c>
      <c r="H36" s="50">
        <f ca="1">+GETPIVOTDATA("XDB4",'dabac (2016)'!$A$3,"MA_HT","DTT","MA_QH","LUK")</f>
        <v>0</v>
      </c>
      <c r="I36" s="50">
        <f ca="1">+GETPIVOTDATA("XDB4",'dabac (2016)'!$A$3,"MA_HT","DTT","MA_QH","LUN")</f>
        <v>0</v>
      </c>
      <c r="J36" s="50">
        <f ca="1">+GETPIVOTDATA("XDB4",'dabac (2016)'!$A$3,"MA_HT","DTT","MA_QH","HNK")</f>
        <v>0</v>
      </c>
      <c r="K36" s="50">
        <f ca="1">+GETPIVOTDATA("XDB4",'dabac (2016)'!$A$3,"MA_HT","DTT","MA_QH","CLN")</f>
        <v>0</v>
      </c>
      <c r="L36" s="50">
        <f ca="1">+GETPIVOTDATA("XDB4",'dabac (2016)'!$A$3,"MA_HT","DTT","MA_QH","RSX")</f>
        <v>0</v>
      </c>
      <c r="M36" s="50">
        <f ca="1">+GETPIVOTDATA("XDB4",'dabac (2016)'!$A$3,"MA_HT","DTT","MA_QH","RPH")</f>
        <v>0</v>
      </c>
      <c r="N36" s="50">
        <f ca="1">+GETPIVOTDATA("XDB4",'dabac (2016)'!$A$3,"MA_HT","DTT","MA_QH","RDD")</f>
        <v>0</v>
      </c>
      <c r="O36" s="50">
        <f ca="1">+GETPIVOTDATA("XDB4",'dabac (2016)'!$A$3,"MA_HT","DTT","MA_QH","NTS")</f>
        <v>0</v>
      </c>
      <c r="P36" s="50">
        <f ca="1">+GETPIVOTDATA("XDB4",'dabac (2016)'!$A$3,"MA_HT","DTT","MA_QH","LMU")</f>
        <v>0</v>
      </c>
      <c r="Q36" s="50">
        <f ca="1">+GETPIVOTDATA("XDB4",'dabac (2016)'!$A$3,"MA_HT","DTT","MA_QH","NKH")</f>
        <v>0</v>
      </c>
      <c r="R36" s="48">
        <f ca="1" t="shared" si="20"/>
        <v>0</v>
      </c>
      <c r="S36" s="50">
        <f ca="1">+GETPIVOTDATA("XDB4",'dabac (2016)'!$A$3,"MA_HT","DTT","MA_QH","CQP")</f>
        <v>0</v>
      </c>
      <c r="T36" s="50">
        <f ca="1">+GETPIVOTDATA("XDB4",'dabac (2016)'!$A$3,"MA_HT","DTT","MA_QH","CAN")</f>
        <v>0</v>
      </c>
      <c r="U36" s="50">
        <f ca="1">+GETPIVOTDATA("XDB4",'dabac (2016)'!$A$3,"MA_HT","DTT","MA_QH","SKK")</f>
        <v>0</v>
      </c>
      <c r="V36" s="50">
        <f ca="1">+GETPIVOTDATA("XDB4",'dabac (2016)'!$A$3,"MA_HT","DTT","MA_QH","SKT")</f>
        <v>0</v>
      </c>
      <c r="W36" s="50">
        <f ca="1">+GETPIVOTDATA("XDB4",'dabac (2016)'!$A$3,"MA_HT","DTT","MA_QH","SKN")</f>
        <v>0</v>
      </c>
      <c r="X36" s="50">
        <f ca="1">+GETPIVOTDATA("XDB4",'dabac (2016)'!$A$3,"MA_HT","DTT","MA_QH","TMD")</f>
        <v>0</v>
      </c>
      <c r="Y36" s="50">
        <f ca="1">+GETPIVOTDATA("XDB4",'dabac (2016)'!$A$3,"MA_HT","DTT","MA_QH","SKC")</f>
        <v>0</v>
      </c>
      <c r="Z36" s="50">
        <f ca="1">+GETPIVOTDATA("XDB4",'dabac (2016)'!$A$3,"MA_HT","DTT","MA_QH","SKS")</f>
        <v>0</v>
      </c>
      <c r="AA36" s="52">
        <f ca="1">+SUM(AB36:AH36,AJ36:AM36)</f>
        <v>0</v>
      </c>
      <c r="AB36" s="50">
        <f ca="1">+GETPIVOTDATA("XDB4",'dabac (2016)'!$A$3,"MA_HT","DTT","MA_QH","DGT")</f>
        <v>0</v>
      </c>
      <c r="AC36" s="50">
        <f ca="1">+GETPIVOTDATA("XDB4",'dabac (2016)'!$A$3,"MA_HT","DTT","MA_QH","DTL")</f>
        <v>0</v>
      </c>
      <c r="AD36" s="50">
        <f ca="1">+GETPIVOTDATA("XDB4",'dabac (2016)'!$A$3,"MA_HT","DTT","MA_QH","DNL")</f>
        <v>0</v>
      </c>
      <c r="AE36" s="50">
        <f ca="1">+GETPIVOTDATA("XDB4",'dabac (2016)'!$A$3,"MA_HT","DTT","MA_QH","DBV")</f>
        <v>0</v>
      </c>
      <c r="AF36" s="50">
        <f ca="1">+GETPIVOTDATA("XDB4",'dabac (2016)'!$A$3,"MA_HT","DTT","MA_QH","DVH")</f>
        <v>0</v>
      </c>
      <c r="AG36" s="50">
        <f ca="1">+GETPIVOTDATA("XDB4",'dabac (2016)'!$A$3,"MA_HT","DTT","MA_QH","DYT")</f>
        <v>0</v>
      </c>
      <c r="AH36" s="50">
        <f ca="1">+GETPIVOTDATA("XDB4",'dabac (2016)'!$A$3,"MA_HT","DTT","MA_QH","DGD")</f>
        <v>0</v>
      </c>
      <c r="AI36" s="49" t="e">
        <f ca="1">$D36-$BF36</f>
        <v>#REF!</v>
      </c>
      <c r="AJ36" s="50">
        <f ca="1">+GETPIVOTDATA("XDB4",'dabac (2016)'!$A$3,"MA_HT","DTT","MA_QH","NCK")</f>
        <v>0</v>
      </c>
      <c r="AK36" s="50">
        <f ca="1">+GETPIVOTDATA("XDB4",'dabac (2016)'!$A$3,"MA_HT","DTT","MA_QH","DXH")</f>
        <v>0</v>
      </c>
      <c r="AL36" s="50">
        <f ca="1">+GETPIVOTDATA("XDB4",'dabac (2016)'!$A$3,"MA_HT","DTT","MA_QH","DCH")</f>
        <v>0</v>
      </c>
      <c r="AM36" s="50">
        <f ca="1">+GETPIVOTDATA("XDB4",'dabac (2016)'!$A$3,"MA_HT","DTT","MA_QH","DKG")</f>
        <v>0</v>
      </c>
      <c r="AN36" s="50">
        <f ca="1">+GETPIVOTDATA("XDB4",'dabac (2016)'!$A$3,"MA_HT","DTT","MA_QH","DDT")</f>
        <v>0</v>
      </c>
      <c r="AO36" s="50">
        <f ca="1">+GETPIVOTDATA("XDB4",'dabac (2016)'!$A$3,"MA_HT","DTT","MA_QH","DDL")</f>
        <v>0</v>
      </c>
      <c r="AP36" s="50">
        <f ca="1">+GETPIVOTDATA("XDB4",'dabac (2016)'!$A$3,"MA_HT","DTT","MA_QH","DRA")</f>
        <v>0</v>
      </c>
      <c r="AQ36" s="50">
        <f ca="1">+GETPIVOTDATA("XDB4",'dabac (2016)'!$A$3,"MA_HT","DTT","MA_QH","ONT")</f>
        <v>0</v>
      </c>
      <c r="AR36" s="50">
        <f ca="1">+GETPIVOTDATA("XDB4",'dabac (2016)'!$A$3,"MA_HT","DTT","MA_QH","ODT")</f>
        <v>0</v>
      </c>
      <c r="AS36" s="50">
        <f ca="1">+GETPIVOTDATA("XDB4",'dabac (2016)'!$A$3,"MA_HT","DTT","MA_QH","TSC")</f>
        <v>0</v>
      </c>
      <c r="AT36" s="50">
        <f ca="1">+GETPIVOTDATA("XDB4",'dabac (2016)'!$A$3,"MA_HT","DTT","MA_QH","DTS")</f>
        <v>0</v>
      </c>
      <c r="AU36" s="50">
        <f ca="1">+GETPIVOTDATA("XDB4",'dabac (2016)'!$A$3,"MA_HT","DTT","MA_QH","DNG")</f>
        <v>0</v>
      </c>
      <c r="AV36" s="50">
        <f ca="1">+GETPIVOTDATA("XDB4",'dabac (2016)'!$A$3,"MA_HT","DTT","MA_QH","TON")</f>
        <v>0</v>
      </c>
      <c r="AW36" s="50">
        <f ca="1">+GETPIVOTDATA("XDB4",'dabac (2016)'!$A$3,"MA_HT","DTT","MA_QH","NTD")</f>
        <v>0</v>
      </c>
      <c r="AX36" s="50">
        <f ca="1">+GETPIVOTDATA("XDB4",'dabac (2016)'!$A$3,"MA_HT","DTT","MA_QH","SKX")</f>
        <v>0</v>
      </c>
      <c r="AY36" s="50">
        <f ca="1">+GETPIVOTDATA("XDB4",'dabac (2016)'!$A$3,"MA_HT","DTT","MA_QH","DSH")</f>
        <v>0</v>
      </c>
      <c r="AZ36" s="50">
        <f ca="1">+GETPIVOTDATA("XDB4",'dabac (2016)'!$A$3,"MA_HT","DTT","MA_QH","DKV")</f>
        <v>0</v>
      </c>
      <c r="BA36" s="88">
        <f ca="1">+GETPIVOTDATA("XDB4",'dabac (2016)'!$A$3,"MA_HT","DTT","MA_QH","TIN")</f>
        <v>0</v>
      </c>
      <c r="BB36" s="50">
        <f ca="1">+GETPIVOTDATA("XDB4",'dabac (2016)'!$A$3,"MA_HT","DTT","MA_QH","SON")</f>
        <v>0</v>
      </c>
      <c r="BC36" s="50">
        <f ca="1">+GETPIVOTDATA("XDB4",'dabac (2016)'!$A$3,"MA_HT","DTT","MA_QH","MNC")</f>
        <v>0</v>
      </c>
      <c r="BD36" s="50">
        <f ca="1">+GETPIVOTDATA("XDB4",'dabac (2016)'!$A$3,"MA_HT","DTT","MA_QH","PNK")</f>
        <v>0</v>
      </c>
      <c r="BE36" s="80">
        <f ca="1">+GETPIVOTDATA("XDB4",'dabac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+GETPIVOTDATA("XDB4",'dabac (2016)'!$A$3,"MA_HT","NCK","MA_QH","LUC")</f>
        <v>0</v>
      </c>
      <c r="H37" s="50">
        <f ca="1">+GETPIVOTDATA("XDB4",'dabac (2016)'!$A$3,"MA_HT","NCK","MA_QH","LUK")</f>
        <v>0</v>
      </c>
      <c r="I37" s="50">
        <f ca="1">+GETPIVOTDATA("XDB4",'dabac (2016)'!$A$3,"MA_HT","NCK","MA_QH","LUN")</f>
        <v>0</v>
      </c>
      <c r="J37" s="50">
        <f ca="1">+GETPIVOTDATA("XDB4",'dabac (2016)'!$A$3,"MA_HT","NCK","MA_QH","HNK")</f>
        <v>0</v>
      </c>
      <c r="K37" s="50">
        <f ca="1">+GETPIVOTDATA("XDB4",'dabac (2016)'!$A$3,"MA_HT","NCK","MA_QH","CLN")</f>
        <v>0</v>
      </c>
      <c r="L37" s="50">
        <f ca="1">+GETPIVOTDATA("XDB4",'dabac (2016)'!$A$3,"MA_HT","NCK","MA_QH","RSX")</f>
        <v>0</v>
      </c>
      <c r="M37" s="50">
        <f ca="1">+GETPIVOTDATA("XDB4",'dabac (2016)'!$A$3,"MA_HT","NCK","MA_QH","RPH")</f>
        <v>0</v>
      </c>
      <c r="N37" s="50">
        <f ca="1">+GETPIVOTDATA("XDB4",'dabac (2016)'!$A$3,"MA_HT","NCK","MA_QH","RDD")</f>
        <v>0</v>
      </c>
      <c r="O37" s="50">
        <f ca="1">+GETPIVOTDATA("XDB4",'dabac (2016)'!$A$3,"MA_HT","NCK","MA_QH","NTS")</f>
        <v>0</v>
      </c>
      <c r="P37" s="50">
        <f ca="1">+GETPIVOTDATA("XDB4",'dabac (2016)'!$A$3,"MA_HT","NCK","MA_QH","LMU")</f>
        <v>0</v>
      </c>
      <c r="Q37" s="50">
        <f ca="1">+GETPIVOTDATA("XDB4",'dabac (2016)'!$A$3,"MA_HT","NCK","MA_QH","NKH")</f>
        <v>0</v>
      </c>
      <c r="R37" s="48">
        <f ca="1" t="shared" si="20"/>
        <v>0</v>
      </c>
      <c r="S37" s="50">
        <f ca="1">+GETPIVOTDATA("XDB4",'dabac (2016)'!$A$3,"MA_HT","NCK","MA_QH","CQP")</f>
        <v>0</v>
      </c>
      <c r="T37" s="50">
        <f ca="1">+GETPIVOTDATA("XDB4",'dabac (2016)'!$A$3,"MA_HT","NCK","MA_QH","CAN")</f>
        <v>0</v>
      </c>
      <c r="U37" s="50">
        <f ca="1">+GETPIVOTDATA("XDB4",'dabac (2016)'!$A$3,"MA_HT","NCK","MA_QH","SKK")</f>
        <v>0</v>
      </c>
      <c r="V37" s="50">
        <f ca="1">+GETPIVOTDATA("XDB4",'dabac (2016)'!$A$3,"MA_HT","NCK","MA_QH","SKT")</f>
        <v>0</v>
      </c>
      <c r="W37" s="50">
        <f ca="1">+GETPIVOTDATA("XDB4",'dabac (2016)'!$A$3,"MA_HT","NCK","MA_QH","SKN")</f>
        <v>0</v>
      </c>
      <c r="X37" s="50">
        <f ca="1">+GETPIVOTDATA("XDB4",'dabac (2016)'!$A$3,"MA_HT","NCK","MA_QH","TMD")</f>
        <v>0</v>
      </c>
      <c r="Y37" s="50">
        <f ca="1">+GETPIVOTDATA("XDB4",'dabac (2016)'!$A$3,"MA_HT","NCK","MA_QH","SKC")</f>
        <v>0</v>
      </c>
      <c r="Z37" s="50">
        <f ca="1">+GETPIVOTDATA("XDB4",'dabac (2016)'!$A$3,"MA_HT","NCK","MA_QH","SKS")</f>
        <v>0</v>
      </c>
      <c r="AA37" s="52">
        <f ca="1">+SUM(AB37:AI37,AK37:AM37)</f>
        <v>0</v>
      </c>
      <c r="AB37" s="50">
        <f ca="1">+GETPIVOTDATA("XDB4",'dabac (2016)'!$A$3,"MA_HT","NCK","MA_QH","DGT")</f>
        <v>0</v>
      </c>
      <c r="AC37" s="50">
        <f ca="1">+GETPIVOTDATA("XDB4",'dabac (2016)'!$A$3,"MA_HT","NCK","MA_QH","DTL")</f>
        <v>0</v>
      </c>
      <c r="AD37" s="50">
        <f ca="1">+GETPIVOTDATA("XDB4",'dabac (2016)'!$A$3,"MA_HT","NCK","MA_QH","DNL")</f>
        <v>0</v>
      </c>
      <c r="AE37" s="50">
        <f ca="1">+GETPIVOTDATA("XDB4",'dabac (2016)'!$A$3,"MA_HT","NCK","MA_QH","DBV")</f>
        <v>0</v>
      </c>
      <c r="AF37" s="50">
        <f ca="1">+GETPIVOTDATA("XDB4",'dabac (2016)'!$A$3,"MA_HT","NCK","MA_QH","DVH")</f>
        <v>0</v>
      </c>
      <c r="AG37" s="50">
        <f ca="1">+GETPIVOTDATA("XDB4",'dabac (2016)'!$A$3,"MA_HT","NCK","MA_QH","DYT")</f>
        <v>0</v>
      </c>
      <c r="AH37" s="50">
        <f ca="1">+GETPIVOTDATA("XDB4",'dabac (2016)'!$A$3,"MA_HT","NCK","MA_QH","DGD")</f>
        <v>0</v>
      </c>
      <c r="AI37" s="50">
        <f ca="1">+GETPIVOTDATA("XDB4",'dabac (2016)'!$A$3,"MA_HT","NCK","MA_QH","DTT")</f>
        <v>0</v>
      </c>
      <c r="AJ37" s="49" t="e">
        <f ca="1">$D37-$BF37</f>
        <v>#REF!</v>
      </c>
      <c r="AK37" s="50">
        <f ca="1">+GETPIVOTDATA("XDB4",'dabac (2016)'!$A$3,"MA_HT","NCK","MA_QH","DXH")</f>
        <v>0</v>
      </c>
      <c r="AL37" s="50">
        <f ca="1">+GETPIVOTDATA("XDB4",'dabac (2016)'!$A$3,"MA_HT","NCK","MA_QH","DCH")</f>
        <v>0</v>
      </c>
      <c r="AM37" s="50">
        <f ca="1">+GETPIVOTDATA("XDB4",'dabac (2016)'!$A$3,"MA_HT","NCK","MA_QH","DKG")</f>
        <v>0</v>
      </c>
      <c r="AN37" s="50">
        <f ca="1">+GETPIVOTDATA("XDB4",'dabac (2016)'!$A$3,"MA_HT","NCK","MA_QH","DDT")</f>
        <v>0</v>
      </c>
      <c r="AO37" s="50">
        <f ca="1">+GETPIVOTDATA("XDB4",'dabac (2016)'!$A$3,"MA_HT","NCK","MA_QH","DDL")</f>
        <v>0</v>
      </c>
      <c r="AP37" s="50">
        <f ca="1">+GETPIVOTDATA("XDB4",'dabac (2016)'!$A$3,"MA_HT","NCK","MA_QH","DRA")</f>
        <v>0</v>
      </c>
      <c r="AQ37" s="50">
        <f ca="1">+GETPIVOTDATA("XDB4",'dabac (2016)'!$A$3,"MA_HT","NCK","MA_QH","ONT")</f>
        <v>0</v>
      </c>
      <c r="AR37" s="50">
        <f ca="1">+GETPIVOTDATA("XDB4",'dabac (2016)'!$A$3,"MA_HT","NCK","MA_QH","ODT")</f>
        <v>0</v>
      </c>
      <c r="AS37" s="50">
        <f ca="1">+GETPIVOTDATA("XDB4",'dabac (2016)'!$A$3,"MA_HT","NCK","MA_QH","TSC")</f>
        <v>0</v>
      </c>
      <c r="AT37" s="50">
        <f ca="1">+GETPIVOTDATA("XDB4",'dabac (2016)'!$A$3,"MA_HT","NCK","MA_QH","DTS")</f>
        <v>0</v>
      </c>
      <c r="AU37" s="50">
        <f ca="1">+GETPIVOTDATA("XDB4",'dabac (2016)'!$A$3,"MA_HT","NCK","MA_QH","DNG")</f>
        <v>0</v>
      </c>
      <c r="AV37" s="50">
        <f ca="1">+GETPIVOTDATA("XDB4",'dabac (2016)'!$A$3,"MA_HT","NCK","MA_QH","TON")</f>
        <v>0</v>
      </c>
      <c r="AW37" s="50">
        <f ca="1">+GETPIVOTDATA("XDB4",'dabac (2016)'!$A$3,"MA_HT","NCK","MA_QH","NTD")</f>
        <v>0</v>
      </c>
      <c r="AX37" s="50">
        <f ca="1">+GETPIVOTDATA("XDB4",'dabac (2016)'!$A$3,"MA_HT","NCK","MA_QH","SKX")</f>
        <v>0</v>
      </c>
      <c r="AY37" s="50">
        <f ca="1">+GETPIVOTDATA("XDB4",'dabac (2016)'!$A$3,"MA_HT","NCK","MA_QH","DSH")</f>
        <v>0</v>
      </c>
      <c r="AZ37" s="50">
        <f ca="1">+GETPIVOTDATA("XDB4",'dabac (2016)'!$A$3,"MA_HT","NCK","MA_QH","DKV")</f>
        <v>0</v>
      </c>
      <c r="BA37" s="88">
        <f ca="1">+GETPIVOTDATA("XDB4",'dabac (2016)'!$A$3,"MA_HT","NCK","MA_QH","TIN")</f>
        <v>0</v>
      </c>
      <c r="BB37" s="50">
        <f ca="1">+GETPIVOTDATA("XDB4",'dabac (2016)'!$A$3,"MA_HT","NCK","MA_QH","SON")</f>
        <v>0</v>
      </c>
      <c r="BC37" s="50">
        <f ca="1">+GETPIVOTDATA("XDB4",'dabac (2016)'!$A$3,"MA_HT","NCK","MA_QH","MNC")</f>
        <v>0</v>
      </c>
      <c r="BD37" s="50">
        <f ca="1">+GETPIVOTDATA("XDB4",'dabac (2016)'!$A$3,"MA_HT","NCK","MA_QH","PNK")</f>
        <v>0</v>
      </c>
      <c r="BE37" s="80">
        <f ca="1">+GETPIVOTDATA("XDB4",'dabac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+GETPIVOTDATA("XDB4",'dabac (2016)'!$A$3,"MA_HT","DXH","MA_QH","LUC")</f>
        <v>0</v>
      </c>
      <c r="H38" s="50">
        <f ca="1">+GETPIVOTDATA("XDB4",'dabac (2016)'!$A$3,"MA_HT","DXH","MA_QH","LUK")</f>
        <v>0</v>
      </c>
      <c r="I38" s="50">
        <f ca="1">+GETPIVOTDATA("XDB4",'dabac (2016)'!$A$3,"MA_HT","DXH","MA_QH","LUN")</f>
        <v>0</v>
      </c>
      <c r="J38" s="50">
        <f ca="1">+GETPIVOTDATA("XDB4",'dabac (2016)'!$A$3,"MA_HT","DXH","MA_QH","HNK")</f>
        <v>0</v>
      </c>
      <c r="K38" s="50">
        <f ca="1">+GETPIVOTDATA("XDB4",'dabac (2016)'!$A$3,"MA_HT","DXH","MA_QH","CLN")</f>
        <v>0</v>
      </c>
      <c r="L38" s="50">
        <f ca="1">+GETPIVOTDATA("XDB4",'dabac (2016)'!$A$3,"MA_HT","DXH","MA_QH","RSX")</f>
        <v>0</v>
      </c>
      <c r="M38" s="50">
        <f ca="1">+GETPIVOTDATA("XDB4",'dabac (2016)'!$A$3,"MA_HT","DXH","MA_QH","RPH")</f>
        <v>0</v>
      </c>
      <c r="N38" s="50">
        <f ca="1">+GETPIVOTDATA("XDB4",'dabac (2016)'!$A$3,"MA_HT","DXH","MA_QH","RDD")</f>
        <v>0</v>
      </c>
      <c r="O38" s="50">
        <f ca="1">+GETPIVOTDATA("XDB4",'dabac (2016)'!$A$3,"MA_HT","DXH","MA_QH","NTS")</f>
        <v>0</v>
      </c>
      <c r="P38" s="50">
        <f ca="1">+GETPIVOTDATA("XDB4",'dabac (2016)'!$A$3,"MA_HT","DXH","MA_QH","LMU")</f>
        <v>0</v>
      </c>
      <c r="Q38" s="50">
        <f ca="1">+GETPIVOTDATA("XDB4",'dabac (2016)'!$A$3,"MA_HT","DXH","MA_QH","NKH")</f>
        <v>0</v>
      </c>
      <c r="R38" s="48">
        <f ca="1" t="shared" si="20"/>
        <v>0</v>
      </c>
      <c r="S38" s="50">
        <f ca="1">+GETPIVOTDATA("XDB4",'dabac (2016)'!$A$3,"MA_HT","DXH","MA_QH","CQP")</f>
        <v>0</v>
      </c>
      <c r="T38" s="50">
        <f ca="1">+GETPIVOTDATA("XDB4",'dabac (2016)'!$A$3,"MA_HT","DXH","MA_QH","CAN")</f>
        <v>0</v>
      </c>
      <c r="U38" s="50">
        <f ca="1">+GETPIVOTDATA("XDB4",'dabac (2016)'!$A$3,"MA_HT","DXH","MA_QH","SKK")</f>
        <v>0</v>
      </c>
      <c r="V38" s="50">
        <f ca="1">+GETPIVOTDATA("XDB4",'dabac (2016)'!$A$3,"MA_HT","DXH","MA_QH","SKT")</f>
        <v>0</v>
      </c>
      <c r="W38" s="50">
        <f ca="1">+GETPIVOTDATA("XDB4",'dabac (2016)'!$A$3,"MA_HT","DXH","MA_QH","SKN")</f>
        <v>0</v>
      </c>
      <c r="X38" s="50">
        <f ca="1">+GETPIVOTDATA("XDB4",'dabac (2016)'!$A$3,"MA_HT","DXH","MA_QH","TMD")</f>
        <v>0</v>
      </c>
      <c r="Y38" s="50">
        <f ca="1">+GETPIVOTDATA("XDB4",'dabac (2016)'!$A$3,"MA_HT","DXH","MA_QH","SKC")</f>
        <v>0</v>
      </c>
      <c r="Z38" s="50">
        <f ca="1">+GETPIVOTDATA("XDB4",'dabac (2016)'!$A$3,"MA_HT","DXH","MA_QH","SKS")</f>
        <v>0</v>
      </c>
      <c r="AA38" s="52">
        <f ca="1">+SUM(AB38:AJ38,AL38:AM38)</f>
        <v>0</v>
      </c>
      <c r="AB38" s="50">
        <f ca="1">+GETPIVOTDATA("XDB4",'dabac (2016)'!$A$3,"MA_HT","DXH","MA_QH","DGT")</f>
        <v>0</v>
      </c>
      <c r="AC38" s="50">
        <f ca="1">+GETPIVOTDATA("XDB4",'dabac (2016)'!$A$3,"MA_HT","DXH","MA_QH","DTL")</f>
        <v>0</v>
      </c>
      <c r="AD38" s="50">
        <f ca="1">+GETPIVOTDATA("XDB4",'dabac (2016)'!$A$3,"MA_HT","DXH","MA_QH","DNL")</f>
        <v>0</v>
      </c>
      <c r="AE38" s="50">
        <f ca="1">+GETPIVOTDATA("XDB4",'dabac (2016)'!$A$3,"MA_HT","DXH","MA_QH","DBV")</f>
        <v>0</v>
      </c>
      <c r="AF38" s="50">
        <f ca="1">+GETPIVOTDATA("XDB4",'dabac (2016)'!$A$3,"MA_HT","DXH","MA_QH","DVH")</f>
        <v>0</v>
      </c>
      <c r="AG38" s="50">
        <f ca="1">+GETPIVOTDATA("XDB4",'dabac (2016)'!$A$3,"MA_HT","DXH","MA_QH","DYT")</f>
        <v>0</v>
      </c>
      <c r="AH38" s="50">
        <f ca="1">+GETPIVOTDATA("XDB4",'dabac (2016)'!$A$3,"MA_HT","DXH","MA_QH","DGD")</f>
        <v>0</v>
      </c>
      <c r="AI38" s="50">
        <f ca="1">+GETPIVOTDATA("XDB4",'dabac (2016)'!$A$3,"MA_HT","DXH","MA_QH","DTT")</f>
        <v>0</v>
      </c>
      <c r="AJ38" s="50">
        <f ca="1">+GETPIVOTDATA("XDB4",'dabac (2016)'!$A$3,"MA_HT","DXH","MA_QH","NCK")</f>
        <v>0</v>
      </c>
      <c r="AK38" s="49" t="e">
        <f ca="1">$D38-$BF38</f>
        <v>#REF!</v>
      </c>
      <c r="AL38" s="50">
        <f ca="1">+GETPIVOTDATA("XDB4",'dabac (2016)'!$A$3,"MA_HT","DXH","MA_QH","DCH")</f>
        <v>0</v>
      </c>
      <c r="AM38" s="50">
        <f ca="1">+GETPIVOTDATA("XDB4",'dabac (2016)'!$A$3,"MA_HT","DXH","MA_QH","DKG")</f>
        <v>0</v>
      </c>
      <c r="AN38" s="50">
        <f ca="1">+GETPIVOTDATA("XDB4",'dabac (2016)'!$A$3,"MA_HT","DXH","MA_QH","DDT")</f>
        <v>0</v>
      </c>
      <c r="AO38" s="50">
        <f ca="1">+GETPIVOTDATA("XDB4",'dabac (2016)'!$A$3,"MA_HT","DXH","MA_QH","DDL")</f>
        <v>0</v>
      </c>
      <c r="AP38" s="50">
        <f ca="1">+GETPIVOTDATA("XDB4",'dabac (2016)'!$A$3,"MA_HT","DXH","MA_QH","DRA")</f>
        <v>0</v>
      </c>
      <c r="AQ38" s="50">
        <f ca="1">+GETPIVOTDATA("XDB4",'dabac (2016)'!$A$3,"MA_HT","DXH","MA_QH","ONT")</f>
        <v>0</v>
      </c>
      <c r="AR38" s="50">
        <f ca="1">+GETPIVOTDATA("XDB4",'dabac (2016)'!$A$3,"MA_HT","DXH","MA_QH","ODT")</f>
        <v>0</v>
      </c>
      <c r="AS38" s="50">
        <f ca="1">+GETPIVOTDATA("XDB4",'dabac (2016)'!$A$3,"MA_HT","DXH","MA_QH","TSC")</f>
        <v>0</v>
      </c>
      <c r="AT38" s="50">
        <f ca="1">+GETPIVOTDATA("XDB4",'dabac (2016)'!$A$3,"MA_HT","DXH","MA_QH","DTS")</f>
        <v>0</v>
      </c>
      <c r="AU38" s="50">
        <f ca="1">+GETPIVOTDATA("XDB4",'dabac (2016)'!$A$3,"MA_HT","DXH","MA_QH","DNG")</f>
        <v>0</v>
      </c>
      <c r="AV38" s="50">
        <f ca="1">+GETPIVOTDATA("XDB4",'dabac (2016)'!$A$3,"MA_HT","DXH","MA_QH","TON")</f>
        <v>0</v>
      </c>
      <c r="AW38" s="50">
        <f ca="1">+GETPIVOTDATA("XDB4",'dabac (2016)'!$A$3,"MA_HT","DXH","MA_QH","NTD")</f>
        <v>0</v>
      </c>
      <c r="AX38" s="50">
        <f ca="1">+GETPIVOTDATA("XDB4",'dabac (2016)'!$A$3,"MA_HT","DXH","MA_QH","SKX")</f>
        <v>0</v>
      </c>
      <c r="AY38" s="50">
        <f ca="1">+GETPIVOTDATA("XDB4",'dabac (2016)'!$A$3,"MA_HT","DXH","MA_QH","DSH")</f>
        <v>0</v>
      </c>
      <c r="AZ38" s="50">
        <f ca="1">+GETPIVOTDATA("XDB4",'dabac (2016)'!$A$3,"MA_HT","DXH","MA_QH","DKV")</f>
        <v>0</v>
      </c>
      <c r="BA38" s="88">
        <f ca="1">+GETPIVOTDATA("XDB4",'dabac (2016)'!$A$3,"MA_HT","DXH","MA_QH","TIN")</f>
        <v>0</v>
      </c>
      <c r="BB38" s="50">
        <f ca="1">+GETPIVOTDATA("XDB4",'dabac (2016)'!$A$3,"MA_HT","DXH","MA_QH","SON")</f>
        <v>0</v>
      </c>
      <c r="BC38" s="50">
        <f ca="1">+GETPIVOTDATA("XDB4",'dabac (2016)'!$A$3,"MA_HT","DXH","MA_QH","MNC")</f>
        <v>0</v>
      </c>
      <c r="BD38" s="50">
        <f ca="1">+GETPIVOTDATA("XDB4",'dabac (2016)'!$A$3,"MA_HT","DXH","MA_QH","PNK")</f>
        <v>0</v>
      </c>
      <c r="BE38" s="80">
        <f ca="1">+GETPIVOTDATA("XDB4",'dabac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+GETPIVOTDATA("XDB4",'dabac (2016)'!$A$3,"MA_HT","DCH","MA_QH","LUC")</f>
        <v>0</v>
      </c>
      <c r="H39" s="50">
        <f ca="1">+GETPIVOTDATA("XDB4",'dabac (2016)'!$A$3,"MA_HT","DCH","MA_QH","LUK")</f>
        <v>0</v>
      </c>
      <c r="I39" s="50">
        <f ca="1">+GETPIVOTDATA("XDB4",'dabac (2016)'!$A$3,"MA_HT","DCH","MA_QH","LUN")</f>
        <v>0</v>
      </c>
      <c r="J39" s="50">
        <f ca="1">+GETPIVOTDATA("XDB4",'dabac (2016)'!$A$3,"MA_HT","DCH","MA_QH","HNK")</f>
        <v>0</v>
      </c>
      <c r="K39" s="50">
        <f ca="1">+GETPIVOTDATA("XDB4",'dabac (2016)'!$A$3,"MA_HT","DCH","MA_QH","CLN")</f>
        <v>0</v>
      </c>
      <c r="L39" s="50">
        <f ca="1">+GETPIVOTDATA("XDB4",'dabac (2016)'!$A$3,"MA_HT","DCH","MA_QH","RSX")</f>
        <v>0</v>
      </c>
      <c r="M39" s="50">
        <f ca="1">+GETPIVOTDATA("XDB4",'dabac (2016)'!$A$3,"MA_HT","DCH","MA_QH","RPH")</f>
        <v>0</v>
      </c>
      <c r="N39" s="50">
        <f ca="1">+GETPIVOTDATA("XDB4",'dabac (2016)'!$A$3,"MA_HT","DCH","MA_QH","RDD")</f>
        <v>0</v>
      </c>
      <c r="O39" s="50">
        <f ca="1">+GETPIVOTDATA("XDB4",'dabac (2016)'!$A$3,"MA_HT","DCH","MA_QH","NTS")</f>
        <v>0</v>
      </c>
      <c r="P39" s="50">
        <f ca="1">+GETPIVOTDATA("XDB4",'dabac (2016)'!$A$3,"MA_HT","DCH","MA_QH","LMU")</f>
        <v>0</v>
      </c>
      <c r="Q39" s="50">
        <f ca="1">+GETPIVOTDATA("XDB4",'dabac (2016)'!$A$3,"MA_HT","DCH","MA_QH","NKH")</f>
        <v>0</v>
      </c>
      <c r="R39" s="48">
        <f ca="1" t="shared" si="20"/>
        <v>0</v>
      </c>
      <c r="S39" s="50">
        <f ca="1">+GETPIVOTDATA("XDB4",'dabac (2016)'!$A$3,"MA_HT","DCH","MA_QH","CQP")</f>
        <v>0</v>
      </c>
      <c r="T39" s="50">
        <f ca="1">+GETPIVOTDATA("XDB4",'dabac (2016)'!$A$3,"MA_HT","DCH","MA_QH","CAN")</f>
        <v>0</v>
      </c>
      <c r="U39" s="50">
        <f ca="1">+GETPIVOTDATA("XDB4",'dabac (2016)'!$A$3,"MA_HT","DCH","MA_QH","SKK")</f>
        <v>0</v>
      </c>
      <c r="V39" s="50">
        <f ca="1">+GETPIVOTDATA("XDB4",'dabac (2016)'!$A$3,"MA_HT","DCH","MA_QH","SKT")</f>
        <v>0</v>
      </c>
      <c r="W39" s="50">
        <f ca="1">+GETPIVOTDATA("XDB4",'dabac (2016)'!$A$3,"MA_HT","DCH","MA_QH","SKN")</f>
        <v>0</v>
      </c>
      <c r="X39" s="50">
        <f ca="1">+GETPIVOTDATA("XDB4",'dabac (2016)'!$A$3,"MA_HT","DCH","MA_QH","TMD")</f>
        <v>0</v>
      </c>
      <c r="Y39" s="50">
        <f ca="1">+GETPIVOTDATA("XDB4",'dabac (2016)'!$A$3,"MA_HT","DCH","MA_QH","SKC")</f>
        <v>0</v>
      </c>
      <c r="Z39" s="50">
        <f ca="1">+GETPIVOTDATA("XDB4",'dabac (2016)'!$A$3,"MA_HT","DCH","MA_QH","SKS")</f>
        <v>0</v>
      </c>
      <c r="AA39" s="52">
        <f ca="1">+SUM(AB39:AK39,AM39)</f>
        <v>0</v>
      </c>
      <c r="AB39" s="50">
        <f ca="1">+GETPIVOTDATA("XDB4",'dabac (2016)'!$A$3,"MA_HT","DCH","MA_QH","DGT")</f>
        <v>0</v>
      </c>
      <c r="AC39" s="50">
        <f ca="1">+GETPIVOTDATA("XDB4",'dabac (2016)'!$A$3,"MA_HT","DCH","MA_QH","DTL")</f>
        <v>0</v>
      </c>
      <c r="AD39" s="50">
        <f ca="1">+GETPIVOTDATA("XDB4",'dabac (2016)'!$A$3,"MA_HT","DCH","MA_QH","DNL")</f>
        <v>0</v>
      </c>
      <c r="AE39" s="50">
        <f ca="1">+GETPIVOTDATA("XDB4",'dabac (2016)'!$A$3,"MA_HT","DCH","MA_QH","DBV")</f>
        <v>0</v>
      </c>
      <c r="AF39" s="50">
        <f ca="1">+GETPIVOTDATA("XDB4",'dabac (2016)'!$A$3,"MA_HT","DCH","MA_QH","DVH")</f>
        <v>0</v>
      </c>
      <c r="AG39" s="50">
        <f ca="1">+GETPIVOTDATA("XDB4",'dabac (2016)'!$A$3,"MA_HT","DCH","MA_QH","DYT")</f>
        <v>0</v>
      </c>
      <c r="AH39" s="50">
        <f ca="1">+GETPIVOTDATA("XDB4",'dabac (2016)'!$A$3,"MA_HT","DCH","MA_QH","DGD")</f>
        <v>0</v>
      </c>
      <c r="AI39" s="50">
        <f ca="1">+GETPIVOTDATA("XDB4",'dabac (2016)'!$A$3,"MA_HT","DCH","MA_QH","DTT")</f>
        <v>0</v>
      </c>
      <c r="AJ39" s="50">
        <f ca="1">+GETPIVOTDATA("XDB4",'dabac (2016)'!$A$3,"MA_HT","DCH","MA_QH","NCK")</f>
        <v>0</v>
      </c>
      <c r="AK39" s="50">
        <f ca="1">+GETPIVOTDATA("XDB4",'dabac (2016)'!$A$3,"MA_HT","DCH","MA_QH","DXH")</f>
        <v>0</v>
      </c>
      <c r="AL39" s="49" t="e">
        <f ca="1">$D39-$BF39</f>
        <v>#REF!</v>
      </c>
      <c r="AM39" s="50">
        <f ca="1">+GETPIVOTDATA("XDB4",'dabac (2016)'!$A$3,"MA_HT","DXH","MA_QH","DKG")</f>
        <v>0</v>
      </c>
      <c r="AN39" s="50">
        <f ca="1">+GETPIVOTDATA("XDB4",'dabac (2016)'!$A$3,"MA_HT","DCH","MA_QH","DDT")</f>
        <v>0</v>
      </c>
      <c r="AO39" s="50">
        <f ca="1">+GETPIVOTDATA("XDB4",'dabac (2016)'!$A$3,"MA_HT","DCH","MA_QH","DDL")</f>
        <v>0</v>
      </c>
      <c r="AP39" s="50">
        <f ca="1">+GETPIVOTDATA("XDB4",'dabac (2016)'!$A$3,"MA_HT","DCH","MA_QH","DRA")</f>
        <v>0</v>
      </c>
      <c r="AQ39" s="50">
        <f ca="1">+GETPIVOTDATA("XDB4",'dabac (2016)'!$A$3,"MA_HT","DCH","MA_QH","ONT")</f>
        <v>0</v>
      </c>
      <c r="AR39" s="50">
        <f ca="1">+GETPIVOTDATA("XDB4",'dabac (2016)'!$A$3,"MA_HT","DCH","MA_QH","ODT")</f>
        <v>0</v>
      </c>
      <c r="AS39" s="50">
        <f ca="1">+GETPIVOTDATA("XDB4",'dabac (2016)'!$A$3,"MA_HT","DCH","MA_QH","TSC")</f>
        <v>0</v>
      </c>
      <c r="AT39" s="50">
        <f ca="1">+GETPIVOTDATA("XDB4",'dabac (2016)'!$A$3,"MA_HT","DCH","MA_QH","DTS")</f>
        <v>0</v>
      </c>
      <c r="AU39" s="50">
        <f ca="1">+GETPIVOTDATA("XDB4",'dabac (2016)'!$A$3,"MA_HT","DCH","MA_QH","DNG")</f>
        <v>0</v>
      </c>
      <c r="AV39" s="50">
        <f ca="1">+GETPIVOTDATA("XDB4",'dabac (2016)'!$A$3,"MA_HT","DCH","MA_QH","TON")</f>
        <v>0</v>
      </c>
      <c r="AW39" s="50">
        <f ca="1">+GETPIVOTDATA("XDB4",'dabac (2016)'!$A$3,"MA_HT","DCH","MA_QH","NTD")</f>
        <v>0</v>
      </c>
      <c r="AX39" s="50">
        <f ca="1">+GETPIVOTDATA("XDB4",'dabac (2016)'!$A$3,"MA_HT","DCH","MA_QH","SKX")</f>
        <v>0</v>
      </c>
      <c r="AY39" s="50">
        <f ca="1">+GETPIVOTDATA("XDB4",'dabac (2016)'!$A$3,"MA_HT","DCH","MA_QH","DSH")</f>
        <v>0</v>
      </c>
      <c r="AZ39" s="50">
        <f ca="1">+GETPIVOTDATA("XDB4",'dabac (2016)'!$A$3,"MA_HT","DCH","MA_QH","DKV")</f>
        <v>0</v>
      </c>
      <c r="BA39" s="88">
        <f ca="1">+GETPIVOTDATA("XDB4",'dabac (2016)'!$A$3,"MA_HT","DCH","MA_QH","TIN")</f>
        <v>0</v>
      </c>
      <c r="BB39" s="50">
        <f ca="1">+GETPIVOTDATA("XDB4",'dabac (2016)'!$A$3,"MA_HT","DCH","MA_QH","SON")</f>
        <v>0</v>
      </c>
      <c r="BC39" s="50">
        <f ca="1">+GETPIVOTDATA("XDB4",'dabac (2016)'!$A$3,"MA_HT","DCH","MA_QH","MNC")</f>
        <v>0</v>
      </c>
      <c r="BD39" s="50">
        <f ca="1">+GETPIVOTDATA("XDB4",'dabac (2016)'!$A$3,"MA_HT","DCH","MA_QH","PNK")</f>
        <v>0</v>
      </c>
      <c r="BE39" s="80">
        <f ca="1">+GETPIVOTDATA("XDB4",'dabac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+GETPIVOTDATA("XDB4",'dabac (2016)'!$A$3,"MA_HT","DKG","MA_QH","LUC")</f>
        <v>0</v>
      </c>
      <c r="H40" s="50">
        <f ca="1">+GETPIVOTDATA("XDB4",'dabac (2016)'!$A$3,"MA_HT","DKG","MA_QH","LUK")</f>
        <v>0</v>
      </c>
      <c r="I40" s="50">
        <f ca="1">+GETPIVOTDATA("XDB4",'dabac (2016)'!$A$3,"MA_HT","DKG","MA_QH","LUN")</f>
        <v>0</v>
      </c>
      <c r="J40" s="50">
        <f ca="1">+GETPIVOTDATA("XDB4",'dabac (2016)'!$A$3,"MA_HT","DKG","MA_QH","HNK")</f>
        <v>0</v>
      </c>
      <c r="K40" s="50">
        <f ca="1">+GETPIVOTDATA("XDB4",'dabac (2016)'!$A$3,"MA_HT","DKG","MA_QH","CLN")</f>
        <v>0</v>
      </c>
      <c r="L40" s="50">
        <f ca="1">+GETPIVOTDATA("XDB4",'dabac (2016)'!$A$3,"MA_HT","DKG","MA_QH","RSX")</f>
        <v>0</v>
      </c>
      <c r="M40" s="50">
        <f ca="1">+GETPIVOTDATA("XDB4",'dabac (2016)'!$A$3,"MA_HT","DKG","MA_QH","RPH")</f>
        <v>0</v>
      </c>
      <c r="N40" s="50">
        <f ca="1">+GETPIVOTDATA("XDB4",'dabac (2016)'!$A$3,"MA_HT","DKG","MA_QH","RDD")</f>
        <v>0</v>
      </c>
      <c r="O40" s="50">
        <f ca="1">+GETPIVOTDATA("XDB4",'dabac (2016)'!$A$3,"MA_HT","DKG","MA_QH","NTS")</f>
        <v>0</v>
      </c>
      <c r="P40" s="50">
        <f ca="1">+GETPIVOTDATA("XDB4",'dabac (2016)'!$A$3,"MA_HT","DKG","MA_QH","LMU")</f>
        <v>0</v>
      </c>
      <c r="Q40" s="50">
        <f ca="1">+GETPIVOTDATA("XDB4",'dabac (2016)'!$A$3,"MA_HT","DKG","MA_QH","NKH")</f>
        <v>0</v>
      </c>
      <c r="R40" s="48">
        <f ca="1" t="shared" si="20"/>
        <v>0</v>
      </c>
      <c r="S40" s="50">
        <f ca="1">+GETPIVOTDATA("XDB4",'dabac (2016)'!$A$3,"MA_HT","DKG","MA_QH","CQP")</f>
        <v>0</v>
      </c>
      <c r="T40" s="50">
        <f ca="1">+GETPIVOTDATA("XDB4",'dabac (2016)'!$A$3,"MA_HT","DKG","MA_QH","CAN")</f>
        <v>0</v>
      </c>
      <c r="U40" s="50">
        <f ca="1">+GETPIVOTDATA("XDB4",'dabac (2016)'!$A$3,"MA_HT","DKG","MA_QH","SKK")</f>
        <v>0</v>
      </c>
      <c r="V40" s="50">
        <f ca="1">+GETPIVOTDATA("XDB4",'dabac (2016)'!$A$3,"MA_HT","DKG","MA_QH","SKT")</f>
        <v>0</v>
      </c>
      <c r="W40" s="50">
        <f ca="1">+GETPIVOTDATA("XDB4",'dabac (2016)'!$A$3,"MA_HT","DKG","MA_QH","SKN")</f>
        <v>0</v>
      </c>
      <c r="X40" s="50">
        <f ca="1">+GETPIVOTDATA("XDB4",'dabac (2016)'!$A$3,"MA_HT","DKG","MA_QH","TMD")</f>
        <v>0</v>
      </c>
      <c r="Y40" s="50">
        <f ca="1">+GETPIVOTDATA("XDB4",'dabac (2016)'!$A$3,"MA_HT","DKG","MA_QH","SKC")</f>
        <v>0</v>
      </c>
      <c r="Z40" s="50">
        <f ca="1">+GETPIVOTDATA("XDB4",'dabac (2016)'!$A$3,"MA_HT","DKG","MA_QH","SKS")</f>
        <v>0</v>
      </c>
      <c r="AA40" s="52">
        <f ca="1">+SUM(AB40:AL40)</f>
        <v>0</v>
      </c>
      <c r="AB40" s="50">
        <f ca="1">+GETPIVOTDATA("XDB4",'dabac (2016)'!$A$3,"MA_HT","DKG","MA_QH","DGT")</f>
        <v>0</v>
      </c>
      <c r="AC40" s="50">
        <f ca="1">+GETPIVOTDATA("XDB4",'dabac (2016)'!$A$3,"MA_HT","DKG","MA_QH","DTL")</f>
        <v>0</v>
      </c>
      <c r="AD40" s="50">
        <f ca="1">+GETPIVOTDATA("XDB4",'dabac (2016)'!$A$3,"MA_HT","DKG","MA_QH","DNL")</f>
        <v>0</v>
      </c>
      <c r="AE40" s="50">
        <f ca="1">+GETPIVOTDATA("XDB4",'dabac (2016)'!$A$3,"MA_HT","DKG","MA_QH","DBV")</f>
        <v>0</v>
      </c>
      <c r="AF40" s="50">
        <f ca="1">+GETPIVOTDATA("XDB4",'dabac (2016)'!$A$3,"MA_HT","DKG","MA_QH","DVH")</f>
        <v>0</v>
      </c>
      <c r="AG40" s="50">
        <f ca="1">+GETPIVOTDATA("XDB4",'dabac (2016)'!$A$3,"MA_HT","DKG","MA_QH","DYT")</f>
        <v>0</v>
      </c>
      <c r="AH40" s="50">
        <f ca="1">+GETPIVOTDATA("XDB4",'dabac (2016)'!$A$3,"MA_HT","DKG","MA_QH","DGD")</f>
        <v>0</v>
      </c>
      <c r="AI40" s="50">
        <f ca="1">+GETPIVOTDATA("XDB4",'dabac (2016)'!$A$3,"MA_HT","DKG","MA_QH","DTT")</f>
        <v>0</v>
      </c>
      <c r="AJ40" s="50">
        <f ca="1">+GETPIVOTDATA("XDB4",'dabac (2016)'!$A$3,"MA_HT","DKG","MA_QH","NCK")</f>
        <v>0</v>
      </c>
      <c r="AK40" s="50">
        <f ca="1">+GETPIVOTDATA("XDB4",'dabac (2016)'!$A$3,"MA_HT","DKG","MA_QH","DXH")</f>
        <v>0</v>
      </c>
      <c r="AL40" s="60">
        <f ca="1">+GETPIVOTDATA("XDB4",'dabac (2016)'!$A$3,"MA_HT","DDT","MA_QH","DKG")</f>
        <v>0</v>
      </c>
      <c r="AM40" s="49" t="e">
        <f ca="1">$D40-$BF40</f>
        <v>#REF!</v>
      </c>
      <c r="AN40" s="50">
        <f ca="1">+GETPIVOTDATA("XDB4",'dabac (2016)'!$A$3,"MA_HT","DKG","MA_QH","DDT")</f>
        <v>0</v>
      </c>
      <c r="AO40" s="50">
        <f ca="1">+GETPIVOTDATA("XDB4",'dabac (2016)'!$A$3,"MA_HT","DKG","MA_QH","DDL")</f>
        <v>0</v>
      </c>
      <c r="AP40" s="50">
        <f ca="1">+GETPIVOTDATA("XDB4",'dabac (2016)'!$A$3,"MA_HT","DKG","MA_QH","DRA")</f>
        <v>0</v>
      </c>
      <c r="AQ40" s="50">
        <f ca="1">+GETPIVOTDATA("XDB4",'dabac (2016)'!$A$3,"MA_HT","DKG","MA_QH","ONT")</f>
        <v>0</v>
      </c>
      <c r="AR40" s="50">
        <f ca="1">+GETPIVOTDATA("XDB4",'dabac (2016)'!$A$3,"MA_HT","DKG","MA_QH","ODT")</f>
        <v>0</v>
      </c>
      <c r="AS40" s="50">
        <f ca="1">+GETPIVOTDATA("XDB4",'dabac (2016)'!$A$3,"MA_HT","DKG","MA_QH","TSC")</f>
        <v>0</v>
      </c>
      <c r="AT40" s="50">
        <f ca="1">+GETPIVOTDATA("XDB4",'dabac (2016)'!$A$3,"MA_HT","DKG","MA_QH","DTS")</f>
        <v>0</v>
      </c>
      <c r="AU40" s="50">
        <f ca="1">+GETPIVOTDATA("XDB4",'dabac (2016)'!$A$3,"MA_HT","DKG","MA_QH","DNG")</f>
        <v>0</v>
      </c>
      <c r="AV40" s="50">
        <f ca="1">+GETPIVOTDATA("XDB4",'dabac (2016)'!$A$3,"MA_HT","DKG","MA_QH","TON")</f>
        <v>0</v>
      </c>
      <c r="AW40" s="50">
        <f ca="1">+GETPIVOTDATA("XDB4",'dabac (2016)'!$A$3,"MA_HT","DKG","MA_QH","NTD")</f>
        <v>0</v>
      </c>
      <c r="AX40" s="50">
        <f ca="1">+GETPIVOTDATA("XDB4",'dabac (2016)'!$A$3,"MA_HT","DKG","MA_QH","SKX")</f>
        <v>0</v>
      </c>
      <c r="AY40" s="50">
        <f ca="1">+GETPIVOTDATA("XDB4",'dabac (2016)'!$A$3,"MA_HT","DKG","MA_QH","DSH")</f>
        <v>0</v>
      </c>
      <c r="AZ40" s="50">
        <f ca="1">+GETPIVOTDATA("XDB4",'dabac (2016)'!$A$3,"MA_HT","DKG","MA_QH","DKV")</f>
        <v>0</v>
      </c>
      <c r="BA40" s="88">
        <f ca="1">+GETPIVOTDATA("XDB4",'dabac (2016)'!$A$3,"MA_HT","DKG","MA_QH","TIN")</f>
        <v>0</v>
      </c>
      <c r="BB40" s="50">
        <f ca="1">+GETPIVOTDATA("XDB4",'dabac (2016)'!$A$3,"MA_HT","DKG","MA_QH","SON")</f>
        <v>0</v>
      </c>
      <c r="BC40" s="50">
        <f ca="1">+GETPIVOTDATA("XDB4",'dabac (2016)'!$A$3,"MA_HT","DKG","MA_QH","MNC")</f>
        <v>0</v>
      </c>
      <c r="BD40" s="50">
        <f ca="1">+GETPIVOTDATA("XDB4",'dabac (2016)'!$A$3,"MA_HT","DKG","MA_QH","PNK")</f>
        <v>0</v>
      </c>
      <c r="BE40" s="80">
        <f ca="1">+GETPIVOTDATA("XDB4",'dabac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+GETPIVOTDATA("XDB4",'dabac (2016)'!$A$3,"MA_HT","DDT","MA_QH","LUC")</f>
        <v>0</v>
      </c>
      <c r="H41" s="60">
        <f ca="1">+GETPIVOTDATA("XDB4",'dabac (2016)'!$A$3,"MA_HT","DDT","MA_QH","LUK")</f>
        <v>0</v>
      </c>
      <c r="I41" s="60">
        <f ca="1">+GETPIVOTDATA("XDB4",'dabac (2016)'!$A$3,"MA_HT","DDT","MA_QH","LUN")</f>
        <v>0</v>
      </c>
      <c r="J41" s="60">
        <f ca="1">+GETPIVOTDATA("XDB4",'dabac (2016)'!$A$3,"MA_HT","DDT","MA_QH","HNK")</f>
        <v>0</v>
      </c>
      <c r="K41" s="60">
        <f ca="1">+GETPIVOTDATA("XDB4",'dabac (2016)'!$A$3,"MA_HT","DDT","MA_QH","CLN")</f>
        <v>0</v>
      </c>
      <c r="L41" s="60">
        <f ca="1">+GETPIVOTDATA("XDB4",'dabac (2016)'!$A$3,"MA_HT","DDT","MA_QH","RSX")</f>
        <v>0</v>
      </c>
      <c r="M41" s="60">
        <f ca="1">+GETPIVOTDATA("XDB4",'dabac (2016)'!$A$3,"MA_HT","DDT","MA_QH","RPH")</f>
        <v>0</v>
      </c>
      <c r="N41" s="60">
        <f ca="1">+GETPIVOTDATA("XDB4",'dabac (2016)'!$A$3,"MA_HT","DDT","MA_QH","RDD")</f>
        <v>0</v>
      </c>
      <c r="O41" s="60">
        <f ca="1">+GETPIVOTDATA("XDB4",'dabac (2016)'!$A$3,"MA_HT","DDT","MA_QH","NTS")</f>
        <v>0</v>
      </c>
      <c r="P41" s="60">
        <f ca="1">+GETPIVOTDATA("XDB4",'dabac (2016)'!$A$3,"MA_HT","DDT","MA_QH","LMU")</f>
        <v>0</v>
      </c>
      <c r="Q41" s="60">
        <f ca="1">+GETPIVOTDATA("XDB4",'dabac (2016)'!$A$3,"MA_HT","DDT","MA_QH","NKH")</f>
        <v>0</v>
      </c>
      <c r="R41" s="78">
        <f ca="1">SUM(S41:AA41,AO41:BD41)</f>
        <v>0</v>
      </c>
      <c r="S41" s="60">
        <f ca="1">+GETPIVOTDATA("XDB4",'dabac (2016)'!$A$3,"MA_HT","DDT","MA_QH","CQP")</f>
        <v>0</v>
      </c>
      <c r="T41" s="60">
        <f ca="1">+GETPIVOTDATA("XDB4",'dabac (2016)'!$A$3,"MA_HT","DDT","MA_QH","CAN")</f>
        <v>0</v>
      </c>
      <c r="U41" s="60">
        <f ca="1">+GETPIVOTDATA("XDB4",'dabac (2016)'!$A$3,"MA_HT","DDT","MA_QH","SKK")</f>
        <v>0</v>
      </c>
      <c r="V41" s="60">
        <f ca="1">+GETPIVOTDATA("XDB4",'dabac (2016)'!$A$3,"MA_HT","DDT","MA_QH","SKT")</f>
        <v>0</v>
      </c>
      <c r="W41" s="60">
        <f ca="1">+GETPIVOTDATA("XDB4",'dabac (2016)'!$A$3,"MA_HT","DDT","MA_QH","SKN")</f>
        <v>0</v>
      </c>
      <c r="X41" s="60">
        <f ca="1">+GETPIVOTDATA("XDB4",'dabac (2016)'!$A$3,"MA_HT","DDT","MA_QH","TMD")</f>
        <v>0</v>
      </c>
      <c r="Y41" s="60">
        <f ca="1">+GETPIVOTDATA("XDB4",'dabac (2016)'!$A$3,"MA_HT","DDT","MA_QH","SKC")</f>
        <v>0</v>
      </c>
      <c r="Z41" s="60">
        <f ca="1">+GETPIVOTDATA("XDB4",'dabac (2016)'!$A$3,"MA_HT","DDT","MA_QH","SKS")</f>
        <v>0</v>
      </c>
      <c r="AA41" s="59">
        <f ca="1" t="shared" ref="AA41:AA58" si="21">+SUM(AB41:AM41)</f>
        <v>0</v>
      </c>
      <c r="AB41" s="60">
        <f ca="1">+GETPIVOTDATA("XDB4",'dabac (2016)'!$A$3,"MA_HT","DDT","MA_QH","DGT")</f>
        <v>0</v>
      </c>
      <c r="AC41" s="60">
        <f ca="1">+GETPIVOTDATA("XDB4",'dabac (2016)'!$A$3,"MA_HT","DDT","MA_QH","DTL")</f>
        <v>0</v>
      </c>
      <c r="AD41" s="60">
        <f ca="1">+GETPIVOTDATA("XDB4",'dabac (2016)'!$A$3,"MA_HT","DDT","MA_QH","DNL")</f>
        <v>0</v>
      </c>
      <c r="AE41" s="60">
        <f ca="1">+GETPIVOTDATA("XDB4",'dabac (2016)'!$A$3,"MA_HT","DDT","MA_QH","DBV")</f>
        <v>0</v>
      </c>
      <c r="AF41" s="60">
        <f ca="1">+GETPIVOTDATA("XDB4",'dabac (2016)'!$A$3,"MA_HT","DDT","MA_QH","DVH")</f>
        <v>0</v>
      </c>
      <c r="AG41" s="60">
        <f ca="1">+GETPIVOTDATA("XDB4",'dabac (2016)'!$A$3,"MA_HT","DDT","MA_QH","DYT")</f>
        <v>0</v>
      </c>
      <c r="AH41" s="60">
        <f ca="1">+GETPIVOTDATA("XDB4",'dabac (2016)'!$A$3,"MA_HT","DDT","MA_QH","DGD")</f>
        <v>0</v>
      </c>
      <c r="AI41" s="60">
        <f ca="1">+GETPIVOTDATA("XDB4",'dabac (2016)'!$A$3,"MA_HT","DDT","MA_QH","DTT")</f>
        <v>0</v>
      </c>
      <c r="AJ41" s="60">
        <f ca="1">+GETPIVOTDATA("XDB4",'dabac (2016)'!$A$3,"MA_HT","DDT","MA_QH","NCK")</f>
        <v>0</v>
      </c>
      <c r="AK41" s="60">
        <f ca="1">+GETPIVOTDATA("XDB4",'dabac (2016)'!$A$3,"MA_HT","DDT","MA_QH","DXH")</f>
        <v>0</v>
      </c>
      <c r="AL41" s="60">
        <f ca="1">+GETPIVOTDATA("XDB4",'dabac (2016)'!$A$3,"MA_HT","DDT","MA_QH","DCH")</f>
        <v>0</v>
      </c>
      <c r="AM41" s="60">
        <f ca="1">+GETPIVOTDATA("XDB4",'dabac (2016)'!$A$3,"MA_HT","DDT","MA_QH","DKG")</f>
        <v>0</v>
      </c>
      <c r="AN41" s="81" t="e">
        <f ca="1">$D41-$BF41</f>
        <v>#REF!</v>
      </c>
      <c r="AO41" s="60">
        <f ca="1">+GETPIVOTDATA("XDB4",'dabac (2016)'!$A$3,"MA_HT","DDT","MA_QH","DDL")</f>
        <v>0</v>
      </c>
      <c r="AP41" s="60">
        <f ca="1">+GETPIVOTDATA("XDB4",'dabac (2016)'!$A$3,"MA_HT","DDT","MA_QH","DRA")</f>
        <v>0</v>
      </c>
      <c r="AQ41" s="60">
        <f ca="1">+GETPIVOTDATA("XDB4",'dabac (2016)'!$A$3,"MA_HT","DDT","MA_QH","ONT")</f>
        <v>0</v>
      </c>
      <c r="AR41" s="60">
        <f ca="1">+GETPIVOTDATA("XDB4",'dabac (2016)'!$A$3,"MA_HT","DDT","MA_QH","ODT")</f>
        <v>0</v>
      </c>
      <c r="AS41" s="60">
        <f ca="1">+GETPIVOTDATA("XDB4",'dabac (2016)'!$A$3,"MA_HT","DDT","MA_QH","TSC")</f>
        <v>0</v>
      </c>
      <c r="AT41" s="60">
        <f ca="1">+GETPIVOTDATA("XDB4",'dabac (2016)'!$A$3,"MA_HT","DDT","MA_QH","DTS")</f>
        <v>0</v>
      </c>
      <c r="AU41" s="60">
        <f ca="1">+GETPIVOTDATA("XDB4",'dabac (2016)'!$A$3,"MA_HT","DDT","MA_QH","DNG")</f>
        <v>0</v>
      </c>
      <c r="AV41" s="60">
        <f ca="1">+GETPIVOTDATA("XDB4",'dabac (2016)'!$A$3,"MA_HT","DDT","MA_QH","TON")</f>
        <v>0</v>
      </c>
      <c r="AW41" s="60">
        <f ca="1">+GETPIVOTDATA("XDB4",'dabac (2016)'!$A$3,"MA_HT","DDT","MA_QH","NTD")</f>
        <v>0</v>
      </c>
      <c r="AX41" s="60">
        <f ca="1">+GETPIVOTDATA("XDB4",'dabac (2016)'!$A$3,"MA_HT","DDT","MA_QH","SKX")</f>
        <v>0</v>
      </c>
      <c r="AY41" s="60">
        <f ca="1">+GETPIVOTDATA("XDB4",'dabac (2016)'!$A$3,"MA_HT","DDT","MA_QH","DSH")</f>
        <v>0</v>
      </c>
      <c r="AZ41" s="60">
        <f ca="1">+GETPIVOTDATA("XDB4",'dabac (2016)'!$A$3,"MA_HT","DDT","MA_QH","DKV")</f>
        <v>0</v>
      </c>
      <c r="BA41" s="90">
        <f ca="1">+GETPIVOTDATA("XDB4",'dabac (2016)'!$A$3,"MA_HT","DDT","MA_QH","TIN")</f>
        <v>0</v>
      </c>
      <c r="BB41" s="91">
        <f ca="1">+GETPIVOTDATA("XDB4",'dabac (2016)'!$A$3,"MA_HT","DDT","MA_QH","SON")</f>
        <v>0</v>
      </c>
      <c r="BC41" s="91">
        <f ca="1">+GETPIVOTDATA("XDB4",'dabac (2016)'!$A$3,"MA_HT","DDT","MA_QH","MNC")</f>
        <v>0</v>
      </c>
      <c r="BD41" s="60">
        <f ca="1">+GETPIVOTDATA("XDB4",'dabac (2016)'!$A$3,"MA_HT","DDT","MA_QH","PNK")</f>
        <v>0</v>
      </c>
      <c r="BE41" s="111">
        <f ca="1">+GETPIVOTDATA("XDB4",'dabac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+GETPIVOTDATA("XDB4",'dabac (2016)'!$A$3,"MA_HT","DDL","MA_QH","LUC")</f>
        <v>0</v>
      </c>
      <c r="H42" s="22">
        <f ca="1">+GETPIVOTDATA("XDB4",'dabac (2016)'!$A$3,"MA_HT","DDL","MA_QH","LUK")</f>
        <v>0</v>
      </c>
      <c r="I42" s="22">
        <f ca="1">+GETPIVOTDATA("XDB4",'dabac (2016)'!$A$3,"MA_HT","DDL","MA_QH","LUN")</f>
        <v>0</v>
      </c>
      <c r="J42" s="22">
        <f ca="1">+GETPIVOTDATA("XDB4",'dabac (2016)'!$A$3,"MA_HT","DDL","MA_QH","HNK")</f>
        <v>0</v>
      </c>
      <c r="K42" s="22">
        <f ca="1">+GETPIVOTDATA("XDB4",'dabac (2016)'!$A$3,"MA_HT","DDL","MA_QH","CLN")</f>
        <v>0</v>
      </c>
      <c r="L42" s="22">
        <f ca="1">+GETPIVOTDATA("XDB4",'dabac (2016)'!$A$3,"MA_HT","DDL","MA_QH","RSX")</f>
        <v>0</v>
      </c>
      <c r="M42" s="22">
        <f ca="1">+GETPIVOTDATA("XDB4",'dabac (2016)'!$A$3,"MA_HT","DDL","MA_QH","RPH")</f>
        <v>0</v>
      </c>
      <c r="N42" s="22">
        <f ca="1">+GETPIVOTDATA("XDB4",'dabac (2016)'!$A$3,"MA_HT","DDL","MA_QH","RDD")</f>
        <v>0</v>
      </c>
      <c r="O42" s="22">
        <f ca="1">+GETPIVOTDATA("XDB4",'dabac (2016)'!$A$3,"MA_HT","DDL","MA_QH","NTS")</f>
        <v>0</v>
      </c>
      <c r="P42" s="22">
        <f ca="1">+GETPIVOTDATA("XDB4",'dabac (2016)'!$A$3,"MA_HT","DDL","MA_QH","LMU")</f>
        <v>0</v>
      </c>
      <c r="Q42" s="22">
        <f ca="1">+GETPIVOTDATA("XDB4",'dabac (2016)'!$A$3,"MA_HT","DDL","MA_QH","NKH")</f>
        <v>0</v>
      </c>
      <c r="R42" s="79">
        <f ca="1">SUM(S42:AA42,AN42,AP42:BD42)</f>
        <v>0</v>
      </c>
      <c r="S42" s="22">
        <f ca="1">+GETPIVOTDATA("XDB4",'dabac (2016)'!$A$3,"MA_HT","DDL","MA_QH","CQP")</f>
        <v>0</v>
      </c>
      <c r="T42" s="22">
        <f ca="1">+GETPIVOTDATA("XDB4",'dabac (2016)'!$A$3,"MA_HT","DDL","MA_QH","CAN")</f>
        <v>0</v>
      </c>
      <c r="U42" s="22">
        <f ca="1">+GETPIVOTDATA("XDB4",'dabac (2016)'!$A$3,"MA_HT","DDL","MA_QH","SKK")</f>
        <v>0</v>
      </c>
      <c r="V42" s="22">
        <f ca="1">+GETPIVOTDATA("XDB4",'dabac (2016)'!$A$3,"MA_HT","DDL","MA_QH","SKT")</f>
        <v>0</v>
      </c>
      <c r="W42" s="22">
        <f ca="1">+GETPIVOTDATA("XDB4",'dabac (2016)'!$A$3,"MA_HT","DDL","MA_QH","SKN")</f>
        <v>0</v>
      </c>
      <c r="X42" s="22">
        <f ca="1">+GETPIVOTDATA("XDB4",'dabac (2016)'!$A$3,"MA_HT","DDL","MA_QH","TMD")</f>
        <v>0</v>
      </c>
      <c r="Y42" s="22">
        <f ca="1">+GETPIVOTDATA("XDB4",'dabac (2016)'!$A$3,"MA_HT","DDL","MA_QH","SKC")</f>
        <v>0</v>
      </c>
      <c r="Z42" s="22">
        <f ca="1">+GETPIVOTDATA("XDB4",'dabac (2016)'!$A$3,"MA_HT","DDL","MA_QH","SKS")</f>
        <v>0</v>
      </c>
      <c r="AA42" s="52">
        <f ca="1" t="shared" si="21"/>
        <v>0</v>
      </c>
      <c r="AB42" s="22">
        <f ca="1">+GETPIVOTDATA("XDB4",'dabac (2016)'!$A$3,"MA_HT","DDL","MA_QH","DGT")</f>
        <v>0</v>
      </c>
      <c r="AC42" s="22">
        <f ca="1">+GETPIVOTDATA("XDB4",'dabac (2016)'!$A$3,"MA_HT","DDL","MA_QH","DTL")</f>
        <v>0</v>
      </c>
      <c r="AD42" s="22">
        <f ca="1">+GETPIVOTDATA("XDB4",'dabac (2016)'!$A$3,"MA_HT","DDL","MA_QH","DNL")</f>
        <v>0</v>
      </c>
      <c r="AE42" s="22">
        <f ca="1">+GETPIVOTDATA("XDB4",'dabac (2016)'!$A$3,"MA_HT","DDL","MA_QH","DBV")</f>
        <v>0</v>
      </c>
      <c r="AF42" s="22">
        <f ca="1">+GETPIVOTDATA("XDB4",'dabac (2016)'!$A$3,"MA_HT","DDL","MA_QH","DVH")</f>
        <v>0</v>
      </c>
      <c r="AG42" s="22">
        <f ca="1">+GETPIVOTDATA("XDB4",'dabac (2016)'!$A$3,"MA_HT","DDL","MA_QH","DYT")</f>
        <v>0</v>
      </c>
      <c r="AH42" s="22">
        <f ca="1">+GETPIVOTDATA("XDB4",'dabac (2016)'!$A$3,"MA_HT","DDL","MA_QH","DGD")</f>
        <v>0</v>
      </c>
      <c r="AI42" s="22">
        <f ca="1">+GETPIVOTDATA("XDB4",'dabac (2016)'!$A$3,"MA_HT","DDL","MA_QH","DTT")</f>
        <v>0</v>
      </c>
      <c r="AJ42" s="22">
        <f ca="1">+GETPIVOTDATA("XDB4",'dabac (2016)'!$A$3,"MA_HT","DDL","MA_QH","NCK")</f>
        <v>0</v>
      </c>
      <c r="AK42" s="22">
        <f ca="1">+GETPIVOTDATA("XDB4",'dabac (2016)'!$A$3,"MA_HT","DDL","MA_QH","DXH")</f>
        <v>0</v>
      </c>
      <c r="AL42" s="22">
        <f ca="1">+GETPIVOTDATA("XDB4",'dabac (2016)'!$A$3,"MA_HT","DDL","MA_QH","DCH")</f>
        <v>0</v>
      </c>
      <c r="AM42" s="22">
        <f ca="1">+GETPIVOTDATA("XDB4",'dabac (2016)'!$A$3,"MA_HT","DDL","MA_QH","DKG")</f>
        <v>0</v>
      </c>
      <c r="AN42" s="22">
        <f ca="1">+GETPIVOTDATA("XDB4",'dabac (2016)'!$A$3,"MA_HT","DDL","MA_QH","DDT")</f>
        <v>0</v>
      </c>
      <c r="AO42" s="43" t="e">
        <f ca="1">$D42-$BF42</f>
        <v>#REF!</v>
      </c>
      <c r="AP42" s="22">
        <f ca="1">+GETPIVOTDATA("XDB4",'dabac (2016)'!$A$3,"MA_HT","DDL","MA_QH","DRA")</f>
        <v>0</v>
      </c>
      <c r="AQ42" s="22">
        <f ca="1">+GETPIVOTDATA("XDB4",'dabac (2016)'!$A$3,"MA_HT","DDL","MA_QH","ONT")</f>
        <v>0</v>
      </c>
      <c r="AR42" s="22">
        <f ca="1">+GETPIVOTDATA("XDB4",'dabac (2016)'!$A$3,"MA_HT","DDL","MA_QH","ODT")</f>
        <v>0</v>
      </c>
      <c r="AS42" s="22">
        <f ca="1">+GETPIVOTDATA("XDB4",'dabac (2016)'!$A$3,"MA_HT","DDL","MA_QH","TSC")</f>
        <v>0</v>
      </c>
      <c r="AT42" s="22">
        <f ca="1">+GETPIVOTDATA("XDB4",'dabac (2016)'!$A$3,"MA_HT","DDL","MA_QH","DTS")</f>
        <v>0</v>
      </c>
      <c r="AU42" s="22">
        <f ca="1">+GETPIVOTDATA("XDB4",'dabac (2016)'!$A$3,"MA_HT","DDL","MA_QH","DNG")</f>
        <v>0</v>
      </c>
      <c r="AV42" s="22">
        <f ca="1">+GETPIVOTDATA("XDB4",'dabac (2016)'!$A$3,"MA_HT","DDL","MA_QH","TON")</f>
        <v>0</v>
      </c>
      <c r="AW42" s="22">
        <f ca="1">+GETPIVOTDATA("XDB4",'dabac (2016)'!$A$3,"MA_HT","DDL","MA_QH","NTD")</f>
        <v>0</v>
      </c>
      <c r="AX42" s="22">
        <f ca="1">+GETPIVOTDATA("XDB4",'dabac (2016)'!$A$3,"MA_HT","DDL","MA_QH","SKX")</f>
        <v>0</v>
      </c>
      <c r="AY42" s="22">
        <f ca="1">+GETPIVOTDATA("XDB4",'dabac (2016)'!$A$3,"MA_HT","DDL","MA_QH","DSH")</f>
        <v>0</v>
      </c>
      <c r="AZ42" s="22">
        <f ca="1">+GETPIVOTDATA("XDB4",'dabac (2016)'!$A$3,"MA_HT","DDL","MA_QH","DKV")</f>
        <v>0</v>
      </c>
      <c r="BA42" s="89">
        <f ca="1">+GETPIVOTDATA("XDB4",'dabac (2016)'!$A$3,"MA_HT","DDL","MA_QH","TIN")</f>
        <v>0</v>
      </c>
      <c r="BB42" s="50">
        <f ca="1">+GETPIVOTDATA("XDB4",'dabac (2016)'!$A$3,"MA_HT","DDL","MA_QH","SON")</f>
        <v>0</v>
      </c>
      <c r="BC42" s="50">
        <f ca="1">+GETPIVOTDATA("XDB4",'dabac (2016)'!$A$3,"MA_HT","DDL","MA_QH","MNC")</f>
        <v>0</v>
      </c>
      <c r="BD42" s="22">
        <f ca="1">+GETPIVOTDATA("XDB4",'dabac (2016)'!$A$3,"MA_HT","DDL","MA_QH","PNK")</f>
        <v>0</v>
      </c>
      <c r="BE42" s="71">
        <f ca="1">+GETPIVOTDATA("XDB4",'dabac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+GETPIVOTDATA("XDB4",'dabac (2016)'!$A$3,"MA_HT","DRA","MA_QH","LUC")</f>
        <v>0</v>
      </c>
      <c r="H43" s="22">
        <f ca="1">+GETPIVOTDATA("XDB4",'dabac (2016)'!$A$3,"MA_HT","DRA","MA_QH","LUK")</f>
        <v>0</v>
      </c>
      <c r="I43" s="22">
        <f ca="1">+GETPIVOTDATA("XDB4",'dabac (2016)'!$A$3,"MA_HT","DRA","MA_QH","LUN")</f>
        <v>0</v>
      </c>
      <c r="J43" s="22">
        <f ca="1">+GETPIVOTDATA("XDB4",'dabac (2016)'!$A$3,"MA_HT","DRA","MA_QH","HNK")</f>
        <v>0</v>
      </c>
      <c r="K43" s="22">
        <f ca="1">+GETPIVOTDATA("XDB4",'dabac (2016)'!$A$3,"MA_HT","DRA","MA_QH","CLN")</f>
        <v>0</v>
      </c>
      <c r="L43" s="22">
        <f ca="1">+GETPIVOTDATA("XDB4",'dabac (2016)'!$A$3,"MA_HT","DRA","MA_QH","RSX")</f>
        <v>0</v>
      </c>
      <c r="M43" s="22">
        <f ca="1">+GETPIVOTDATA("XDB4",'dabac (2016)'!$A$3,"MA_HT","DRA","MA_QH","RPH")</f>
        <v>0</v>
      </c>
      <c r="N43" s="22">
        <f ca="1">+GETPIVOTDATA("XDB4",'dabac (2016)'!$A$3,"MA_HT","DRA","MA_QH","RDD")</f>
        <v>0</v>
      </c>
      <c r="O43" s="22">
        <f ca="1">+GETPIVOTDATA("XDB4",'dabac (2016)'!$A$3,"MA_HT","DRA","MA_QH","NTS")</f>
        <v>0</v>
      </c>
      <c r="P43" s="22">
        <f ca="1">+GETPIVOTDATA("XDB4",'dabac (2016)'!$A$3,"MA_HT","DRA","MA_QH","LMU")</f>
        <v>0</v>
      </c>
      <c r="Q43" s="22">
        <f ca="1">+GETPIVOTDATA("XDB4",'dabac (2016)'!$A$3,"MA_HT","DRA","MA_QH","NKH")</f>
        <v>0</v>
      </c>
      <c r="R43" s="79">
        <f ca="1">SUM(S43:AA43,AN43:AO43,AQ43:BD43)</f>
        <v>0</v>
      </c>
      <c r="S43" s="22">
        <f ca="1">+GETPIVOTDATA("XDB4",'dabac (2016)'!$A$3,"MA_HT","DRA","MA_QH","CQP")</f>
        <v>0</v>
      </c>
      <c r="T43" s="22">
        <f ca="1">+GETPIVOTDATA("XDB4",'dabac (2016)'!$A$3,"MA_HT","DRA","MA_QH","CAN")</f>
        <v>0</v>
      </c>
      <c r="U43" s="22">
        <f ca="1">+GETPIVOTDATA("XDB4",'dabac (2016)'!$A$3,"MA_HT","DRA","MA_QH","SKK")</f>
        <v>0</v>
      </c>
      <c r="V43" s="22">
        <f ca="1">+GETPIVOTDATA("XDB4",'dabac (2016)'!$A$3,"MA_HT","DRA","MA_QH","SKT")</f>
        <v>0</v>
      </c>
      <c r="W43" s="22">
        <f ca="1">+GETPIVOTDATA("XDB4",'dabac (2016)'!$A$3,"MA_HT","DRA","MA_QH","SKN")</f>
        <v>0</v>
      </c>
      <c r="X43" s="22">
        <f ca="1">+GETPIVOTDATA("XDB4",'dabac (2016)'!$A$3,"MA_HT","DRA","MA_QH","TMD")</f>
        <v>0</v>
      </c>
      <c r="Y43" s="22">
        <f ca="1">+GETPIVOTDATA("XDB4",'dabac (2016)'!$A$3,"MA_HT","DRA","MA_QH","SKC")</f>
        <v>0</v>
      </c>
      <c r="Z43" s="22">
        <f ca="1">+GETPIVOTDATA("XDB4",'dabac (2016)'!$A$3,"MA_HT","DRA","MA_QH","SKS")</f>
        <v>0</v>
      </c>
      <c r="AA43" s="52">
        <f ca="1" t="shared" si="21"/>
        <v>0</v>
      </c>
      <c r="AB43" s="22">
        <f ca="1">+GETPIVOTDATA("XDB4",'dabac (2016)'!$A$3,"MA_HT","DRA","MA_QH","DGT")</f>
        <v>0</v>
      </c>
      <c r="AC43" s="22">
        <f ca="1">+GETPIVOTDATA("XDB4",'dabac (2016)'!$A$3,"MA_HT","DRA","MA_QH","DTL")</f>
        <v>0</v>
      </c>
      <c r="AD43" s="22">
        <f ca="1">+GETPIVOTDATA("XDB4",'dabac (2016)'!$A$3,"MA_HT","DRA","MA_QH","DNL")</f>
        <v>0</v>
      </c>
      <c r="AE43" s="22">
        <f ca="1">+GETPIVOTDATA("XDB4",'dabac (2016)'!$A$3,"MA_HT","DRA","MA_QH","DBV")</f>
        <v>0</v>
      </c>
      <c r="AF43" s="22">
        <f ca="1">+GETPIVOTDATA("XDB4",'dabac (2016)'!$A$3,"MA_HT","DRA","MA_QH","DVH")</f>
        <v>0</v>
      </c>
      <c r="AG43" s="22">
        <f ca="1">+GETPIVOTDATA("XDB4",'dabac (2016)'!$A$3,"MA_HT","DRA","MA_QH","DYT")</f>
        <v>0</v>
      </c>
      <c r="AH43" s="22">
        <f ca="1">+GETPIVOTDATA("XDB4",'dabac (2016)'!$A$3,"MA_HT","DRA","MA_QH","DGD")</f>
        <v>0</v>
      </c>
      <c r="AI43" s="22">
        <f ca="1">+GETPIVOTDATA("XDB4",'dabac (2016)'!$A$3,"MA_HT","DRA","MA_QH","DTT")</f>
        <v>0</v>
      </c>
      <c r="AJ43" s="22">
        <f ca="1">+GETPIVOTDATA("XDB4",'dabac (2016)'!$A$3,"MA_HT","DRA","MA_QH","NCK")</f>
        <v>0</v>
      </c>
      <c r="AK43" s="22">
        <f ca="1">+GETPIVOTDATA("XDB4",'dabac (2016)'!$A$3,"MA_HT","DRA","MA_QH","DXH")</f>
        <v>0</v>
      </c>
      <c r="AL43" s="22">
        <f ca="1">+GETPIVOTDATA("XDB4",'dabac (2016)'!$A$3,"MA_HT","DRA","MA_QH","DCH")</f>
        <v>0</v>
      </c>
      <c r="AM43" s="22">
        <f ca="1">+GETPIVOTDATA("XDB4",'dabac (2016)'!$A$3,"MA_HT","DRA","MA_QH","DKG")</f>
        <v>0</v>
      </c>
      <c r="AN43" s="22">
        <f ca="1">+GETPIVOTDATA("XDB4",'dabac (2016)'!$A$3,"MA_HT","DRA","MA_QH","DDT")</f>
        <v>0</v>
      </c>
      <c r="AO43" s="22">
        <f ca="1">+GETPIVOTDATA("XDB4",'dabac (2016)'!$A$3,"MA_HT","DRA","MA_QH","DDL")</f>
        <v>0</v>
      </c>
      <c r="AP43" s="43" t="e">
        <f ca="1">$D43-$BF43</f>
        <v>#REF!</v>
      </c>
      <c r="AQ43" s="22">
        <f ca="1">+GETPIVOTDATA("XDB4",'dabac (2016)'!$A$3,"MA_HT","DRA","MA_QH","ONT")</f>
        <v>0</v>
      </c>
      <c r="AR43" s="22">
        <f ca="1">+GETPIVOTDATA("XDB4",'dabac (2016)'!$A$3,"MA_HT","DRA","MA_QH","ODT")</f>
        <v>0</v>
      </c>
      <c r="AS43" s="22">
        <f ca="1">+GETPIVOTDATA("XDB4",'dabac (2016)'!$A$3,"MA_HT","DRA","MA_QH","TSC")</f>
        <v>0</v>
      </c>
      <c r="AT43" s="22">
        <f ca="1">+GETPIVOTDATA("XDB4",'dabac (2016)'!$A$3,"MA_HT","DRA","MA_QH","DTS")</f>
        <v>0</v>
      </c>
      <c r="AU43" s="22">
        <f ca="1">+GETPIVOTDATA("XDB4",'dabac (2016)'!$A$3,"MA_HT","DRA","MA_QH","DNG")</f>
        <v>0</v>
      </c>
      <c r="AV43" s="22">
        <f ca="1">+GETPIVOTDATA("XDB4",'dabac (2016)'!$A$3,"MA_HT","DRA","MA_QH","TON")</f>
        <v>0</v>
      </c>
      <c r="AW43" s="22">
        <f ca="1">+GETPIVOTDATA("XDB4",'dabac (2016)'!$A$3,"MA_HT","DRA","MA_QH","NTD")</f>
        <v>0</v>
      </c>
      <c r="AX43" s="22">
        <f ca="1">+GETPIVOTDATA("XDB4",'dabac (2016)'!$A$3,"MA_HT","DRA","MA_QH","SKX")</f>
        <v>0</v>
      </c>
      <c r="AY43" s="22">
        <f ca="1">+GETPIVOTDATA("XDB4",'dabac (2016)'!$A$3,"MA_HT","DRA","MA_QH","DSH")</f>
        <v>0</v>
      </c>
      <c r="AZ43" s="22">
        <f ca="1">+GETPIVOTDATA("XDB4",'dabac (2016)'!$A$3,"MA_HT","DRA","MA_QH","DKV")</f>
        <v>0</v>
      </c>
      <c r="BA43" s="89">
        <f ca="1">+GETPIVOTDATA("XDB4",'dabac (2016)'!$A$3,"MA_HT","DRA","MA_QH","TIN")</f>
        <v>0</v>
      </c>
      <c r="BB43" s="50">
        <f ca="1">+GETPIVOTDATA("XDB4",'dabac (2016)'!$A$3,"MA_HT","DRA","MA_QH","SON")</f>
        <v>0</v>
      </c>
      <c r="BC43" s="50">
        <f ca="1">+GETPIVOTDATA("XDB4",'dabac (2016)'!$A$3,"MA_HT","DRA","MA_QH","MNC")</f>
        <v>0</v>
      </c>
      <c r="BD43" s="22">
        <f ca="1">+GETPIVOTDATA("XDB4",'dabac (2016)'!$A$3,"MA_HT","DRA","MA_QH","PNK")</f>
        <v>0</v>
      </c>
      <c r="BE43" s="71">
        <f ca="1">+GETPIVOTDATA("XDB4",'dabac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+GETPIVOTDATA("XDB4",'dabac (2016)'!$A$3,"MA_HT","ONT","MA_QH","LUC")</f>
        <v>0</v>
      </c>
      <c r="H44" s="22">
        <f ca="1">+GETPIVOTDATA("XDB4",'dabac (2016)'!$A$3,"MA_HT","ONT","MA_QH","LUK")</f>
        <v>0</v>
      </c>
      <c r="I44" s="22">
        <f ca="1">+GETPIVOTDATA("XDB4",'dabac (2016)'!$A$3,"MA_HT","ONT","MA_QH","LUN")</f>
        <v>0</v>
      </c>
      <c r="J44" s="22">
        <f ca="1">+GETPIVOTDATA("XDB4",'dabac (2016)'!$A$3,"MA_HT","ONT","MA_QH","HNK")</f>
        <v>0</v>
      </c>
      <c r="K44" s="22">
        <f ca="1">+GETPIVOTDATA("XDB4",'dabac (2016)'!$A$3,"MA_HT","ONT","MA_QH","CLN")</f>
        <v>0</v>
      </c>
      <c r="L44" s="22">
        <f ca="1">+GETPIVOTDATA("XDB4",'dabac (2016)'!$A$3,"MA_HT","ONT","MA_QH","RSX")</f>
        <v>0</v>
      </c>
      <c r="M44" s="22">
        <f ca="1">+GETPIVOTDATA("XDB4",'dabac (2016)'!$A$3,"MA_HT","ONT","MA_QH","RPH")</f>
        <v>0</v>
      </c>
      <c r="N44" s="22">
        <f ca="1">+GETPIVOTDATA("XDB4",'dabac (2016)'!$A$3,"MA_HT","ONT","MA_QH","RDD")</f>
        <v>0</v>
      </c>
      <c r="O44" s="22">
        <f ca="1">+GETPIVOTDATA("XDB4",'dabac (2016)'!$A$3,"MA_HT","ONT","MA_QH","NTS")</f>
        <v>0</v>
      </c>
      <c r="P44" s="22">
        <f ca="1">+GETPIVOTDATA("XDB4",'dabac (2016)'!$A$3,"MA_HT","ONT","MA_QH","LMU")</f>
        <v>0</v>
      </c>
      <c r="Q44" s="22">
        <f ca="1">+GETPIVOTDATA("XDB4",'dabac (2016)'!$A$3,"MA_HT","ONT","MA_QH","NKH")</f>
        <v>0</v>
      </c>
      <c r="R44" s="79">
        <f ca="1">SUM(S44:AA44,AN44:AP44,AR44:BD44)</f>
        <v>0</v>
      </c>
      <c r="S44" s="22">
        <f ca="1">+GETPIVOTDATA("XDB4",'dabac (2016)'!$A$3,"MA_HT","ONT","MA_QH","CQP")</f>
        <v>0</v>
      </c>
      <c r="T44" s="22">
        <f ca="1">+GETPIVOTDATA("XDB4",'dabac (2016)'!$A$3,"MA_HT","ONT","MA_QH","CAN")</f>
        <v>0</v>
      </c>
      <c r="U44" s="22">
        <f ca="1">+GETPIVOTDATA("XDB4",'dabac (2016)'!$A$3,"MA_HT","ONT","MA_QH","SKK")</f>
        <v>0</v>
      </c>
      <c r="V44" s="22">
        <f ca="1">+GETPIVOTDATA("XDB4",'dabac (2016)'!$A$3,"MA_HT","ONT","MA_QH","SKT")</f>
        <v>0</v>
      </c>
      <c r="W44" s="22">
        <f ca="1">+GETPIVOTDATA("XDB4",'dabac (2016)'!$A$3,"MA_HT","ONT","MA_QH","SKN")</f>
        <v>0</v>
      </c>
      <c r="X44" s="22">
        <f ca="1">+GETPIVOTDATA("XDB4",'dabac (2016)'!$A$3,"MA_HT","ONT","MA_QH","TMD")</f>
        <v>0</v>
      </c>
      <c r="Y44" s="22">
        <f ca="1">+GETPIVOTDATA("XDB4",'dabac (2016)'!$A$3,"MA_HT","ONT","MA_QH","SKC")</f>
        <v>0</v>
      </c>
      <c r="Z44" s="22">
        <f ca="1">+GETPIVOTDATA("XDB4",'dabac (2016)'!$A$3,"MA_HT","ONT","MA_QH","SKS")</f>
        <v>0</v>
      </c>
      <c r="AA44" s="52">
        <f ca="1" t="shared" si="21"/>
        <v>0</v>
      </c>
      <c r="AB44" s="22">
        <f ca="1">+GETPIVOTDATA("XDB4",'dabac (2016)'!$A$3,"MA_HT","ONT","MA_QH","DGT")</f>
        <v>0</v>
      </c>
      <c r="AC44" s="22">
        <f ca="1">+GETPIVOTDATA("XDB4",'dabac (2016)'!$A$3,"MA_HT","ONT","MA_QH","DTL")</f>
        <v>0</v>
      </c>
      <c r="AD44" s="22">
        <f ca="1">+GETPIVOTDATA("XDB4",'dabac (2016)'!$A$3,"MA_HT","ONT","MA_QH","DNL")</f>
        <v>0</v>
      </c>
      <c r="AE44" s="22">
        <f ca="1">+GETPIVOTDATA("XDB4",'dabac (2016)'!$A$3,"MA_HT","ONT","MA_QH","DBV")</f>
        <v>0</v>
      </c>
      <c r="AF44" s="22">
        <f ca="1">+GETPIVOTDATA("XDB4",'dabac (2016)'!$A$3,"MA_HT","ONT","MA_QH","DVH")</f>
        <v>0</v>
      </c>
      <c r="AG44" s="22">
        <f ca="1">+GETPIVOTDATA("XDB4",'dabac (2016)'!$A$3,"MA_HT","ONT","MA_QH","DYT")</f>
        <v>0</v>
      </c>
      <c r="AH44" s="22">
        <f ca="1">+GETPIVOTDATA("XDB4",'dabac (2016)'!$A$3,"MA_HT","ONT","MA_QH","DGD")</f>
        <v>0</v>
      </c>
      <c r="AI44" s="22">
        <f ca="1">+GETPIVOTDATA("XDB4",'dabac (2016)'!$A$3,"MA_HT","ONT","MA_QH","DTT")</f>
        <v>0</v>
      </c>
      <c r="AJ44" s="22">
        <f ca="1">+GETPIVOTDATA("XDB4",'dabac (2016)'!$A$3,"MA_HT","ONT","MA_QH","NCK")</f>
        <v>0</v>
      </c>
      <c r="AK44" s="22">
        <f ca="1">+GETPIVOTDATA("XDB4",'dabac (2016)'!$A$3,"MA_HT","ONT","MA_QH","DXH")</f>
        <v>0</v>
      </c>
      <c r="AL44" s="22">
        <f ca="1">+GETPIVOTDATA("XDB4",'dabac (2016)'!$A$3,"MA_HT","ONT","MA_QH","DCH")</f>
        <v>0</v>
      </c>
      <c r="AM44" s="22">
        <f ca="1">+GETPIVOTDATA("XDB4",'dabac (2016)'!$A$3,"MA_HT","ONT","MA_QH","DKG")</f>
        <v>0</v>
      </c>
      <c r="AN44" s="22">
        <f ca="1">+GETPIVOTDATA("XDB4",'dabac (2016)'!$A$3,"MA_HT","ONT","MA_QH","DDT")</f>
        <v>0</v>
      </c>
      <c r="AO44" s="22">
        <f ca="1">+GETPIVOTDATA("XDB4",'dabac (2016)'!$A$3,"MA_HT","ONT","MA_QH","DDL")</f>
        <v>0</v>
      </c>
      <c r="AP44" s="22">
        <f ca="1">+GETPIVOTDATA("XDB4",'dabac (2016)'!$A$3,"MA_HT","ONT","MA_QH","DRA")</f>
        <v>0</v>
      </c>
      <c r="AQ44" s="43" t="e">
        <f ca="1">$D44-$BF44</f>
        <v>#REF!</v>
      </c>
      <c r="AR44" s="22">
        <f ca="1">+GETPIVOTDATA("XDB4",'dabac (2016)'!$A$3,"MA_HT","ONT","MA_QH","ODT")</f>
        <v>0</v>
      </c>
      <c r="AS44" s="22">
        <f ca="1">+GETPIVOTDATA("XDB4",'dabac (2016)'!$A$3,"MA_HT","ONT","MA_QH","TSC")</f>
        <v>0</v>
      </c>
      <c r="AT44" s="22">
        <f ca="1">+GETPIVOTDATA("XDB4",'dabac (2016)'!$A$3,"MA_HT","ONT","MA_QH","DTS")</f>
        <v>0</v>
      </c>
      <c r="AU44" s="22">
        <f ca="1">+GETPIVOTDATA("XDB4",'dabac (2016)'!$A$3,"MA_HT","ONT","MA_QH","DNG")</f>
        <v>0</v>
      </c>
      <c r="AV44" s="22">
        <f ca="1">+GETPIVOTDATA("XDB4",'dabac (2016)'!$A$3,"MA_HT","ONT","MA_QH","TON")</f>
        <v>0</v>
      </c>
      <c r="AW44" s="22">
        <f ca="1">+GETPIVOTDATA("XDB4",'dabac (2016)'!$A$3,"MA_HT","ONT","MA_QH","NTD")</f>
        <v>0</v>
      </c>
      <c r="AX44" s="22">
        <f ca="1">+GETPIVOTDATA("XDB4",'dabac (2016)'!$A$3,"MA_HT","ONT","MA_QH","SKX")</f>
        <v>0</v>
      </c>
      <c r="AY44" s="22">
        <f ca="1">+GETPIVOTDATA("XDB4",'dabac (2016)'!$A$3,"MA_HT","ONT","MA_QH","DSH")</f>
        <v>0</v>
      </c>
      <c r="AZ44" s="22">
        <f ca="1">+GETPIVOTDATA("XDB4",'dabac (2016)'!$A$3,"MA_HT","ONT","MA_QH","DKV")</f>
        <v>0</v>
      </c>
      <c r="BA44" s="89">
        <f ca="1">+GETPIVOTDATA("XDB4",'dabac (2016)'!$A$3,"MA_HT","ONT","MA_QH","TIN")</f>
        <v>0</v>
      </c>
      <c r="BB44" s="50">
        <f ca="1">+GETPIVOTDATA("XDB4",'dabac (2016)'!$A$3,"MA_HT","ONT","MA_QH","SON")</f>
        <v>0</v>
      </c>
      <c r="BC44" s="50">
        <f ca="1">+GETPIVOTDATA("XDB4",'dabac (2016)'!$A$3,"MA_HT","ONT","MA_QH","MNC")</f>
        <v>0</v>
      </c>
      <c r="BD44" s="22">
        <f ca="1">+GETPIVOTDATA("XDB4",'dabac (2016)'!$A$3,"MA_HT","ONT","MA_QH","PNK")</f>
        <v>0</v>
      </c>
      <c r="BE44" s="71">
        <f ca="1">+GETPIVOTDATA("XDB4",'dabac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+GETPIVOTDATA("XDB4",'dabac (2016)'!$A$3,"MA_HT","ODT","MA_QH","LUC")</f>
        <v>0</v>
      </c>
      <c r="H45" s="67">
        <f ca="1">+GETPIVOTDATA("XDB4",'dabac (2016)'!$A$3,"MA_HT","ODT","MA_QH","LUK")</f>
        <v>0</v>
      </c>
      <c r="I45" s="67">
        <f ca="1">+GETPIVOTDATA("XDB4",'dabac (2016)'!$A$3,"MA_HT","ODT","MA_QH","LUN")</f>
        <v>0</v>
      </c>
      <c r="J45" s="67">
        <f ca="1">+GETPIVOTDATA("XDB4",'dabac (2016)'!$A$3,"MA_HT","ODT","MA_QH","HNK")</f>
        <v>0</v>
      </c>
      <c r="K45" s="67">
        <f ca="1">+GETPIVOTDATA("XDB4",'dabac (2016)'!$A$3,"MA_HT","ODT","MA_QH","CLN")</f>
        <v>0</v>
      </c>
      <c r="L45" s="67">
        <f ca="1">+GETPIVOTDATA("XDB4",'dabac (2016)'!$A$3,"MA_HT","ODT","MA_QH","RSX")</f>
        <v>0</v>
      </c>
      <c r="M45" s="67">
        <f ca="1">+GETPIVOTDATA("XDB4",'dabac (2016)'!$A$3,"MA_HT","ODT","MA_QH","RPH")</f>
        <v>0</v>
      </c>
      <c r="N45" s="67">
        <f ca="1">+GETPIVOTDATA("XDB4",'dabac (2016)'!$A$3,"MA_HT","ODT","MA_QH","RDD")</f>
        <v>0</v>
      </c>
      <c r="O45" s="67">
        <f ca="1">+GETPIVOTDATA("XDB4",'dabac (2016)'!$A$3,"MA_HT","ODT","MA_QH","NTS")</f>
        <v>0</v>
      </c>
      <c r="P45" s="67">
        <f ca="1">+GETPIVOTDATA("XDB4",'dabac (2016)'!$A$3,"MA_HT","ODT","MA_QH","LMU")</f>
        <v>0</v>
      </c>
      <c r="Q45" s="67">
        <f ca="1">+GETPIVOTDATA("XDB4",'dabac (2016)'!$A$3,"MA_HT","ODT","MA_QH","NKH")</f>
        <v>0</v>
      </c>
      <c r="R45" s="79">
        <f ca="1">SUM(S45:AA45,AN45:AQ45,AS45:BD45)</f>
        <v>0</v>
      </c>
      <c r="S45" s="67">
        <f ca="1">+GETPIVOTDATA("XDB4",'dabac (2016)'!$A$3,"MA_HT","ODT","MA_QH","CQP")</f>
        <v>0</v>
      </c>
      <c r="T45" s="67">
        <f ca="1">+GETPIVOTDATA("XDB4",'dabac (2016)'!$A$3,"MA_HT","ODT","MA_QH","CAN")</f>
        <v>0</v>
      </c>
      <c r="U45" s="67">
        <f ca="1">+GETPIVOTDATA("XDB4",'dabac (2016)'!$A$3,"MA_HT","ODT","MA_QH","SKK")</f>
        <v>0</v>
      </c>
      <c r="V45" s="67">
        <f ca="1">+GETPIVOTDATA("XDB4",'dabac (2016)'!$A$3,"MA_HT","ODT","MA_QH","SKT")</f>
        <v>0</v>
      </c>
      <c r="W45" s="67">
        <f ca="1">+GETPIVOTDATA("XDB4",'dabac (2016)'!$A$3,"MA_HT","ODT","MA_QH","SKN")</f>
        <v>0</v>
      </c>
      <c r="X45" s="67">
        <f ca="1">+GETPIVOTDATA("XDB4",'dabac (2016)'!$A$3,"MA_HT","ODT","MA_QH","TMD")</f>
        <v>0</v>
      </c>
      <c r="Y45" s="67">
        <f ca="1">+GETPIVOTDATA("XDB4",'dabac (2016)'!$A$3,"MA_HT","ODT","MA_QH","SKC")</f>
        <v>0</v>
      </c>
      <c r="Z45" s="67">
        <f ca="1">+GETPIVOTDATA("XDB4",'dabac (2016)'!$A$3,"MA_HT","ODT","MA_QH","SKS")</f>
        <v>0</v>
      </c>
      <c r="AA45" s="66">
        <f ca="1" t="shared" si="21"/>
        <v>0</v>
      </c>
      <c r="AB45" s="67">
        <f ca="1">+GETPIVOTDATA("XDB4",'dabac (2016)'!$A$3,"MA_HT","ODT","MA_QH","DGT")</f>
        <v>0</v>
      </c>
      <c r="AC45" s="67">
        <f ca="1">+GETPIVOTDATA("XDB4",'dabac (2016)'!$A$3,"MA_HT","ODT","MA_QH","DTL")</f>
        <v>0</v>
      </c>
      <c r="AD45" s="67">
        <f ca="1">+GETPIVOTDATA("XDB4",'dabac (2016)'!$A$3,"MA_HT","ODT","MA_QH","DNL")</f>
        <v>0</v>
      </c>
      <c r="AE45" s="67">
        <f ca="1">+GETPIVOTDATA("XDB4",'dabac (2016)'!$A$3,"MA_HT","ODT","MA_QH","DBV")</f>
        <v>0</v>
      </c>
      <c r="AF45" s="67">
        <f ca="1">+GETPIVOTDATA("XDB4",'dabac (2016)'!$A$3,"MA_HT","ODT","MA_QH","DVH")</f>
        <v>0</v>
      </c>
      <c r="AG45" s="67">
        <f ca="1">+GETPIVOTDATA("XDB4",'dabac (2016)'!$A$3,"MA_HT","ODT","MA_QH","DYT")</f>
        <v>0</v>
      </c>
      <c r="AH45" s="67">
        <f ca="1">+GETPIVOTDATA("XDB4",'dabac (2016)'!$A$3,"MA_HT","ODT","MA_QH","DGD")</f>
        <v>0</v>
      </c>
      <c r="AI45" s="67">
        <f ca="1">+GETPIVOTDATA("XDB4",'dabac (2016)'!$A$3,"MA_HT","ODT","MA_QH","DTT")</f>
        <v>0</v>
      </c>
      <c r="AJ45" s="67">
        <f ca="1">+GETPIVOTDATA("XDB4",'dabac (2016)'!$A$3,"MA_HT","ODT","MA_QH","NCK")</f>
        <v>0</v>
      </c>
      <c r="AK45" s="67">
        <f ca="1">+GETPIVOTDATA("XDB4",'dabac (2016)'!$A$3,"MA_HT","ODT","MA_QH","DXH")</f>
        <v>0</v>
      </c>
      <c r="AL45" s="67">
        <f ca="1">+GETPIVOTDATA("XDB4",'dabac (2016)'!$A$3,"MA_HT","ODT","MA_QH","DCH")</f>
        <v>0</v>
      </c>
      <c r="AM45" s="67">
        <f ca="1">+GETPIVOTDATA("XDB4",'dabac (2016)'!$A$3,"MA_HT","ODT","MA_QH","DKG")</f>
        <v>0</v>
      </c>
      <c r="AN45" s="67">
        <f ca="1">+GETPIVOTDATA("XDB4",'dabac (2016)'!$A$3,"MA_HT","ODT","MA_QH","DDT")</f>
        <v>0</v>
      </c>
      <c r="AO45" s="67">
        <f ca="1">+GETPIVOTDATA("XDB4",'dabac (2016)'!$A$3,"MA_HT","ODT","MA_QH","DDL")</f>
        <v>0</v>
      </c>
      <c r="AP45" s="67">
        <f ca="1">+GETPIVOTDATA("XDB4",'dabac (2016)'!$A$3,"MA_HT","ODT","MA_QH","DRA")</f>
        <v>0</v>
      </c>
      <c r="AQ45" s="67">
        <f ca="1">+GETPIVOTDATA("XDB4",'dabac (2016)'!$A$3,"MA_HT","ODT","MA_QH","ONT")</f>
        <v>0</v>
      </c>
      <c r="AR45" s="82" t="e">
        <f ca="1">$D45-$BF45</f>
        <v>#REF!</v>
      </c>
      <c r="AS45" s="67">
        <f ca="1">+GETPIVOTDATA("XDB4",'dabac (2016)'!$A$3,"MA_HT","ODT","MA_QH","TSC")</f>
        <v>0</v>
      </c>
      <c r="AT45" s="67">
        <f ca="1">+GETPIVOTDATA("XDB4",'dabac (2016)'!$A$3,"MA_HT","ODT","MA_QH","DTS")</f>
        <v>0</v>
      </c>
      <c r="AU45" s="67">
        <f ca="1">+GETPIVOTDATA("XDB4",'dabac (2016)'!$A$3,"MA_HT","ODT","MA_QH","DNG")</f>
        <v>0</v>
      </c>
      <c r="AV45" s="67">
        <f ca="1">+GETPIVOTDATA("XDB4",'dabac (2016)'!$A$3,"MA_HT","ODT","MA_QH","TON")</f>
        <v>0</v>
      </c>
      <c r="AW45" s="67">
        <f ca="1">+GETPIVOTDATA("XDB4",'dabac (2016)'!$A$3,"MA_HT","ODT","MA_QH","NTD")</f>
        <v>0</v>
      </c>
      <c r="AX45" s="67">
        <f ca="1">+GETPIVOTDATA("XDB4",'dabac (2016)'!$A$3,"MA_HT","ODT","MA_QH","SKX")</f>
        <v>0</v>
      </c>
      <c r="AY45" s="67">
        <f ca="1">+GETPIVOTDATA("XDB4",'dabac (2016)'!$A$3,"MA_HT","ODT","MA_QH","DSH")</f>
        <v>0</v>
      </c>
      <c r="AZ45" s="67">
        <f ca="1">+GETPIVOTDATA("XDB4",'dabac (2016)'!$A$3,"MA_HT","ODT","MA_QH","DKV")</f>
        <v>0</v>
      </c>
      <c r="BA45" s="92">
        <f ca="1">+GETPIVOTDATA("XDB4",'dabac (2016)'!$A$3,"MA_HT","ODT","MA_QH","TIN")</f>
        <v>0</v>
      </c>
      <c r="BB45" s="93">
        <f ca="1">+GETPIVOTDATA("XDB4",'dabac (2016)'!$A$3,"MA_HT","ODT","MA_QH","SON")</f>
        <v>0</v>
      </c>
      <c r="BC45" s="93">
        <f ca="1">+GETPIVOTDATA("XDB4",'dabac (2016)'!$A$3,"MA_HT","ODT","MA_QH","MNC")</f>
        <v>0</v>
      </c>
      <c r="BD45" s="67">
        <f ca="1">+GETPIVOTDATA("XDB4",'dabac (2016)'!$A$3,"MA_HT","ODT","MA_QH","PNK")</f>
        <v>0</v>
      </c>
      <c r="BE45" s="116">
        <f ca="1">+GETPIVOTDATA("XDB4",'dabac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+GETPIVOTDATA("XDB4",'dabac (2016)'!$A$3,"MA_HT","TSC","MA_QH","LUC")</f>
        <v>0</v>
      </c>
      <c r="H46" s="22">
        <f ca="1">+GETPIVOTDATA("XDB4",'dabac (2016)'!$A$3,"MA_HT","TSC","MA_QH","LUK")</f>
        <v>0</v>
      </c>
      <c r="I46" s="22">
        <f ca="1">+GETPIVOTDATA("XDB4",'dabac (2016)'!$A$3,"MA_HT","TSC","MA_QH","LUN")</f>
        <v>0</v>
      </c>
      <c r="J46" s="22">
        <f ca="1">+GETPIVOTDATA("XDB4",'dabac (2016)'!$A$3,"MA_HT","TSC","MA_QH","HNK")</f>
        <v>0</v>
      </c>
      <c r="K46" s="22">
        <f ca="1">+GETPIVOTDATA("XDB4",'dabac (2016)'!$A$3,"MA_HT","TSC","MA_QH","CLN")</f>
        <v>0</v>
      </c>
      <c r="L46" s="22">
        <f ca="1">+GETPIVOTDATA("XDB4",'dabac (2016)'!$A$3,"MA_HT","TSC","MA_QH","RSX")</f>
        <v>0</v>
      </c>
      <c r="M46" s="22">
        <f ca="1">+GETPIVOTDATA("XDB4",'dabac (2016)'!$A$3,"MA_HT","TSC","MA_QH","RPH")</f>
        <v>0</v>
      </c>
      <c r="N46" s="22">
        <f ca="1">+GETPIVOTDATA("XDB4",'dabac (2016)'!$A$3,"MA_HT","TSC","MA_QH","RDD")</f>
        <v>0</v>
      </c>
      <c r="O46" s="22">
        <f ca="1">+GETPIVOTDATA("XDB4",'dabac (2016)'!$A$3,"MA_HT","TSC","MA_QH","NTS")</f>
        <v>0</v>
      </c>
      <c r="P46" s="22">
        <f ca="1">+GETPIVOTDATA("XDB4",'dabac (2016)'!$A$3,"MA_HT","TSC","MA_QH","LMU")</f>
        <v>0</v>
      </c>
      <c r="Q46" s="22">
        <f ca="1">+GETPIVOTDATA("XDB4",'dabac (2016)'!$A$3,"MA_HT","TSC","MA_QH","NKH")</f>
        <v>0</v>
      </c>
      <c r="R46" s="48">
        <f ca="1">SUM(S46:AA46,AN46:AR46,AT46:BD46)</f>
        <v>0</v>
      </c>
      <c r="S46" s="22">
        <f ca="1">+GETPIVOTDATA("XDB4",'dabac (2016)'!$A$3,"MA_HT","TSC","MA_QH","CQP")</f>
        <v>0</v>
      </c>
      <c r="T46" s="22">
        <f ca="1">+GETPIVOTDATA("XDB4",'dabac (2016)'!$A$3,"MA_HT","TSC","MA_QH","CAN")</f>
        <v>0</v>
      </c>
      <c r="U46" s="22">
        <f ca="1">+GETPIVOTDATA("XDB4",'dabac (2016)'!$A$3,"MA_HT","TSC","MA_QH","SKK")</f>
        <v>0</v>
      </c>
      <c r="V46" s="22">
        <f ca="1">+GETPIVOTDATA("XDB4",'dabac (2016)'!$A$3,"MA_HT","TSC","MA_QH","SKT")</f>
        <v>0</v>
      </c>
      <c r="W46" s="22">
        <f ca="1">+GETPIVOTDATA("XDB4",'dabac (2016)'!$A$3,"MA_HT","TSC","MA_QH","SKN")</f>
        <v>0</v>
      </c>
      <c r="X46" s="22">
        <f ca="1">+GETPIVOTDATA("XDB4",'dabac (2016)'!$A$3,"MA_HT","TSC","MA_QH","TMD")</f>
        <v>0</v>
      </c>
      <c r="Y46" s="22">
        <f ca="1">+GETPIVOTDATA("XDB4",'dabac (2016)'!$A$3,"MA_HT","TSC","MA_QH","SKC")</f>
        <v>0</v>
      </c>
      <c r="Z46" s="22">
        <f ca="1">+GETPIVOTDATA("XDB4",'dabac (2016)'!$A$3,"MA_HT","TSC","MA_QH","SKS")</f>
        <v>0</v>
      </c>
      <c r="AA46" s="52">
        <f ca="1" t="shared" si="21"/>
        <v>0</v>
      </c>
      <c r="AB46" s="22">
        <f ca="1">+GETPIVOTDATA("XDB4",'dabac (2016)'!$A$3,"MA_HT","TSC","MA_QH","DGT")</f>
        <v>0</v>
      </c>
      <c r="AC46" s="22">
        <f ca="1">+GETPIVOTDATA("XDB4",'dabac (2016)'!$A$3,"MA_HT","TSC","MA_QH","DTL")</f>
        <v>0</v>
      </c>
      <c r="AD46" s="22">
        <f ca="1">+GETPIVOTDATA("XDB4",'dabac (2016)'!$A$3,"MA_HT","TSC","MA_QH","DNL")</f>
        <v>0</v>
      </c>
      <c r="AE46" s="22">
        <f ca="1">+GETPIVOTDATA("XDB4",'dabac (2016)'!$A$3,"MA_HT","TSC","MA_QH","DBV")</f>
        <v>0</v>
      </c>
      <c r="AF46" s="22">
        <f ca="1">+GETPIVOTDATA("XDB4",'dabac (2016)'!$A$3,"MA_HT","TSC","MA_QH","DVH")</f>
        <v>0</v>
      </c>
      <c r="AG46" s="22">
        <f ca="1">+GETPIVOTDATA("XDB4",'dabac (2016)'!$A$3,"MA_HT","TSC","MA_QH","DYT")</f>
        <v>0</v>
      </c>
      <c r="AH46" s="22">
        <f ca="1">+GETPIVOTDATA("XDB4",'dabac (2016)'!$A$3,"MA_HT","TSC","MA_QH","DGD")</f>
        <v>0</v>
      </c>
      <c r="AI46" s="22">
        <f ca="1">+GETPIVOTDATA("XDB4",'dabac (2016)'!$A$3,"MA_HT","TSC","MA_QH","DTT")</f>
        <v>0</v>
      </c>
      <c r="AJ46" s="22">
        <f ca="1">+GETPIVOTDATA("XDB4",'dabac (2016)'!$A$3,"MA_HT","TSC","MA_QH","NCK")</f>
        <v>0</v>
      </c>
      <c r="AK46" s="22">
        <f ca="1">+GETPIVOTDATA("XDB4",'dabac (2016)'!$A$3,"MA_HT","TSC","MA_QH","DXH")</f>
        <v>0</v>
      </c>
      <c r="AL46" s="22">
        <f ca="1">+GETPIVOTDATA("XDB4",'dabac (2016)'!$A$3,"MA_HT","TSC","MA_QH","DCH")</f>
        <v>0</v>
      </c>
      <c r="AM46" s="22">
        <f ca="1">+GETPIVOTDATA("XDB4",'dabac (2016)'!$A$3,"MA_HT","TSC","MA_QH","DKG")</f>
        <v>0</v>
      </c>
      <c r="AN46" s="22">
        <f ca="1">+GETPIVOTDATA("XDB4",'dabac (2016)'!$A$3,"MA_HT","TSC","MA_QH","DDT")</f>
        <v>0</v>
      </c>
      <c r="AO46" s="22">
        <f ca="1">+GETPIVOTDATA("XDB4",'dabac (2016)'!$A$3,"MA_HT","TSC","MA_QH","DDL")</f>
        <v>0</v>
      </c>
      <c r="AP46" s="22">
        <f ca="1">+GETPIVOTDATA("XDB4",'dabac (2016)'!$A$3,"MA_HT","TSC","MA_QH","DRA")</f>
        <v>0</v>
      </c>
      <c r="AQ46" s="22">
        <f ca="1">+GETPIVOTDATA("XDB4",'dabac (2016)'!$A$3,"MA_HT","TSC","MA_QH","ONT")</f>
        <v>0</v>
      </c>
      <c r="AR46" s="22">
        <f ca="1">+GETPIVOTDATA("XDB4",'dabac (2016)'!$A$3,"MA_HT","TSC","MA_QH","ODT")</f>
        <v>0</v>
      </c>
      <c r="AS46" s="43" t="e">
        <f ca="1">$D46-$BF46</f>
        <v>#REF!</v>
      </c>
      <c r="AT46" s="22">
        <f ca="1">+GETPIVOTDATA("XDB4",'dabac (2016)'!$A$3,"MA_HT","TSC","MA_QH","DTS")</f>
        <v>0</v>
      </c>
      <c r="AU46" s="22">
        <f ca="1">+GETPIVOTDATA("XDB4",'dabac (2016)'!$A$3,"MA_HT","TSC","MA_QH","DNG")</f>
        <v>0</v>
      </c>
      <c r="AV46" s="22">
        <f ca="1">+GETPIVOTDATA("XDB4",'dabac (2016)'!$A$3,"MA_HT","TSC","MA_QH","TON")</f>
        <v>0</v>
      </c>
      <c r="AW46" s="22">
        <f ca="1">+GETPIVOTDATA("XDB4",'dabac (2016)'!$A$3,"MA_HT","TSC","MA_QH","NTD")</f>
        <v>0</v>
      </c>
      <c r="AX46" s="22">
        <f ca="1">+GETPIVOTDATA("XDB4",'dabac (2016)'!$A$3,"MA_HT","TSC","MA_QH","SKX")</f>
        <v>0</v>
      </c>
      <c r="AY46" s="22">
        <f ca="1">+GETPIVOTDATA("XDB4",'dabac (2016)'!$A$3,"MA_HT","TSC","MA_QH","DSH")</f>
        <v>0</v>
      </c>
      <c r="AZ46" s="22">
        <f ca="1">+GETPIVOTDATA("XDB4",'dabac (2016)'!$A$3,"MA_HT","TSC","MA_QH","DKV")</f>
        <v>0</v>
      </c>
      <c r="BA46" s="89">
        <f ca="1">+GETPIVOTDATA("XDB4",'dabac (2016)'!$A$3,"MA_HT","TSC","MA_QH","TIN")</f>
        <v>0</v>
      </c>
      <c r="BB46" s="50">
        <f ca="1">+GETPIVOTDATA("XDB4",'dabac (2016)'!$A$3,"MA_HT","TSC","MA_QH","SON")</f>
        <v>0</v>
      </c>
      <c r="BC46" s="50">
        <f ca="1">+GETPIVOTDATA("XDB4",'dabac (2016)'!$A$3,"MA_HT","TSC","MA_QH","MNC")</f>
        <v>0</v>
      </c>
      <c r="BD46" s="22">
        <f ca="1">+GETPIVOTDATA("XDB4",'dabac (2016)'!$A$3,"MA_HT","TSC","MA_QH","PNK")</f>
        <v>0</v>
      </c>
      <c r="BE46" s="71">
        <f ca="1">+GETPIVOTDATA("XDB4",'dabac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+GETPIVOTDATA("XDB4",'dabac (2016)'!$A$3,"MA_HT","DTS","MA_QH","LUC")</f>
        <v>0</v>
      </c>
      <c r="H47" s="60">
        <f ca="1">+GETPIVOTDATA("XDB4",'dabac (2016)'!$A$3,"MA_HT","DTS","MA_QH","LUK")</f>
        <v>0</v>
      </c>
      <c r="I47" s="60">
        <f ca="1">+GETPIVOTDATA("XDB4",'dabac (2016)'!$A$3,"MA_HT","DTS","MA_QH","LUN")</f>
        <v>0</v>
      </c>
      <c r="J47" s="60">
        <f ca="1">+GETPIVOTDATA("XDB4",'dabac (2016)'!$A$3,"MA_HT","DTS","MA_QH","HNK")</f>
        <v>0</v>
      </c>
      <c r="K47" s="60">
        <f ca="1">+GETPIVOTDATA("XDB4",'dabac (2016)'!$A$3,"MA_HT","DTS","MA_QH","CLN")</f>
        <v>0</v>
      </c>
      <c r="L47" s="60">
        <f ca="1">+GETPIVOTDATA("XDB4",'dabac (2016)'!$A$3,"MA_HT","DTS","MA_QH","RSX")</f>
        <v>0</v>
      </c>
      <c r="M47" s="60">
        <f ca="1">+GETPIVOTDATA("XDB4",'dabac (2016)'!$A$3,"MA_HT","DTS","MA_QH","RPH")</f>
        <v>0</v>
      </c>
      <c r="N47" s="60">
        <f ca="1">+GETPIVOTDATA("XDB4",'dabac (2016)'!$A$3,"MA_HT","DTS","MA_QH","RDD")</f>
        <v>0</v>
      </c>
      <c r="O47" s="60">
        <f ca="1">+GETPIVOTDATA("XDB4",'dabac (2016)'!$A$3,"MA_HT","DTS","MA_QH","NTS")</f>
        <v>0</v>
      </c>
      <c r="P47" s="60">
        <f ca="1">+GETPIVOTDATA("XDB4",'dabac (2016)'!$A$3,"MA_HT","DTS","MA_QH","LMU")</f>
        <v>0</v>
      </c>
      <c r="Q47" s="60">
        <f ca="1">+GETPIVOTDATA("XDB4",'dabac (2016)'!$A$3,"MA_HT","DTS","MA_QH","NKH")</f>
        <v>0</v>
      </c>
      <c r="R47" s="78">
        <f ca="1">SUM(S47:AA47,AN47:AS47,AU47:BD47)</f>
        <v>0</v>
      </c>
      <c r="S47" s="60">
        <f ca="1">+GETPIVOTDATA("XDB4",'dabac (2016)'!$A$3,"MA_HT","DTS","MA_QH","CQP")</f>
        <v>0</v>
      </c>
      <c r="T47" s="60">
        <f ca="1">+GETPIVOTDATA("XDB4",'dabac (2016)'!$A$3,"MA_HT","DTS","MA_QH","CAN")</f>
        <v>0</v>
      </c>
      <c r="U47" s="60">
        <f ca="1">+GETPIVOTDATA("XDB4",'dabac (2016)'!$A$3,"MA_HT","DTS","MA_QH","SKK")</f>
        <v>0</v>
      </c>
      <c r="V47" s="60">
        <f ca="1">+GETPIVOTDATA("XDB4",'dabac (2016)'!$A$3,"MA_HT","DTS","MA_QH","SKT")</f>
        <v>0</v>
      </c>
      <c r="W47" s="60">
        <f ca="1">+GETPIVOTDATA("XDB4",'dabac (2016)'!$A$3,"MA_HT","DTS","MA_QH","SKN")</f>
        <v>0</v>
      </c>
      <c r="X47" s="60">
        <f ca="1">+GETPIVOTDATA("XDB4",'dabac (2016)'!$A$3,"MA_HT","DTS","MA_QH","TMD")</f>
        <v>0</v>
      </c>
      <c r="Y47" s="60">
        <f ca="1">+GETPIVOTDATA("XDB4",'dabac (2016)'!$A$3,"MA_HT","DTS","MA_QH","SKC")</f>
        <v>0</v>
      </c>
      <c r="Z47" s="60">
        <f ca="1">+GETPIVOTDATA("XDB4",'dabac (2016)'!$A$3,"MA_HT","DTS","MA_QH","SKS")</f>
        <v>0</v>
      </c>
      <c r="AA47" s="59">
        <f ca="1" t="shared" si="21"/>
        <v>0</v>
      </c>
      <c r="AB47" s="60">
        <f ca="1">+GETPIVOTDATA("XDB4",'dabac (2016)'!$A$3,"MA_HT","DTS","MA_QH","DGT")</f>
        <v>0</v>
      </c>
      <c r="AC47" s="60">
        <f ca="1">+GETPIVOTDATA("XDB4",'dabac (2016)'!$A$3,"MA_HT","DTS","MA_QH","DTL")</f>
        <v>0</v>
      </c>
      <c r="AD47" s="60">
        <f ca="1">+GETPIVOTDATA("XDB4",'dabac (2016)'!$A$3,"MA_HT","DTS","MA_QH","DNL")</f>
        <v>0</v>
      </c>
      <c r="AE47" s="60">
        <f ca="1">+GETPIVOTDATA("XDB4",'dabac (2016)'!$A$3,"MA_HT","DTS","MA_QH","DBV")</f>
        <v>0</v>
      </c>
      <c r="AF47" s="60">
        <f ca="1">+GETPIVOTDATA("XDB4",'dabac (2016)'!$A$3,"MA_HT","DTS","MA_QH","DVH")</f>
        <v>0</v>
      </c>
      <c r="AG47" s="60">
        <f ca="1">+GETPIVOTDATA("XDB4",'dabac (2016)'!$A$3,"MA_HT","DTS","MA_QH","DYT")</f>
        <v>0</v>
      </c>
      <c r="AH47" s="60">
        <f ca="1">+GETPIVOTDATA("XDB4",'dabac (2016)'!$A$3,"MA_HT","DTS","MA_QH","DGD")</f>
        <v>0</v>
      </c>
      <c r="AI47" s="60">
        <f ca="1">+GETPIVOTDATA("XDB4",'dabac (2016)'!$A$3,"MA_HT","DTS","MA_QH","DTT")</f>
        <v>0</v>
      </c>
      <c r="AJ47" s="60">
        <f ca="1">+GETPIVOTDATA("XDB4",'dabac (2016)'!$A$3,"MA_HT","DTS","MA_QH","NCK")</f>
        <v>0</v>
      </c>
      <c r="AK47" s="60">
        <f ca="1">+GETPIVOTDATA("XDB4",'dabac (2016)'!$A$3,"MA_HT","DTS","MA_QH","DXH")</f>
        <v>0</v>
      </c>
      <c r="AL47" s="60">
        <f ca="1">+GETPIVOTDATA("XDB4",'dabac (2016)'!$A$3,"MA_HT","DTS","MA_QH","DCH")</f>
        <v>0</v>
      </c>
      <c r="AM47" s="60">
        <f ca="1">+GETPIVOTDATA("XDB4",'dabac (2016)'!$A$3,"MA_HT","DTS","MA_QH","DKG")</f>
        <v>0</v>
      </c>
      <c r="AN47" s="60">
        <f ca="1">+GETPIVOTDATA("XDB4",'dabac (2016)'!$A$3,"MA_HT","DTS","MA_QH","DDT")</f>
        <v>0</v>
      </c>
      <c r="AO47" s="60">
        <f ca="1">+GETPIVOTDATA("XDB4",'dabac (2016)'!$A$3,"MA_HT","DTS","MA_QH","DDL")</f>
        <v>0</v>
      </c>
      <c r="AP47" s="60">
        <f ca="1">+GETPIVOTDATA("XDB4",'dabac (2016)'!$A$3,"MA_HT","DTS","MA_QH","DRA")</f>
        <v>0</v>
      </c>
      <c r="AQ47" s="60">
        <f ca="1">+GETPIVOTDATA("XDB4",'dabac (2016)'!$A$3,"MA_HT","DTS","MA_QH","ONT")</f>
        <v>0</v>
      </c>
      <c r="AR47" s="60">
        <f ca="1">+GETPIVOTDATA("XDB4",'dabac (2016)'!$A$3,"MA_HT","DTS","MA_QH","ODT")</f>
        <v>0</v>
      </c>
      <c r="AS47" s="60">
        <f ca="1">+GETPIVOTDATA("XDB4",'dabac (2016)'!$A$3,"MA_HT","DTS","MA_QH","TSC")</f>
        <v>0</v>
      </c>
      <c r="AT47" s="81" t="e">
        <f ca="1">$D47-$BF47</f>
        <v>#REF!</v>
      </c>
      <c r="AU47" s="60">
        <f ca="1">+GETPIVOTDATA("XDB4",'dabac (2016)'!$A$3,"MA_HT","DTS","MA_QH","DNG")</f>
        <v>0</v>
      </c>
      <c r="AV47" s="60">
        <f ca="1">+GETPIVOTDATA("XDB4",'dabac (2016)'!$A$3,"MA_HT","DTS","MA_QH","TON")</f>
        <v>0</v>
      </c>
      <c r="AW47" s="60">
        <f ca="1">+GETPIVOTDATA("XDB4",'dabac (2016)'!$A$3,"MA_HT","DTS","MA_QH","NTD")</f>
        <v>0</v>
      </c>
      <c r="AX47" s="60">
        <f ca="1">+GETPIVOTDATA("XDB4",'dabac (2016)'!$A$3,"MA_HT","DTS","MA_QH","SKX")</f>
        <v>0</v>
      </c>
      <c r="AY47" s="60">
        <f ca="1">+GETPIVOTDATA("XDB4",'dabac (2016)'!$A$3,"MA_HT","DTS","MA_QH","DSH")</f>
        <v>0</v>
      </c>
      <c r="AZ47" s="60">
        <f ca="1">+GETPIVOTDATA("XDB4",'dabac (2016)'!$A$3,"MA_HT","DTS","MA_QH","DKV")</f>
        <v>0</v>
      </c>
      <c r="BA47" s="90">
        <f ca="1">+GETPIVOTDATA("XDB4",'dabac (2016)'!$A$3,"MA_HT","DTS","MA_QH","TIN")</f>
        <v>0</v>
      </c>
      <c r="BB47" s="91">
        <f ca="1">+GETPIVOTDATA("XDB4",'dabac (2016)'!$A$3,"MA_HT","DTS","MA_QH","SON")</f>
        <v>0</v>
      </c>
      <c r="BC47" s="91">
        <f ca="1">+GETPIVOTDATA("XDB4",'dabac (2016)'!$A$3,"MA_HT","DTS","MA_QH","MNC")</f>
        <v>0</v>
      </c>
      <c r="BD47" s="60">
        <f ca="1">+GETPIVOTDATA("XDB4",'dabac (2016)'!$A$3,"MA_HT","DTS","MA_QH","PNK")</f>
        <v>0</v>
      </c>
      <c r="BE47" s="111">
        <f ca="1">+GETPIVOTDATA("XDB4",'dabac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+GETPIVOTDATA("XDB4",'dabac (2016)'!$A$3,"MA_HT","DNG","MA_QH","LUC")</f>
        <v>0</v>
      </c>
      <c r="H48" s="22">
        <f ca="1">+GETPIVOTDATA("XDB4",'dabac (2016)'!$A$3,"MA_HT","DNG","MA_QH","LUK")</f>
        <v>0</v>
      </c>
      <c r="I48" s="22">
        <f ca="1">+GETPIVOTDATA("XDB4",'dabac (2016)'!$A$3,"MA_HT","DNG","MA_QH","LUN")</f>
        <v>0</v>
      </c>
      <c r="J48" s="22">
        <f ca="1">+GETPIVOTDATA("XDB4",'dabac (2016)'!$A$3,"MA_HT","DNG","MA_QH","HNK")</f>
        <v>0</v>
      </c>
      <c r="K48" s="22">
        <f ca="1">+GETPIVOTDATA("XDB4",'dabac (2016)'!$A$3,"MA_HT","DNG","MA_QH","CLN")</f>
        <v>0</v>
      </c>
      <c r="L48" s="22">
        <f ca="1">+GETPIVOTDATA("XDB4",'dabac (2016)'!$A$3,"MA_HT","DNG","MA_QH","RSX")</f>
        <v>0</v>
      </c>
      <c r="M48" s="22">
        <f ca="1">+GETPIVOTDATA("XDB4",'dabac (2016)'!$A$3,"MA_HT","DNG","MA_QH","RPH")</f>
        <v>0</v>
      </c>
      <c r="N48" s="22">
        <f ca="1">+GETPIVOTDATA("XDB4",'dabac (2016)'!$A$3,"MA_HT","DNG","MA_QH","RDD")</f>
        <v>0</v>
      </c>
      <c r="O48" s="22">
        <f ca="1">+GETPIVOTDATA("XDB4",'dabac (2016)'!$A$3,"MA_HT","DNG","MA_QH","NTS")</f>
        <v>0</v>
      </c>
      <c r="P48" s="22">
        <f ca="1">+GETPIVOTDATA("XDB4",'dabac (2016)'!$A$3,"MA_HT","DNG","MA_QH","LMU")</f>
        <v>0</v>
      </c>
      <c r="Q48" s="22">
        <f ca="1">+GETPIVOTDATA("XDB4",'dabac (2016)'!$A$3,"MA_HT","DNG","MA_QH","NKH")</f>
        <v>0</v>
      </c>
      <c r="R48" s="79">
        <f ca="1">SUM(S48:AA48,AN48:AT48,AV48:BD48)</f>
        <v>0</v>
      </c>
      <c r="S48" s="22">
        <f ca="1">+GETPIVOTDATA("XDB4",'dabac (2016)'!$A$3,"MA_HT","DNG","MA_QH","CQP")</f>
        <v>0</v>
      </c>
      <c r="T48" s="22">
        <f ca="1">+GETPIVOTDATA("XDB4",'dabac (2016)'!$A$3,"MA_HT","DNG","MA_QH","CAN")</f>
        <v>0</v>
      </c>
      <c r="U48" s="22">
        <f ca="1">+GETPIVOTDATA("XDB4",'dabac (2016)'!$A$3,"MA_HT","DNG","MA_QH","SKK")</f>
        <v>0</v>
      </c>
      <c r="V48" s="22">
        <f ca="1">+GETPIVOTDATA("XDB4",'dabac (2016)'!$A$3,"MA_HT","DNG","MA_QH","SKT")</f>
        <v>0</v>
      </c>
      <c r="W48" s="22">
        <f ca="1">+GETPIVOTDATA("XDB4",'dabac (2016)'!$A$3,"MA_HT","DNG","MA_QH","SKN")</f>
        <v>0</v>
      </c>
      <c r="X48" s="22">
        <f ca="1">+GETPIVOTDATA("XDB4",'dabac (2016)'!$A$3,"MA_HT","DNG","MA_QH","TMD")</f>
        <v>0</v>
      </c>
      <c r="Y48" s="22">
        <f ca="1">+GETPIVOTDATA("XDB4",'dabac (2016)'!$A$3,"MA_HT","DNG","MA_QH","SKC")</f>
        <v>0</v>
      </c>
      <c r="Z48" s="22">
        <f ca="1">+GETPIVOTDATA("XDB4",'dabac (2016)'!$A$3,"MA_HT","DNG","MA_QH","SKS")</f>
        <v>0</v>
      </c>
      <c r="AA48" s="52">
        <f ca="1" t="shared" si="21"/>
        <v>0</v>
      </c>
      <c r="AB48" s="22">
        <f ca="1">+GETPIVOTDATA("XDB4",'dabac (2016)'!$A$3,"MA_HT","DNG","MA_QH","DGT")</f>
        <v>0</v>
      </c>
      <c r="AC48" s="22">
        <f ca="1">+GETPIVOTDATA("XDB4",'dabac (2016)'!$A$3,"MA_HT","DNG","MA_QH","DTL")</f>
        <v>0</v>
      </c>
      <c r="AD48" s="22">
        <f ca="1">+GETPIVOTDATA("XDB4",'dabac (2016)'!$A$3,"MA_HT","DNG","MA_QH","DNL")</f>
        <v>0</v>
      </c>
      <c r="AE48" s="22">
        <f ca="1">+GETPIVOTDATA("XDB4",'dabac (2016)'!$A$3,"MA_HT","DNG","MA_QH","DBV")</f>
        <v>0</v>
      </c>
      <c r="AF48" s="22">
        <f ca="1">+GETPIVOTDATA("XDB4",'dabac (2016)'!$A$3,"MA_HT","DNG","MA_QH","DVH")</f>
        <v>0</v>
      </c>
      <c r="AG48" s="22">
        <f ca="1">+GETPIVOTDATA("XDB4",'dabac (2016)'!$A$3,"MA_HT","DNG","MA_QH","DYT")</f>
        <v>0</v>
      </c>
      <c r="AH48" s="22">
        <f ca="1">+GETPIVOTDATA("XDB4",'dabac (2016)'!$A$3,"MA_HT","DNG","MA_QH","DGD")</f>
        <v>0</v>
      </c>
      <c r="AI48" s="22">
        <f ca="1">+GETPIVOTDATA("XDB4",'dabac (2016)'!$A$3,"MA_HT","DNG","MA_QH","DTT")</f>
        <v>0</v>
      </c>
      <c r="AJ48" s="22">
        <f ca="1">+GETPIVOTDATA("XDB4",'dabac (2016)'!$A$3,"MA_HT","DNG","MA_QH","NCK")</f>
        <v>0</v>
      </c>
      <c r="AK48" s="22">
        <f ca="1">+GETPIVOTDATA("XDB4",'dabac (2016)'!$A$3,"MA_HT","DNG","MA_QH","DXH")</f>
        <v>0</v>
      </c>
      <c r="AL48" s="22">
        <f ca="1">+GETPIVOTDATA("XDB4",'dabac (2016)'!$A$3,"MA_HT","DNG","MA_QH","DCH")</f>
        <v>0</v>
      </c>
      <c r="AM48" s="22">
        <f ca="1">+GETPIVOTDATA("XDB4",'dabac (2016)'!$A$3,"MA_HT","DNG","MA_QH","DKG")</f>
        <v>0</v>
      </c>
      <c r="AN48" s="22">
        <f ca="1">+GETPIVOTDATA("XDB4",'dabac (2016)'!$A$3,"MA_HT","DNG","MA_QH","DDT")</f>
        <v>0</v>
      </c>
      <c r="AO48" s="22">
        <f ca="1">+GETPIVOTDATA("XDB4",'dabac (2016)'!$A$3,"MA_HT","DNG","MA_QH","DDL")</f>
        <v>0</v>
      </c>
      <c r="AP48" s="22">
        <f ca="1">+GETPIVOTDATA("XDB4",'dabac (2016)'!$A$3,"MA_HT","DNG","MA_QH","DRA")</f>
        <v>0</v>
      </c>
      <c r="AQ48" s="22">
        <f ca="1">+GETPIVOTDATA("XDB4",'dabac (2016)'!$A$3,"MA_HT","DNG","MA_QH","ONT")</f>
        <v>0</v>
      </c>
      <c r="AR48" s="22">
        <f ca="1">+GETPIVOTDATA("XDB4",'dabac (2016)'!$A$3,"MA_HT","DNG","MA_QH","ODT")</f>
        <v>0</v>
      </c>
      <c r="AS48" s="22">
        <f ca="1">+GETPIVOTDATA("XDB4",'dabac (2016)'!$A$3,"MA_HT","DNG","MA_QH","TSC")</f>
        <v>0</v>
      </c>
      <c r="AT48" s="22">
        <f ca="1">+GETPIVOTDATA("XDB4",'dabac (2016)'!$A$3,"MA_HT","DNG","MA_QH","DTS")</f>
        <v>0</v>
      </c>
      <c r="AU48" s="43" t="e">
        <f ca="1">$D48-$BF48</f>
        <v>#REF!</v>
      </c>
      <c r="AV48" s="22">
        <f ca="1">+GETPIVOTDATA("XDB4",'dabac (2016)'!$A$3,"MA_HT","DNG","MA_QH","TON")</f>
        <v>0</v>
      </c>
      <c r="AW48" s="22">
        <f ca="1">+GETPIVOTDATA("XDB4",'dabac (2016)'!$A$3,"MA_HT","DNG","MA_QH","NTD")</f>
        <v>0</v>
      </c>
      <c r="AX48" s="22">
        <f ca="1">+GETPIVOTDATA("XDB4",'dabac (2016)'!$A$3,"MA_HT","DNG","MA_QH","SKX")</f>
        <v>0</v>
      </c>
      <c r="AY48" s="22">
        <f ca="1">+GETPIVOTDATA("XDB4",'dabac (2016)'!$A$3,"MA_HT","DNG","MA_QH","DSH")</f>
        <v>0</v>
      </c>
      <c r="AZ48" s="22">
        <f ca="1">+GETPIVOTDATA("XDB4",'dabac (2016)'!$A$3,"MA_HT","DNG","MA_QH","DKV")</f>
        <v>0</v>
      </c>
      <c r="BA48" s="89">
        <f ca="1">+GETPIVOTDATA("XDB4",'dabac (2016)'!$A$3,"MA_HT","DNG","MA_QH","TIN")</f>
        <v>0</v>
      </c>
      <c r="BB48" s="50">
        <f ca="1">+GETPIVOTDATA("XDB4",'dabac (2016)'!$A$3,"MA_HT","DNG","MA_QH","SON")</f>
        <v>0</v>
      </c>
      <c r="BC48" s="50">
        <f ca="1">+GETPIVOTDATA("XDB4",'dabac (2016)'!$A$3,"MA_HT","DNG","MA_QH","MNC")</f>
        <v>0</v>
      </c>
      <c r="BD48" s="22">
        <f ca="1">+GETPIVOTDATA("XDB4",'dabac (2016)'!$A$3,"MA_HT","DNG","MA_QH","PNK")</f>
        <v>0</v>
      </c>
      <c r="BE48" s="71">
        <f ca="1">+GETPIVOTDATA("XDB4",'dabac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+GETPIVOTDATA("XDB4",'dabac (2016)'!$A$3,"MA_HT","TON","MA_QH","LUC")</f>
        <v>0</v>
      </c>
      <c r="H49" s="22">
        <f ca="1">+GETPIVOTDATA("XDB4",'dabac (2016)'!$A$3,"MA_HT","TON","MA_QH","LUK")</f>
        <v>0</v>
      </c>
      <c r="I49" s="22">
        <f ca="1">+GETPIVOTDATA("XDB4",'dabac (2016)'!$A$3,"MA_HT","TON","MA_QH","LUN")</f>
        <v>0</v>
      </c>
      <c r="J49" s="22">
        <f ca="1">+GETPIVOTDATA("XDB4",'dabac (2016)'!$A$3,"MA_HT","TON","MA_QH","HNK")</f>
        <v>0</v>
      </c>
      <c r="K49" s="22">
        <f ca="1">+GETPIVOTDATA("XDB4",'dabac (2016)'!$A$3,"MA_HT","TON","MA_QH","CLN")</f>
        <v>0</v>
      </c>
      <c r="L49" s="22">
        <f ca="1">+GETPIVOTDATA("XDB4",'dabac (2016)'!$A$3,"MA_HT","TON","MA_QH","RSX")</f>
        <v>0</v>
      </c>
      <c r="M49" s="22">
        <f ca="1">+GETPIVOTDATA("XDB4",'dabac (2016)'!$A$3,"MA_HT","TON","MA_QH","RPH")</f>
        <v>0</v>
      </c>
      <c r="N49" s="22">
        <f ca="1">+GETPIVOTDATA("XDB4",'dabac (2016)'!$A$3,"MA_HT","TON","MA_QH","RDD")</f>
        <v>0</v>
      </c>
      <c r="O49" s="22">
        <f ca="1">+GETPIVOTDATA("XDB4",'dabac (2016)'!$A$3,"MA_HT","TON","MA_QH","NTS")</f>
        <v>0</v>
      </c>
      <c r="P49" s="22">
        <f ca="1">+GETPIVOTDATA("XDB4",'dabac (2016)'!$A$3,"MA_HT","TON","MA_QH","LMU")</f>
        <v>0</v>
      </c>
      <c r="Q49" s="22">
        <f ca="1">+GETPIVOTDATA("XDB4",'dabac (2016)'!$A$3,"MA_HT","TON","MA_QH","NKH")</f>
        <v>0</v>
      </c>
      <c r="R49" s="79">
        <f ca="1">SUM(S49:AA49,AN49:AU49,AW49:BD49)</f>
        <v>0</v>
      </c>
      <c r="S49" s="22">
        <f ca="1">+GETPIVOTDATA("XDB4",'dabac (2016)'!$A$3,"MA_HT","TON","MA_QH","CQP")</f>
        <v>0</v>
      </c>
      <c r="T49" s="22">
        <f ca="1">+GETPIVOTDATA("XDB4",'dabac (2016)'!$A$3,"MA_HT","TON","MA_QH","CAN")</f>
        <v>0</v>
      </c>
      <c r="U49" s="22">
        <f ca="1">+GETPIVOTDATA("XDB4",'dabac (2016)'!$A$3,"MA_HT","TON","MA_QH","SKK")</f>
        <v>0</v>
      </c>
      <c r="V49" s="22">
        <f ca="1">+GETPIVOTDATA("XDB4",'dabac (2016)'!$A$3,"MA_HT","TON","MA_QH","SKT")</f>
        <v>0</v>
      </c>
      <c r="W49" s="22">
        <f ca="1">+GETPIVOTDATA("XDB4",'dabac (2016)'!$A$3,"MA_HT","TON","MA_QH","SKN")</f>
        <v>0</v>
      </c>
      <c r="X49" s="22">
        <f ca="1">+GETPIVOTDATA("XDB4",'dabac (2016)'!$A$3,"MA_HT","TON","MA_QH","TMD")</f>
        <v>0</v>
      </c>
      <c r="Y49" s="22">
        <f ca="1">+GETPIVOTDATA("XDB4",'dabac (2016)'!$A$3,"MA_HT","TON","MA_QH","SKC")</f>
        <v>0</v>
      </c>
      <c r="Z49" s="22">
        <f ca="1">+GETPIVOTDATA("XDB4",'dabac (2016)'!$A$3,"MA_HT","TON","MA_QH","SKS")</f>
        <v>0</v>
      </c>
      <c r="AA49" s="52">
        <f ca="1" t="shared" si="21"/>
        <v>0</v>
      </c>
      <c r="AB49" s="22">
        <f ca="1">+GETPIVOTDATA("XDB4",'dabac (2016)'!$A$3,"MA_HT","TON","MA_QH","DGT")</f>
        <v>0</v>
      </c>
      <c r="AC49" s="22">
        <f ca="1">+GETPIVOTDATA("XDB4",'dabac (2016)'!$A$3,"MA_HT","TON","MA_QH","DTL")</f>
        <v>0</v>
      </c>
      <c r="AD49" s="22">
        <f ca="1">+GETPIVOTDATA("XDB4",'dabac (2016)'!$A$3,"MA_HT","TON","MA_QH","DNL")</f>
        <v>0</v>
      </c>
      <c r="AE49" s="22">
        <f ca="1">+GETPIVOTDATA("XDB4",'dabac (2016)'!$A$3,"MA_HT","TON","MA_QH","DBV")</f>
        <v>0</v>
      </c>
      <c r="AF49" s="22">
        <f ca="1">+GETPIVOTDATA("XDB4",'dabac (2016)'!$A$3,"MA_HT","TON","MA_QH","DVH")</f>
        <v>0</v>
      </c>
      <c r="AG49" s="22">
        <f ca="1">+GETPIVOTDATA("XDB4",'dabac (2016)'!$A$3,"MA_HT","TON","MA_QH","DYT")</f>
        <v>0</v>
      </c>
      <c r="AH49" s="22">
        <f ca="1">+GETPIVOTDATA("XDB4",'dabac (2016)'!$A$3,"MA_HT","TON","MA_QH","DGD")</f>
        <v>0</v>
      </c>
      <c r="AI49" s="22">
        <f ca="1">+GETPIVOTDATA("XDB4",'dabac (2016)'!$A$3,"MA_HT","TON","MA_QH","DTT")</f>
        <v>0</v>
      </c>
      <c r="AJ49" s="22">
        <f ca="1">+GETPIVOTDATA("XDB4",'dabac (2016)'!$A$3,"MA_HT","TON","MA_QH","NCK")</f>
        <v>0</v>
      </c>
      <c r="AK49" s="22">
        <f ca="1">+GETPIVOTDATA("XDB4",'dabac (2016)'!$A$3,"MA_HT","TON","MA_QH","DXH")</f>
        <v>0</v>
      </c>
      <c r="AL49" s="22">
        <f ca="1">+GETPIVOTDATA("XDB4",'dabac (2016)'!$A$3,"MA_HT","TON","MA_QH","DCH")</f>
        <v>0</v>
      </c>
      <c r="AM49" s="22">
        <f ca="1">+GETPIVOTDATA("XDB4",'dabac (2016)'!$A$3,"MA_HT","TON","MA_QH","DKG")</f>
        <v>0</v>
      </c>
      <c r="AN49" s="22">
        <f ca="1">+GETPIVOTDATA("XDB4",'dabac (2016)'!$A$3,"MA_HT","TON","MA_QH","DDT")</f>
        <v>0</v>
      </c>
      <c r="AO49" s="22">
        <f ca="1">+GETPIVOTDATA("XDB4",'dabac (2016)'!$A$3,"MA_HT","TON","MA_QH","DDL")</f>
        <v>0</v>
      </c>
      <c r="AP49" s="22">
        <f ca="1">+GETPIVOTDATA("XDB4",'dabac (2016)'!$A$3,"MA_HT","TON","MA_QH","DRA")</f>
        <v>0</v>
      </c>
      <c r="AQ49" s="22">
        <f ca="1">+GETPIVOTDATA("XDB4",'dabac (2016)'!$A$3,"MA_HT","TON","MA_QH","ONT")</f>
        <v>0</v>
      </c>
      <c r="AR49" s="22">
        <f ca="1">+GETPIVOTDATA("XDB4",'dabac (2016)'!$A$3,"MA_HT","TON","MA_QH","ODT")</f>
        <v>0</v>
      </c>
      <c r="AS49" s="22">
        <f ca="1">+GETPIVOTDATA("XDB4",'dabac (2016)'!$A$3,"MA_HT","TON","MA_QH","TSC")</f>
        <v>0</v>
      </c>
      <c r="AT49" s="22">
        <f ca="1">+GETPIVOTDATA("XDB4",'dabac (2016)'!$A$3,"MA_HT","TON","MA_QH","DTS")</f>
        <v>0</v>
      </c>
      <c r="AU49" s="22">
        <f ca="1">+GETPIVOTDATA("XDB4",'dabac (2016)'!$A$3,"MA_HT","TON","MA_QH","DNG")</f>
        <v>0</v>
      </c>
      <c r="AV49" s="43" t="e">
        <f ca="1">$D49-$BF49</f>
        <v>#REF!</v>
      </c>
      <c r="AW49" s="22">
        <f ca="1">+GETPIVOTDATA("XDB4",'dabac (2016)'!$A$3,"MA_HT","TON","MA_QH","NTD")</f>
        <v>0</v>
      </c>
      <c r="AX49" s="22">
        <f ca="1">+GETPIVOTDATA("XDB4",'dabac (2016)'!$A$3,"MA_HT","TON","MA_QH","SKX")</f>
        <v>0</v>
      </c>
      <c r="AY49" s="22">
        <f ca="1">+GETPIVOTDATA("XDB4",'dabac (2016)'!$A$3,"MA_HT","TON","MA_QH","DSH")</f>
        <v>0</v>
      </c>
      <c r="AZ49" s="22">
        <f ca="1">+GETPIVOTDATA("XDB4",'dabac (2016)'!$A$3,"MA_HT","TON","MA_QH","DKV")</f>
        <v>0</v>
      </c>
      <c r="BA49" s="89">
        <f ca="1">+GETPIVOTDATA("XDB4",'dabac (2016)'!$A$3,"MA_HT","TON","MA_QH","TIN")</f>
        <v>0</v>
      </c>
      <c r="BB49" s="50">
        <f ca="1">+GETPIVOTDATA("XDB4",'dabac (2016)'!$A$3,"MA_HT","TON","MA_QH","SON")</f>
        <v>0</v>
      </c>
      <c r="BC49" s="50">
        <f ca="1">+GETPIVOTDATA("XDB4",'dabac (2016)'!$A$3,"MA_HT","TON","MA_QH","MNC")</f>
        <v>0</v>
      </c>
      <c r="BD49" s="22">
        <f ca="1">+GETPIVOTDATA("XDB4",'dabac (2016)'!$A$3,"MA_HT","TON","MA_QH","PNK")</f>
        <v>0</v>
      </c>
      <c r="BE49" s="71">
        <f ca="1">+GETPIVOTDATA("XDB4",'dabac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+GETPIVOTDATA("XDB4",'dabac (2016)'!$A$3,"MA_HT","NTD","MA_QH","LUC")</f>
        <v>0</v>
      </c>
      <c r="H50" s="22">
        <f ca="1">+GETPIVOTDATA("XDB4",'dabac (2016)'!$A$3,"MA_HT","NTD","MA_QH","LUK")</f>
        <v>0</v>
      </c>
      <c r="I50" s="22">
        <f ca="1">+GETPIVOTDATA("XDB4",'dabac (2016)'!$A$3,"MA_HT","NTD","MA_QH","LUN")</f>
        <v>0</v>
      </c>
      <c r="J50" s="22">
        <f ca="1">+GETPIVOTDATA("XDB4",'dabac (2016)'!$A$3,"MA_HT","NTD","MA_QH","HNK")</f>
        <v>0</v>
      </c>
      <c r="K50" s="22">
        <f ca="1">+GETPIVOTDATA("XDB4",'dabac (2016)'!$A$3,"MA_HT","NTD","MA_QH","CLN")</f>
        <v>0</v>
      </c>
      <c r="L50" s="22">
        <f ca="1">+GETPIVOTDATA("XDB4",'dabac (2016)'!$A$3,"MA_HT","NTD","MA_QH","RSX")</f>
        <v>0</v>
      </c>
      <c r="M50" s="22">
        <f ca="1">+GETPIVOTDATA("XDB4",'dabac (2016)'!$A$3,"MA_HT","NTD","MA_QH","RPH")</f>
        <v>0</v>
      </c>
      <c r="N50" s="22">
        <f ca="1">+GETPIVOTDATA("XDB4",'dabac (2016)'!$A$3,"MA_HT","NTD","MA_QH","RDD")</f>
        <v>0</v>
      </c>
      <c r="O50" s="22">
        <f ca="1">+GETPIVOTDATA("XDB4",'dabac (2016)'!$A$3,"MA_HT","NTD","MA_QH","NTS")</f>
        <v>0</v>
      </c>
      <c r="P50" s="22">
        <f ca="1">+GETPIVOTDATA("XDB4",'dabac (2016)'!$A$3,"MA_HT","NTD","MA_QH","LMU")</f>
        <v>0</v>
      </c>
      <c r="Q50" s="22">
        <f ca="1">+GETPIVOTDATA("XDB4",'dabac (2016)'!$A$3,"MA_HT","NTD","MA_QH","NKH")</f>
        <v>0</v>
      </c>
      <c r="R50" s="79">
        <f ca="1">SUM(S50:AA50,AN50:AV50,AX50:BD50)</f>
        <v>0</v>
      </c>
      <c r="S50" s="22">
        <f ca="1">+GETPIVOTDATA("XDB4",'dabac (2016)'!$A$3,"MA_HT","NTD","MA_QH","CQP")</f>
        <v>0</v>
      </c>
      <c r="T50" s="22">
        <f ca="1">+GETPIVOTDATA("XDB4",'dabac (2016)'!$A$3,"MA_HT","NTD","MA_QH","CAN")</f>
        <v>0</v>
      </c>
      <c r="U50" s="22">
        <f ca="1">+GETPIVOTDATA("XDB4",'dabac (2016)'!$A$3,"MA_HT","NTD","MA_QH","SKK")</f>
        <v>0</v>
      </c>
      <c r="V50" s="22">
        <f ca="1">+GETPIVOTDATA("XDB4",'dabac (2016)'!$A$3,"MA_HT","NTD","MA_QH","SKT")</f>
        <v>0</v>
      </c>
      <c r="W50" s="22">
        <f ca="1">+GETPIVOTDATA("XDB4",'dabac (2016)'!$A$3,"MA_HT","NTD","MA_QH","SKN")</f>
        <v>0</v>
      </c>
      <c r="X50" s="22">
        <f ca="1">+GETPIVOTDATA("XDB4",'dabac (2016)'!$A$3,"MA_HT","NTD","MA_QH","TMD")</f>
        <v>0</v>
      </c>
      <c r="Y50" s="22">
        <f ca="1">+GETPIVOTDATA("XDB4",'dabac (2016)'!$A$3,"MA_HT","NTD","MA_QH","SKC")</f>
        <v>0</v>
      </c>
      <c r="Z50" s="22">
        <f ca="1">+GETPIVOTDATA("XDB4",'dabac (2016)'!$A$3,"MA_HT","NTD","MA_QH","SKS")</f>
        <v>0</v>
      </c>
      <c r="AA50" s="52">
        <f ca="1" t="shared" si="21"/>
        <v>0</v>
      </c>
      <c r="AB50" s="22">
        <f ca="1">+GETPIVOTDATA("XDB4",'dabac (2016)'!$A$3,"MA_HT","NTD","MA_QH","DGT")</f>
        <v>0</v>
      </c>
      <c r="AC50" s="22">
        <f ca="1">+GETPIVOTDATA("XDB4",'dabac (2016)'!$A$3,"MA_HT","NTD","MA_QH","DTL")</f>
        <v>0</v>
      </c>
      <c r="AD50" s="22">
        <f ca="1">+GETPIVOTDATA("XDB4",'dabac (2016)'!$A$3,"MA_HT","NTD","MA_QH","DNL")</f>
        <v>0</v>
      </c>
      <c r="AE50" s="22">
        <f ca="1">+GETPIVOTDATA("XDB4",'dabac (2016)'!$A$3,"MA_HT","NTD","MA_QH","DBV")</f>
        <v>0</v>
      </c>
      <c r="AF50" s="22">
        <f ca="1">+GETPIVOTDATA("XDB4",'dabac (2016)'!$A$3,"MA_HT","NTD","MA_QH","DVH")</f>
        <v>0</v>
      </c>
      <c r="AG50" s="22">
        <f ca="1">+GETPIVOTDATA("XDB4",'dabac (2016)'!$A$3,"MA_HT","NTD","MA_QH","DYT")</f>
        <v>0</v>
      </c>
      <c r="AH50" s="22">
        <f ca="1">+GETPIVOTDATA("XDB4",'dabac (2016)'!$A$3,"MA_HT","NTD","MA_QH","DGD")</f>
        <v>0</v>
      </c>
      <c r="AI50" s="22">
        <f ca="1">+GETPIVOTDATA("XDB4",'dabac (2016)'!$A$3,"MA_HT","NTD","MA_QH","DTT")</f>
        <v>0</v>
      </c>
      <c r="AJ50" s="22">
        <f ca="1">+GETPIVOTDATA("XDB4",'dabac (2016)'!$A$3,"MA_HT","NTD","MA_QH","NCK")</f>
        <v>0</v>
      </c>
      <c r="AK50" s="22">
        <f ca="1">+GETPIVOTDATA("XDB4",'dabac (2016)'!$A$3,"MA_HT","NTD","MA_QH","DXH")</f>
        <v>0</v>
      </c>
      <c r="AL50" s="22">
        <f ca="1">+GETPIVOTDATA("XDB4",'dabac (2016)'!$A$3,"MA_HT","NTD","MA_QH","DCH")</f>
        <v>0</v>
      </c>
      <c r="AM50" s="22">
        <f ca="1">+GETPIVOTDATA("XDB4",'dabac (2016)'!$A$3,"MA_HT","NTD","MA_QH","DKG")</f>
        <v>0</v>
      </c>
      <c r="AN50" s="22">
        <f ca="1">+GETPIVOTDATA("XDB4",'dabac (2016)'!$A$3,"MA_HT","NTD","MA_QH","DDT")</f>
        <v>0</v>
      </c>
      <c r="AO50" s="22">
        <f ca="1">+GETPIVOTDATA("XDB4",'dabac (2016)'!$A$3,"MA_HT","NTD","MA_QH","DDL")</f>
        <v>0</v>
      </c>
      <c r="AP50" s="22">
        <f ca="1">+GETPIVOTDATA("XDB4",'dabac (2016)'!$A$3,"MA_HT","NTD","MA_QH","DRA")</f>
        <v>0</v>
      </c>
      <c r="AQ50" s="22">
        <f ca="1">+GETPIVOTDATA("XDB4",'dabac (2016)'!$A$3,"MA_HT","NTD","MA_QH","ONT")</f>
        <v>0</v>
      </c>
      <c r="AR50" s="22">
        <f ca="1">+GETPIVOTDATA("XDB4",'dabac (2016)'!$A$3,"MA_HT","NTD","MA_QH","ODT")</f>
        <v>0</v>
      </c>
      <c r="AS50" s="22">
        <f ca="1">+GETPIVOTDATA("XDB4",'dabac (2016)'!$A$3,"MA_HT","NTD","MA_QH","TSC")</f>
        <v>0</v>
      </c>
      <c r="AT50" s="22">
        <f ca="1">+GETPIVOTDATA("XDB4",'dabac (2016)'!$A$3,"MA_HT","NTD","MA_QH","DTS")</f>
        <v>0</v>
      </c>
      <c r="AU50" s="22">
        <f ca="1">+GETPIVOTDATA("XDB4",'dabac (2016)'!$A$3,"MA_HT","NTD","MA_QH","DNG")</f>
        <v>0</v>
      </c>
      <c r="AV50" s="22">
        <f ca="1">+GETPIVOTDATA("XDB4",'dabac (2016)'!$A$3,"MA_HT","NTD","MA_QH","TON")</f>
        <v>0</v>
      </c>
      <c r="AW50" s="43" t="e">
        <f ca="1">$D50-$BF50</f>
        <v>#REF!</v>
      </c>
      <c r="AX50" s="22">
        <f ca="1">+GETPIVOTDATA("XDB4",'dabac (2016)'!$A$3,"MA_HT","NTD","MA_QH","SKX")</f>
        <v>0</v>
      </c>
      <c r="AY50" s="22">
        <f ca="1">+GETPIVOTDATA("XDB4",'dabac (2016)'!$A$3,"MA_HT","NTD","MA_QH","DSH")</f>
        <v>0</v>
      </c>
      <c r="AZ50" s="22">
        <f ca="1">+GETPIVOTDATA("XDB4",'dabac (2016)'!$A$3,"MA_HT","NTD","MA_QH","DKV")</f>
        <v>0</v>
      </c>
      <c r="BA50" s="89">
        <f ca="1">+GETPIVOTDATA("XDB4",'dabac (2016)'!$A$3,"MA_HT","NTD","MA_QH","TIN")</f>
        <v>0</v>
      </c>
      <c r="BB50" s="50">
        <f ca="1">+GETPIVOTDATA("XDB4",'dabac (2016)'!$A$3,"MA_HT","NTD","MA_QH","SON")</f>
        <v>0</v>
      </c>
      <c r="BC50" s="50">
        <f ca="1">+GETPIVOTDATA("XDB4",'dabac (2016)'!$A$3,"MA_HT","NTD","MA_QH","MNC")</f>
        <v>0</v>
      </c>
      <c r="BD50" s="22">
        <f ca="1">+GETPIVOTDATA("XDB4",'dabac (2016)'!$A$3,"MA_HT","NTD","MA_QH","PNK")</f>
        <v>0</v>
      </c>
      <c r="BE50" s="71">
        <f ca="1">+GETPIVOTDATA("XDB4",'dabac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+GETPIVOTDATA("XDB4",'dabac (2016)'!$A$3,"MA_HT","SKX","MA_QH","LUC")</f>
        <v>0</v>
      </c>
      <c r="H51" s="22">
        <f ca="1">+GETPIVOTDATA("XDB4",'dabac (2016)'!$A$3,"MA_HT","SKX","MA_QH","LUK")</f>
        <v>0</v>
      </c>
      <c r="I51" s="22">
        <f ca="1">+GETPIVOTDATA("XDB4",'dabac (2016)'!$A$3,"MA_HT","SKX","MA_QH","LUN")</f>
        <v>0</v>
      </c>
      <c r="J51" s="22">
        <f ca="1">+GETPIVOTDATA("XDB4",'dabac (2016)'!$A$3,"MA_HT","SKX","MA_QH","HNK")</f>
        <v>0</v>
      </c>
      <c r="K51" s="22">
        <f ca="1">+GETPIVOTDATA("XDB4",'dabac (2016)'!$A$3,"MA_HT","SKX","MA_QH","CLN")</f>
        <v>0</v>
      </c>
      <c r="L51" s="22">
        <f ca="1">+GETPIVOTDATA("XDB4",'dabac (2016)'!$A$3,"MA_HT","SKX","MA_QH","RSX")</f>
        <v>0</v>
      </c>
      <c r="M51" s="22">
        <f ca="1">+GETPIVOTDATA("XDB4",'dabac (2016)'!$A$3,"MA_HT","SKX","MA_QH","RPH")</f>
        <v>0</v>
      </c>
      <c r="N51" s="22">
        <f ca="1">+GETPIVOTDATA("XDB4",'dabac (2016)'!$A$3,"MA_HT","SKX","MA_QH","RDD")</f>
        <v>0</v>
      </c>
      <c r="O51" s="22">
        <f ca="1">+GETPIVOTDATA("XDB4",'dabac (2016)'!$A$3,"MA_HT","SKX","MA_QH","NTS")</f>
        <v>0</v>
      </c>
      <c r="P51" s="22">
        <f ca="1">+GETPIVOTDATA("XDB4",'dabac (2016)'!$A$3,"MA_HT","SKX","MA_QH","LMU")</f>
        <v>0</v>
      </c>
      <c r="Q51" s="22">
        <f ca="1">+GETPIVOTDATA("XDB4",'dabac (2016)'!$A$3,"MA_HT","SKX","MA_QH","NKH")</f>
        <v>0</v>
      </c>
      <c r="R51" s="79">
        <f ca="1">SUM(S51:AA51,AN51:AW51,AY51:BD51)</f>
        <v>0</v>
      </c>
      <c r="S51" s="22">
        <f ca="1">+GETPIVOTDATA("XDB4",'dabac (2016)'!$A$3,"MA_HT","SKX","MA_QH","CQP")</f>
        <v>0</v>
      </c>
      <c r="T51" s="22">
        <f ca="1">+GETPIVOTDATA("XDB4",'dabac (2016)'!$A$3,"MA_HT","SKX","MA_QH","CAN")</f>
        <v>0</v>
      </c>
      <c r="U51" s="22">
        <f ca="1">+GETPIVOTDATA("XDB4",'dabac (2016)'!$A$3,"MA_HT","SKX","MA_QH","SKK")</f>
        <v>0</v>
      </c>
      <c r="V51" s="22">
        <f ca="1">+GETPIVOTDATA("XDB4",'dabac (2016)'!$A$3,"MA_HT","SKX","MA_QH","SKT")</f>
        <v>0</v>
      </c>
      <c r="W51" s="22">
        <f ca="1">+GETPIVOTDATA("XDB4",'dabac (2016)'!$A$3,"MA_HT","SKX","MA_QH","SKN")</f>
        <v>0</v>
      </c>
      <c r="X51" s="22">
        <f ca="1">+GETPIVOTDATA("XDB4",'dabac (2016)'!$A$3,"MA_HT","SKX","MA_QH","TMD")</f>
        <v>0</v>
      </c>
      <c r="Y51" s="22">
        <f ca="1">+GETPIVOTDATA("XDB4",'dabac (2016)'!$A$3,"MA_HT","SKX","MA_QH","SKC")</f>
        <v>0</v>
      </c>
      <c r="Z51" s="22">
        <f ca="1">+GETPIVOTDATA("XDB4",'dabac (2016)'!$A$3,"MA_HT","SKX","MA_QH","SKS")</f>
        <v>0</v>
      </c>
      <c r="AA51" s="52">
        <f ca="1" t="shared" si="21"/>
        <v>0</v>
      </c>
      <c r="AB51" s="22">
        <f ca="1">+GETPIVOTDATA("XDB4",'dabac (2016)'!$A$3,"MA_HT","SKX","MA_QH","DGT")</f>
        <v>0</v>
      </c>
      <c r="AC51" s="22">
        <f ca="1">+GETPIVOTDATA("XDB4",'dabac (2016)'!$A$3,"MA_HT","SKX","MA_QH","DTL")</f>
        <v>0</v>
      </c>
      <c r="AD51" s="22">
        <f ca="1">+GETPIVOTDATA("XDB4",'dabac (2016)'!$A$3,"MA_HT","SKX","MA_QH","DNL")</f>
        <v>0</v>
      </c>
      <c r="AE51" s="22">
        <f ca="1">+GETPIVOTDATA("XDB4",'dabac (2016)'!$A$3,"MA_HT","SKX","MA_QH","DBV")</f>
        <v>0</v>
      </c>
      <c r="AF51" s="22">
        <f ca="1">+GETPIVOTDATA("XDB4",'dabac (2016)'!$A$3,"MA_HT","SKX","MA_QH","DVH")</f>
        <v>0</v>
      </c>
      <c r="AG51" s="22">
        <f ca="1">+GETPIVOTDATA("XDB4",'dabac (2016)'!$A$3,"MA_HT","SKX","MA_QH","DYT")</f>
        <v>0</v>
      </c>
      <c r="AH51" s="22">
        <f ca="1">+GETPIVOTDATA("XDB4",'dabac (2016)'!$A$3,"MA_HT","SKX","MA_QH","DGD")</f>
        <v>0</v>
      </c>
      <c r="AI51" s="22">
        <f ca="1">+GETPIVOTDATA("XDB4",'dabac (2016)'!$A$3,"MA_HT","SKX","MA_QH","DTT")</f>
        <v>0</v>
      </c>
      <c r="AJ51" s="22">
        <f ca="1">+GETPIVOTDATA("XDB4",'dabac (2016)'!$A$3,"MA_HT","SKX","MA_QH","NCK")</f>
        <v>0</v>
      </c>
      <c r="AK51" s="22">
        <f ca="1">+GETPIVOTDATA("XDB4",'dabac (2016)'!$A$3,"MA_HT","SKX","MA_QH","DXH")</f>
        <v>0</v>
      </c>
      <c r="AL51" s="22">
        <f ca="1">+GETPIVOTDATA("XDB4",'dabac (2016)'!$A$3,"MA_HT","SKX","MA_QH","DCH")</f>
        <v>0</v>
      </c>
      <c r="AM51" s="22">
        <f ca="1">+GETPIVOTDATA("XDB4",'dabac (2016)'!$A$3,"MA_HT","SKX","MA_QH","DKG")</f>
        <v>0</v>
      </c>
      <c r="AN51" s="22">
        <f ca="1">+GETPIVOTDATA("XDB4",'dabac (2016)'!$A$3,"MA_HT","SKX","MA_QH","DDT")</f>
        <v>0</v>
      </c>
      <c r="AO51" s="22">
        <f ca="1">+GETPIVOTDATA("XDB4",'dabac (2016)'!$A$3,"MA_HT","SKX","MA_QH","DDL")</f>
        <v>0</v>
      </c>
      <c r="AP51" s="22">
        <f ca="1">+GETPIVOTDATA("XDB4",'dabac (2016)'!$A$3,"MA_HT","SKX","MA_QH","DRA")</f>
        <v>0</v>
      </c>
      <c r="AQ51" s="22">
        <f ca="1">+GETPIVOTDATA("XDB4",'dabac (2016)'!$A$3,"MA_HT","SKX","MA_QH","ONT")</f>
        <v>0</v>
      </c>
      <c r="AR51" s="22">
        <f ca="1">+GETPIVOTDATA("XDB4",'dabac (2016)'!$A$3,"MA_HT","SKX","MA_QH","ODT")</f>
        <v>0</v>
      </c>
      <c r="AS51" s="22">
        <f ca="1">+GETPIVOTDATA("XDB4",'dabac (2016)'!$A$3,"MA_HT","SKX","MA_QH","TSC")</f>
        <v>0</v>
      </c>
      <c r="AT51" s="22">
        <f ca="1">+GETPIVOTDATA("XDB4",'dabac (2016)'!$A$3,"MA_HT","SKX","MA_QH","DTS")</f>
        <v>0</v>
      </c>
      <c r="AU51" s="22">
        <f ca="1">+GETPIVOTDATA("XDB4",'dabac (2016)'!$A$3,"MA_HT","SKX","MA_QH","DNG")</f>
        <v>0</v>
      </c>
      <c r="AV51" s="22">
        <f ca="1">+GETPIVOTDATA("XDB4",'dabac (2016)'!$A$3,"MA_HT","SKX","MA_QH","TON")</f>
        <v>0</v>
      </c>
      <c r="AW51" s="22">
        <f ca="1">+GETPIVOTDATA("XDB4",'dabac (2016)'!$A$3,"MA_HT","SKX","MA_QH","NTD")</f>
        <v>0</v>
      </c>
      <c r="AX51" s="43" t="e">
        <f ca="1">$D51-$BF51</f>
        <v>#REF!</v>
      </c>
      <c r="AY51" s="22">
        <f ca="1">+GETPIVOTDATA("XDB4",'dabac (2016)'!$A$3,"MA_HT","SKX","MA_QH","DSH")</f>
        <v>0</v>
      </c>
      <c r="AZ51" s="22">
        <f ca="1">+GETPIVOTDATA("XDB4",'dabac (2016)'!$A$3,"MA_HT","SKX","MA_QH","DKV")</f>
        <v>0</v>
      </c>
      <c r="BA51" s="89">
        <f ca="1">+GETPIVOTDATA("XDB4",'dabac (2016)'!$A$3,"MA_HT","SKX","MA_QH","TIN")</f>
        <v>0</v>
      </c>
      <c r="BB51" s="50">
        <f ca="1">+GETPIVOTDATA("XDB4",'dabac (2016)'!$A$3,"MA_HT","SKX","MA_QH","SON")</f>
        <v>0</v>
      </c>
      <c r="BC51" s="50">
        <f ca="1">+GETPIVOTDATA("XDB4",'dabac (2016)'!$A$3,"MA_HT","SKX","MA_QH","MNC")</f>
        <v>0</v>
      </c>
      <c r="BD51" s="22">
        <f ca="1">+GETPIVOTDATA("XDB4",'dabac (2016)'!$A$3,"MA_HT","SKX","MA_QH","PNK")</f>
        <v>0</v>
      </c>
      <c r="BE51" s="71">
        <f ca="1">+GETPIVOTDATA("XDB4",'dabac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+GETPIVOTDATA("XDB4",'dabac (2016)'!$A$3,"MA_HT","DSH","MA_QH","LUC")</f>
        <v>0</v>
      </c>
      <c r="H52" s="22">
        <f ca="1">+GETPIVOTDATA("XDB4",'dabac (2016)'!$A$3,"MA_HT","DSH","MA_QH","LUK")</f>
        <v>0</v>
      </c>
      <c r="I52" s="22">
        <f ca="1">+GETPIVOTDATA("XDB4",'dabac (2016)'!$A$3,"MA_HT","DSH","MA_QH","LUN")</f>
        <v>0</v>
      </c>
      <c r="J52" s="22">
        <f ca="1">+GETPIVOTDATA("XDB4",'dabac (2016)'!$A$3,"MA_HT","DSH","MA_QH","HNK")</f>
        <v>0</v>
      </c>
      <c r="K52" s="22">
        <f ca="1">+GETPIVOTDATA("XDB4",'dabac (2016)'!$A$3,"MA_HT","DSH","MA_QH","CLN")</f>
        <v>0</v>
      </c>
      <c r="L52" s="22">
        <f ca="1">+GETPIVOTDATA("XDB4",'dabac (2016)'!$A$3,"MA_HT","DSH","MA_QH","RSX")</f>
        <v>0</v>
      </c>
      <c r="M52" s="22">
        <f ca="1">+GETPIVOTDATA("XDB4",'dabac (2016)'!$A$3,"MA_HT","DSH","MA_QH","RPH")</f>
        <v>0</v>
      </c>
      <c r="N52" s="22">
        <f ca="1">+GETPIVOTDATA("XDB4",'dabac (2016)'!$A$3,"MA_HT","DSH","MA_QH","RDD")</f>
        <v>0</v>
      </c>
      <c r="O52" s="22">
        <f ca="1">+GETPIVOTDATA("XDB4",'dabac (2016)'!$A$3,"MA_HT","DSH","MA_QH","NTS")</f>
        <v>0</v>
      </c>
      <c r="P52" s="22">
        <f ca="1">+GETPIVOTDATA("XDB4",'dabac (2016)'!$A$3,"MA_HT","DSH","MA_QH","LMU")</f>
        <v>0</v>
      </c>
      <c r="Q52" s="22">
        <f ca="1">+GETPIVOTDATA("XDB4",'dabac (2016)'!$A$3,"MA_HT","DSH","MA_QH","NKH")</f>
        <v>0</v>
      </c>
      <c r="R52" s="79">
        <f ca="1">SUM(S52:AA52,AN52:AX52,AZ52:BD52)</f>
        <v>0</v>
      </c>
      <c r="S52" s="22">
        <f ca="1">+GETPIVOTDATA("XDB4",'dabac (2016)'!$A$3,"MA_HT","DSH","MA_QH","CQP")</f>
        <v>0</v>
      </c>
      <c r="T52" s="22">
        <f ca="1">+GETPIVOTDATA("XDB4",'dabac (2016)'!$A$3,"MA_HT","DSH","MA_QH","CAN")</f>
        <v>0</v>
      </c>
      <c r="U52" s="22">
        <f ca="1">+GETPIVOTDATA("XDB4",'dabac (2016)'!$A$3,"MA_HT","DSH","MA_QH","SKK")</f>
        <v>0</v>
      </c>
      <c r="V52" s="22">
        <f ca="1">+GETPIVOTDATA("XDB4",'dabac (2016)'!$A$3,"MA_HT","DSH","MA_QH","SKT")</f>
        <v>0</v>
      </c>
      <c r="W52" s="22">
        <f ca="1">+GETPIVOTDATA("XDB4",'dabac (2016)'!$A$3,"MA_HT","DSH","MA_QH","SKN")</f>
        <v>0</v>
      </c>
      <c r="X52" s="22">
        <f ca="1">+GETPIVOTDATA("XDB4",'dabac (2016)'!$A$3,"MA_HT","DSH","MA_QH","TMD")</f>
        <v>0</v>
      </c>
      <c r="Y52" s="22">
        <f ca="1">+GETPIVOTDATA("XDB4",'dabac (2016)'!$A$3,"MA_HT","DSH","MA_QH","SKC")</f>
        <v>0</v>
      </c>
      <c r="Z52" s="22">
        <f ca="1">+GETPIVOTDATA("XDB4",'dabac (2016)'!$A$3,"MA_HT","DSH","MA_QH","SKS")</f>
        <v>0</v>
      </c>
      <c r="AA52" s="52">
        <f ca="1" t="shared" si="21"/>
        <v>0</v>
      </c>
      <c r="AB52" s="22">
        <f ca="1">+GETPIVOTDATA("XDB4",'dabac (2016)'!$A$3,"MA_HT","DSH","MA_QH","DGT")</f>
        <v>0</v>
      </c>
      <c r="AC52" s="22">
        <f ca="1">+GETPIVOTDATA("XDB4",'dabac (2016)'!$A$3,"MA_HT","DSH","MA_QH","DTL")</f>
        <v>0</v>
      </c>
      <c r="AD52" s="22">
        <f ca="1">+GETPIVOTDATA("XDB4",'dabac (2016)'!$A$3,"MA_HT","DSH","MA_QH","DNL")</f>
        <v>0</v>
      </c>
      <c r="AE52" s="22">
        <f ca="1">+GETPIVOTDATA("XDB4",'dabac (2016)'!$A$3,"MA_HT","DSH","MA_QH","DBV")</f>
        <v>0</v>
      </c>
      <c r="AF52" s="22">
        <f ca="1">+GETPIVOTDATA("XDB4",'dabac (2016)'!$A$3,"MA_HT","DSH","MA_QH","DVH")</f>
        <v>0</v>
      </c>
      <c r="AG52" s="22">
        <f ca="1">+GETPIVOTDATA("XDB4",'dabac (2016)'!$A$3,"MA_HT","DSH","MA_QH","DYT")</f>
        <v>0</v>
      </c>
      <c r="AH52" s="22">
        <f ca="1">+GETPIVOTDATA("XDB4",'dabac (2016)'!$A$3,"MA_HT","DSH","MA_QH","DGD")</f>
        <v>0</v>
      </c>
      <c r="AI52" s="22">
        <f ca="1">+GETPIVOTDATA("XDB4",'dabac (2016)'!$A$3,"MA_HT","DSH","MA_QH","DTT")</f>
        <v>0</v>
      </c>
      <c r="AJ52" s="22">
        <f ca="1">+GETPIVOTDATA("XDB4",'dabac (2016)'!$A$3,"MA_HT","DSH","MA_QH","NCK")</f>
        <v>0</v>
      </c>
      <c r="AK52" s="22">
        <f ca="1">+GETPIVOTDATA("XDB4",'dabac (2016)'!$A$3,"MA_HT","DSH","MA_QH","DXH")</f>
        <v>0</v>
      </c>
      <c r="AL52" s="22">
        <f ca="1">+GETPIVOTDATA("XDB4",'dabac (2016)'!$A$3,"MA_HT","DSH","MA_QH","DCH")</f>
        <v>0</v>
      </c>
      <c r="AM52" s="22">
        <f ca="1">+GETPIVOTDATA("XDB4",'dabac (2016)'!$A$3,"MA_HT","DSH","MA_QH","DKG")</f>
        <v>0</v>
      </c>
      <c r="AN52" s="22">
        <f ca="1">+GETPIVOTDATA("XDB4",'dabac (2016)'!$A$3,"MA_HT","DSH","MA_QH","DDT")</f>
        <v>0</v>
      </c>
      <c r="AO52" s="22">
        <f ca="1">+GETPIVOTDATA("XDB4",'dabac (2016)'!$A$3,"MA_HT","DSH","MA_QH","DDL")</f>
        <v>0</v>
      </c>
      <c r="AP52" s="22">
        <f ca="1">+GETPIVOTDATA("XDB4",'dabac (2016)'!$A$3,"MA_HT","DSH","MA_QH","DRA")</f>
        <v>0</v>
      </c>
      <c r="AQ52" s="22">
        <f ca="1">+GETPIVOTDATA("XDB4",'dabac (2016)'!$A$3,"MA_HT","DSH","MA_QH","ONT")</f>
        <v>0</v>
      </c>
      <c r="AR52" s="22">
        <f ca="1">+GETPIVOTDATA("XDB4",'dabac (2016)'!$A$3,"MA_HT","DSH","MA_QH","ODT")</f>
        <v>0</v>
      </c>
      <c r="AS52" s="22">
        <f ca="1">+GETPIVOTDATA("XDB4",'dabac (2016)'!$A$3,"MA_HT","DSH","MA_QH","TSC")</f>
        <v>0</v>
      </c>
      <c r="AT52" s="22">
        <f ca="1">+GETPIVOTDATA("XDB4",'dabac (2016)'!$A$3,"MA_HT","DSH","MA_QH","DTS")</f>
        <v>0</v>
      </c>
      <c r="AU52" s="22">
        <f ca="1">+GETPIVOTDATA("XDB4",'dabac (2016)'!$A$3,"MA_HT","DSH","MA_QH","DNG")</f>
        <v>0</v>
      </c>
      <c r="AV52" s="22">
        <f ca="1">+GETPIVOTDATA("XDB4",'dabac (2016)'!$A$3,"MA_HT","DSH","MA_QH","TON")</f>
        <v>0</v>
      </c>
      <c r="AW52" s="22">
        <f ca="1">+GETPIVOTDATA("XDB4",'dabac (2016)'!$A$3,"MA_HT","DSH","MA_QH","NTD")</f>
        <v>0</v>
      </c>
      <c r="AX52" s="22">
        <f ca="1">+GETPIVOTDATA("XDB4",'dabac (2016)'!$A$3,"MA_HT","DSH","MA_QH","SKX")</f>
        <v>0</v>
      </c>
      <c r="AY52" s="43" t="e">
        <f ca="1">$D52-$BF52</f>
        <v>#REF!</v>
      </c>
      <c r="AZ52" s="22">
        <f ca="1">+GETPIVOTDATA("XDB4",'dabac (2016)'!$A$3,"MA_HT","DSH","MA_QH","DKV")</f>
        <v>0</v>
      </c>
      <c r="BA52" s="89">
        <f ca="1">+GETPIVOTDATA("XDB4",'dabac (2016)'!$A$3,"MA_HT","DSH","MA_QH","TIN")</f>
        <v>0</v>
      </c>
      <c r="BB52" s="50">
        <f ca="1">+GETPIVOTDATA("XDB4",'dabac (2016)'!$A$3,"MA_HT","DSH","MA_QH","SON")</f>
        <v>0</v>
      </c>
      <c r="BC52" s="50">
        <f ca="1">+GETPIVOTDATA("XDB4",'dabac (2016)'!$A$3,"MA_HT","DSH","MA_QH","MNC")</f>
        <v>0</v>
      </c>
      <c r="BD52" s="22">
        <f ca="1">+GETPIVOTDATA("XDB4",'dabac (2016)'!$A$3,"MA_HT","DSH","MA_QH","PNK")</f>
        <v>0</v>
      </c>
      <c r="BE52" s="71">
        <f ca="1">+GETPIVOTDATA("XDB4",'dabac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+GETPIVOTDATA("XDB4",'dabac (2016)'!$A$3,"MA_HT","DKV","MA_QH","LUC")</f>
        <v>0</v>
      </c>
      <c r="H53" s="22">
        <f ca="1">+GETPIVOTDATA("XDB4",'dabac (2016)'!$A$3,"MA_HT","DKV","MA_QH","LUK")</f>
        <v>0</v>
      </c>
      <c r="I53" s="22">
        <f ca="1">+GETPIVOTDATA("XDB4",'dabac (2016)'!$A$3,"MA_HT","DKV","MA_QH","LUN")</f>
        <v>0</v>
      </c>
      <c r="J53" s="22">
        <f ca="1">+GETPIVOTDATA("XDB4",'dabac (2016)'!$A$3,"MA_HT","DKV","MA_QH","HNK")</f>
        <v>0</v>
      </c>
      <c r="K53" s="22">
        <f ca="1">+GETPIVOTDATA("XDB4",'dabac (2016)'!$A$3,"MA_HT","DKV","MA_QH","CLN")</f>
        <v>0</v>
      </c>
      <c r="L53" s="22">
        <f ca="1">+GETPIVOTDATA("XDB4",'dabac (2016)'!$A$3,"MA_HT","DKV","MA_QH","RSX")</f>
        <v>0</v>
      </c>
      <c r="M53" s="22">
        <f ca="1">+GETPIVOTDATA("XDB4",'dabac (2016)'!$A$3,"MA_HT","DKV","MA_QH","RPH")</f>
        <v>0</v>
      </c>
      <c r="N53" s="22">
        <f ca="1">+GETPIVOTDATA("XDB4",'dabac (2016)'!$A$3,"MA_HT","DKV","MA_QH","RDD")</f>
        <v>0</v>
      </c>
      <c r="O53" s="22">
        <f ca="1">+GETPIVOTDATA("XDB4",'dabac (2016)'!$A$3,"MA_HT","DKV","MA_QH","NTS")</f>
        <v>0</v>
      </c>
      <c r="P53" s="22">
        <f ca="1">+GETPIVOTDATA("XDB4",'dabac (2016)'!$A$3,"MA_HT","DKV","MA_QH","LMU")</f>
        <v>0</v>
      </c>
      <c r="Q53" s="22">
        <f ca="1">+GETPIVOTDATA("XDB4",'dabac (2016)'!$A$3,"MA_HT","DKV","MA_QH","NKH")</f>
        <v>0</v>
      </c>
      <c r="R53" s="79">
        <f ca="1">SUM(S53:AA53,AN53:AY53,BB53:BD53)</f>
        <v>0</v>
      </c>
      <c r="S53" s="22">
        <f ca="1">+GETPIVOTDATA("XDB4",'dabac (2016)'!$A$3,"MA_HT","DKV","MA_QH","CQP")</f>
        <v>0</v>
      </c>
      <c r="T53" s="22">
        <f ca="1">+GETPIVOTDATA("XDB4",'dabac (2016)'!$A$3,"MA_HT","DKV","MA_QH","CAN")</f>
        <v>0</v>
      </c>
      <c r="U53" s="22">
        <f ca="1">+GETPIVOTDATA("XDB4",'dabac (2016)'!$A$3,"MA_HT","DKV","MA_QH","SKK")</f>
        <v>0</v>
      </c>
      <c r="V53" s="22">
        <f ca="1">+GETPIVOTDATA("XDB4",'dabac (2016)'!$A$3,"MA_HT","DKV","MA_QH","SKT")</f>
        <v>0</v>
      </c>
      <c r="W53" s="22">
        <f ca="1">+GETPIVOTDATA("XDB4",'dabac (2016)'!$A$3,"MA_HT","DKV","MA_QH","SKN")</f>
        <v>0</v>
      </c>
      <c r="X53" s="22">
        <f ca="1">+GETPIVOTDATA("XDB4",'dabac (2016)'!$A$3,"MA_HT","DKV","MA_QH","TMD")</f>
        <v>0</v>
      </c>
      <c r="Y53" s="22">
        <f ca="1">+GETPIVOTDATA("XDB4",'dabac (2016)'!$A$3,"MA_HT","DKV","MA_QH","SKC")</f>
        <v>0</v>
      </c>
      <c r="Z53" s="22">
        <f ca="1">+GETPIVOTDATA("XDB4",'dabac (2016)'!$A$3,"MA_HT","DKV","MA_QH","SKS")</f>
        <v>0</v>
      </c>
      <c r="AA53" s="52">
        <f ca="1" t="shared" si="21"/>
        <v>0</v>
      </c>
      <c r="AB53" s="22">
        <f ca="1">+GETPIVOTDATA("XDB4",'dabac (2016)'!$A$3,"MA_HT","DKV","MA_QH","DGT")</f>
        <v>0</v>
      </c>
      <c r="AC53" s="22">
        <f ca="1">+GETPIVOTDATA("XDB4",'dabac (2016)'!$A$3,"MA_HT","DKV","MA_QH","DTL")</f>
        <v>0</v>
      </c>
      <c r="AD53" s="22">
        <f ca="1">+GETPIVOTDATA("XDB4",'dabac (2016)'!$A$3,"MA_HT","DKV","MA_QH","DNL")</f>
        <v>0</v>
      </c>
      <c r="AE53" s="22">
        <f ca="1">+GETPIVOTDATA("XDB4",'dabac (2016)'!$A$3,"MA_HT","DKV","MA_QH","DBV")</f>
        <v>0</v>
      </c>
      <c r="AF53" s="22">
        <f ca="1">+GETPIVOTDATA("XDB4",'dabac (2016)'!$A$3,"MA_HT","DKV","MA_QH","DVH")</f>
        <v>0</v>
      </c>
      <c r="AG53" s="22">
        <f ca="1">+GETPIVOTDATA("XDB4",'dabac (2016)'!$A$3,"MA_HT","DKV","MA_QH","DYT")</f>
        <v>0</v>
      </c>
      <c r="AH53" s="22">
        <f ca="1">+GETPIVOTDATA("XDB4",'dabac (2016)'!$A$3,"MA_HT","DKV","MA_QH","DGD")</f>
        <v>0</v>
      </c>
      <c r="AI53" s="22">
        <f ca="1">+GETPIVOTDATA("XDB4",'dabac (2016)'!$A$3,"MA_HT","DKV","MA_QH","DTT")</f>
        <v>0</v>
      </c>
      <c r="AJ53" s="22">
        <f ca="1">+GETPIVOTDATA("XDB4",'dabac (2016)'!$A$3,"MA_HT","DKV","MA_QH","NCK")</f>
        <v>0</v>
      </c>
      <c r="AK53" s="22">
        <f ca="1">+GETPIVOTDATA("XDB4",'dabac (2016)'!$A$3,"MA_HT","DKV","MA_QH","DXH")</f>
        <v>0</v>
      </c>
      <c r="AL53" s="22">
        <f ca="1">+GETPIVOTDATA("XDB4",'dabac (2016)'!$A$3,"MA_HT","DKV","MA_QH","DCH")</f>
        <v>0</v>
      </c>
      <c r="AM53" s="22">
        <f ca="1">+GETPIVOTDATA("XDB4",'dabac (2016)'!$A$3,"MA_HT","DKV","MA_QH","DKG")</f>
        <v>0</v>
      </c>
      <c r="AN53" s="22">
        <f ca="1">+GETPIVOTDATA("XDB4",'dabac (2016)'!$A$3,"MA_HT","DKV","MA_QH","DDT")</f>
        <v>0</v>
      </c>
      <c r="AO53" s="22">
        <f ca="1">+GETPIVOTDATA("XDB4",'dabac (2016)'!$A$3,"MA_HT","DKV","MA_QH","DDL")</f>
        <v>0</v>
      </c>
      <c r="AP53" s="22">
        <f ca="1">+GETPIVOTDATA("XDB4",'dabac (2016)'!$A$3,"MA_HT","DKV","MA_QH","DRA")</f>
        <v>0</v>
      </c>
      <c r="AQ53" s="22">
        <f ca="1">+GETPIVOTDATA("XDB4",'dabac (2016)'!$A$3,"MA_HT","DKV","MA_QH","ONT")</f>
        <v>0</v>
      </c>
      <c r="AR53" s="22">
        <f ca="1">+GETPIVOTDATA("XDB4",'dabac (2016)'!$A$3,"MA_HT","DKV","MA_QH","ODT")</f>
        <v>0</v>
      </c>
      <c r="AS53" s="22">
        <f ca="1">+GETPIVOTDATA("XDB4",'dabac (2016)'!$A$3,"MA_HT","DKV","MA_QH","TSC")</f>
        <v>0</v>
      </c>
      <c r="AT53" s="22">
        <f ca="1">+GETPIVOTDATA("XDB4",'dabac (2016)'!$A$3,"MA_HT","DKV","MA_QH","DTS")</f>
        <v>0</v>
      </c>
      <c r="AU53" s="22">
        <f ca="1">+GETPIVOTDATA("XDB4",'dabac (2016)'!$A$3,"MA_HT","DKV","MA_QH","DNG")</f>
        <v>0</v>
      </c>
      <c r="AV53" s="22">
        <f ca="1">+GETPIVOTDATA("XDB4",'dabac (2016)'!$A$3,"MA_HT","DKV","MA_QH","TON")</f>
        <v>0</v>
      </c>
      <c r="AW53" s="22">
        <f ca="1">+GETPIVOTDATA("XDB4",'dabac (2016)'!$A$3,"MA_HT","DKV","MA_QH","NTD")</f>
        <v>0</v>
      </c>
      <c r="AX53" s="22">
        <f ca="1">+GETPIVOTDATA("XDB4",'dabac (2016)'!$A$3,"MA_HT","DKV","MA_QH","SKX")</f>
        <v>0</v>
      </c>
      <c r="AY53" s="22">
        <f ca="1">+GETPIVOTDATA("XDB4",'dabac (2016)'!$A$3,"MA_HT","DKV","MA_QH","DSH")</f>
        <v>0</v>
      </c>
      <c r="AZ53" s="43" t="e">
        <f ca="1">$D53-$BF53</f>
        <v>#REF!</v>
      </c>
      <c r="BA53" s="89">
        <f ca="1">+GETPIVOTDATA("XDB4",'dabac (2016)'!$A$3,"MA_HT","DKV","MA_QH","TIN")</f>
        <v>0</v>
      </c>
      <c r="BB53" s="50">
        <f ca="1">+GETPIVOTDATA("XDB4",'dabac (2016)'!$A$3,"MA_HT","DKV","MA_QH","SON")</f>
        <v>0</v>
      </c>
      <c r="BC53" s="50">
        <f ca="1">+GETPIVOTDATA("XDB4",'dabac (2016)'!$A$3,"MA_HT","DKV","MA_QH","MNC")</f>
        <v>0</v>
      </c>
      <c r="BD53" s="22">
        <f ca="1">+GETPIVOTDATA("XDB4",'dabac (2016)'!$A$3,"MA_HT","DKV","MA_QH","PNK")</f>
        <v>0</v>
      </c>
      <c r="BE53" s="71">
        <f ca="1">+GETPIVOTDATA("XDB4",'dabac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+GETPIVOTDATA("XDB4",'dabac (2016)'!$A$3,"MA_HT","TIN","MA_QH","LUC")</f>
        <v>0</v>
      </c>
      <c r="H54" s="22">
        <f ca="1">+GETPIVOTDATA("XDB4",'dabac (2016)'!$A$3,"MA_HT","TIN","MA_QH","LUK")</f>
        <v>0</v>
      </c>
      <c r="I54" s="22">
        <f ca="1">+GETPIVOTDATA("XDB4",'dabac (2016)'!$A$3,"MA_HT","TIN","MA_QH","LUN")</f>
        <v>0</v>
      </c>
      <c r="J54" s="22">
        <f ca="1">+GETPIVOTDATA("XDB4",'dabac (2016)'!$A$3,"MA_HT","TIN","MA_QH","HNK")</f>
        <v>0</v>
      </c>
      <c r="K54" s="22">
        <f ca="1">+GETPIVOTDATA("XDB4",'dabac (2016)'!$A$3,"MA_HT","TIN","MA_QH","CLN")</f>
        <v>0</v>
      </c>
      <c r="L54" s="22">
        <f ca="1">+GETPIVOTDATA("XDB4",'dabac (2016)'!$A$3,"MA_HT","TIN","MA_QH","RSX")</f>
        <v>0</v>
      </c>
      <c r="M54" s="22">
        <f ca="1">+GETPIVOTDATA("XDB4",'dabac (2016)'!$A$3,"MA_HT","TIN","MA_QH","RPH")</f>
        <v>0</v>
      </c>
      <c r="N54" s="22">
        <f ca="1">+GETPIVOTDATA("XDB4",'dabac (2016)'!$A$3,"MA_HT","TIN","MA_QH","RDD")</f>
        <v>0</v>
      </c>
      <c r="O54" s="22">
        <f ca="1">+GETPIVOTDATA("XDB4",'dabac (2016)'!$A$3,"MA_HT","TIN","MA_QH","NTS")</f>
        <v>0</v>
      </c>
      <c r="P54" s="22">
        <f ca="1">+GETPIVOTDATA("XDB4",'dabac (2016)'!$A$3,"MA_HT","TIN","MA_QH","LMU")</f>
        <v>0</v>
      </c>
      <c r="Q54" s="22">
        <f ca="1">+GETPIVOTDATA("XDB4",'dabac (2016)'!$A$3,"MA_HT","TIN","MA_QH","NKH")</f>
        <v>0</v>
      </c>
      <c r="R54" s="79">
        <f ca="1">SUM(S54:AA54,AN54:AZ54,BB54:BD54)</f>
        <v>0</v>
      </c>
      <c r="S54" s="22">
        <f ca="1">+GETPIVOTDATA("XDB4",'dabac (2016)'!$A$3,"MA_HT","TIN","MA_QH","CQP")</f>
        <v>0</v>
      </c>
      <c r="T54" s="22">
        <f ca="1">+GETPIVOTDATA("XDB4",'dabac (2016)'!$A$3,"MA_HT","TIN","MA_QH","CAN")</f>
        <v>0</v>
      </c>
      <c r="U54" s="22">
        <f ca="1">+GETPIVOTDATA("XDB4",'dabac (2016)'!$A$3,"MA_HT","TIN","MA_QH","SKK")</f>
        <v>0</v>
      </c>
      <c r="V54" s="22">
        <f ca="1">+GETPIVOTDATA("XDB4",'dabac (2016)'!$A$3,"MA_HT","TIN","MA_QH","SKT")</f>
        <v>0</v>
      </c>
      <c r="W54" s="22">
        <f ca="1">+GETPIVOTDATA("XDB4",'dabac (2016)'!$A$3,"MA_HT","TIN","MA_QH","SKN")</f>
        <v>0</v>
      </c>
      <c r="X54" s="22">
        <f ca="1">+GETPIVOTDATA("XDB4",'dabac (2016)'!$A$3,"MA_HT","TIN","MA_QH","TMD")</f>
        <v>0</v>
      </c>
      <c r="Y54" s="22">
        <f ca="1">+GETPIVOTDATA("XDB4",'dabac (2016)'!$A$3,"MA_HT","TIN","MA_QH","SKC")</f>
        <v>0</v>
      </c>
      <c r="Z54" s="22">
        <f ca="1">+GETPIVOTDATA("XDB4",'dabac (2016)'!$A$3,"MA_HT","TIN","MA_QH","SKS")</f>
        <v>0</v>
      </c>
      <c r="AA54" s="52">
        <f ca="1" t="shared" si="21"/>
        <v>0</v>
      </c>
      <c r="AB54" s="22">
        <f ca="1">+GETPIVOTDATA("XDB4",'dabac (2016)'!$A$3,"MA_HT","TIN","MA_QH","DGT")</f>
        <v>0</v>
      </c>
      <c r="AC54" s="22">
        <f ca="1">+GETPIVOTDATA("XDB4",'dabac (2016)'!$A$3,"MA_HT","TIN","MA_QH","DTL")</f>
        <v>0</v>
      </c>
      <c r="AD54" s="22">
        <f ca="1">+GETPIVOTDATA("XDB4",'dabac (2016)'!$A$3,"MA_HT","TIN","MA_QH","DNL")</f>
        <v>0</v>
      </c>
      <c r="AE54" s="22">
        <f ca="1">+GETPIVOTDATA("XDB4",'dabac (2016)'!$A$3,"MA_HT","TIN","MA_QH","DBV")</f>
        <v>0</v>
      </c>
      <c r="AF54" s="22">
        <f ca="1">+GETPIVOTDATA("XDB4",'dabac (2016)'!$A$3,"MA_HT","TIN","MA_QH","DVH")</f>
        <v>0</v>
      </c>
      <c r="AG54" s="22">
        <f ca="1">+GETPIVOTDATA("XDB4",'dabac (2016)'!$A$3,"MA_HT","TIN","MA_QH","DYT")</f>
        <v>0</v>
      </c>
      <c r="AH54" s="22">
        <f ca="1">+GETPIVOTDATA("XDB4",'dabac (2016)'!$A$3,"MA_HT","TIN","MA_QH","DGD")</f>
        <v>0</v>
      </c>
      <c r="AI54" s="22">
        <f ca="1">+GETPIVOTDATA("XDB4",'dabac (2016)'!$A$3,"MA_HT","TIN","MA_QH","DTT")</f>
        <v>0</v>
      </c>
      <c r="AJ54" s="22">
        <f ca="1">+GETPIVOTDATA("XDB4",'dabac (2016)'!$A$3,"MA_HT","TIN","MA_QH","NCK")</f>
        <v>0</v>
      </c>
      <c r="AK54" s="22">
        <f ca="1">+GETPIVOTDATA("XDB4",'dabac (2016)'!$A$3,"MA_HT","TIN","MA_QH","DXH")</f>
        <v>0</v>
      </c>
      <c r="AL54" s="22">
        <f ca="1">+GETPIVOTDATA("XDB4",'dabac (2016)'!$A$3,"MA_HT","TIN","MA_QH","DCH")</f>
        <v>0</v>
      </c>
      <c r="AM54" s="22">
        <f ca="1">+GETPIVOTDATA("XDB4",'dabac (2016)'!$A$3,"MA_HT","TIN","MA_QH","DKG")</f>
        <v>0</v>
      </c>
      <c r="AN54" s="22">
        <f ca="1">+GETPIVOTDATA("XDB4",'dabac (2016)'!$A$3,"MA_HT","TIN","MA_QH","DDT")</f>
        <v>0</v>
      </c>
      <c r="AO54" s="22">
        <f ca="1">+GETPIVOTDATA("XDB4",'dabac (2016)'!$A$3,"MA_HT","TIN","MA_QH","DDL")</f>
        <v>0</v>
      </c>
      <c r="AP54" s="22">
        <f ca="1">+GETPIVOTDATA("XDB4",'dabac (2016)'!$A$3,"MA_HT","TIN","MA_QH","DRA")</f>
        <v>0</v>
      </c>
      <c r="AQ54" s="22">
        <f ca="1">+GETPIVOTDATA("XDB4",'dabac (2016)'!$A$3,"MA_HT","TIN","MA_QH","ONT")</f>
        <v>0</v>
      </c>
      <c r="AR54" s="22">
        <f ca="1">+GETPIVOTDATA("XDB4",'dabac (2016)'!$A$3,"MA_HT","TIN","MA_QH","ODT")</f>
        <v>0</v>
      </c>
      <c r="AS54" s="22">
        <f ca="1">+GETPIVOTDATA("XDB4",'dabac (2016)'!$A$3,"MA_HT","TIN","MA_QH","TSC")</f>
        <v>0</v>
      </c>
      <c r="AT54" s="22">
        <f ca="1">+GETPIVOTDATA("XDB4",'dabac (2016)'!$A$3,"MA_HT","TIN","MA_QH","DTS")</f>
        <v>0</v>
      </c>
      <c r="AU54" s="22">
        <f ca="1">+GETPIVOTDATA("XDB4",'dabac (2016)'!$A$3,"MA_HT","TIN","MA_QH","DNG")</f>
        <v>0</v>
      </c>
      <c r="AV54" s="22">
        <f ca="1">+GETPIVOTDATA("XDB4",'dabac (2016)'!$A$3,"MA_HT","TIN","MA_QH","TON")</f>
        <v>0</v>
      </c>
      <c r="AW54" s="22">
        <f ca="1">+GETPIVOTDATA("XDB4",'dabac (2016)'!$A$3,"MA_HT","TIN","MA_QH","NTD")</f>
        <v>0</v>
      </c>
      <c r="AX54" s="22">
        <f ca="1">+GETPIVOTDATA("XDB4",'dabac (2016)'!$A$3,"MA_HT","TIN","MA_QH","SKX")</f>
        <v>0</v>
      </c>
      <c r="AY54" s="22">
        <f ca="1">+GETPIVOTDATA("XDB4",'dabac (2016)'!$A$3,"MA_HT","TIN","MA_QH","DSH")</f>
        <v>0</v>
      </c>
      <c r="AZ54" s="22">
        <f ca="1">+GETPIVOTDATA("XDB4",'dabac (2016)'!$A$3,"MA_HT","TIN","MA_QH","DKV")</f>
        <v>0</v>
      </c>
      <c r="BA54" s="43" t="e">
        <f ca="1">$D54-$BF54</f>
        <v>#REF!</v>
      </c>
      <c r="BB54" s="22">
        <f ca="1">+GETPIVOTDATA("XDB4",'dabac (2016)'!$A$3,"MA_HT","TIN","MA_QH","SON")</f>
        <v>0</v>
      </c>
      <c r="BC54" s="22">
        <f ca="1">+GETPIVOTDATA("XDB4",'dabac (2016)'!$A$3,"MA_HT","TIN","MA_QH","MNC")</f>
        <v>0</v>
      </c>
      <c r="BD54" s="22">
        <f ca="1">+GETPIVOTDATA("XDB4",'dabac (2016)'!$A$3,"MA_HT","TIN","MA_QH","PNK")</f>
        <v>0</v>
      </c>
      <c r="BE54" s="71">
        <f ca="1">+GETPIVOTDATA("XDB4",'dabac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+GETPIVOTDATA("XDB4",'dabac (2016)'!$A$3,"MA_HT","SON","MA_QH","LUC")</f>
        <v>0</v>
      </c>
      <c r="H55" s="22">
        <f ca="1">+GETPIVOTDATA("XDB4",'dabac (2016)'!$A$3,"MA_HT","SON","MA_QH","LUK")</f>
        <v>0</v>
      </c>
      <c r="I55" s="22">
        <f ca="1">+GETPIVOTDATA("XDB4",'dabac (2016)'!$A$3,"MA_HT","SON","MA_QH","LUN")</f>
        <v>0</v>
      </c>
      <c r="J55" s="22">
        <f ca="1">+GETPIVOTDATA("XDB4",'dabac (2016)'!$A$3,"MA_HT","SON","MA_QH","HNK")</f>
        <v>0</v>
      </c>
      <c r="K55" s="22">
        <f ca="1">+GETPIVOTDATA("XDB4",'dabac (2016)'!$A$3,"MA_HT","SON","MA_QH","CLN")</f>
        <v>0</v>
      </c>
      <c r="L55" s="22">
        <f ca="1">+GETPIVOTDATA("XDB4",'dabac (2016)'!$A$3,"MA_HT","SON","MA_QH","RSX")</f>
        <v>0</v>
      </c>
      <c r="M55" s="22">
        <f ca="1">+GETPIVOTDATA("XDB4",'dabac (2016)'!$A$3,"MA_HT","SON","MA_QH","RPH")</f>
        <v>0</v>
      </c>
      <c r="N55" s="22">
        <f ca="1">+GETPIVOTDATA("XDB4",'dabac (2016)'!$A$3,"MA_HT","SON","MA_QH","RDD")</f>
        <v>0</v>
      </c>
      <c r="O55" s="22">
        <f ca="1">+GETPIVOTDATA("XDB4",'dabac (2016)'!$A$3,"MA_HT","SON","MA_QH","NTS")</f>
        <v>0</v>
      </c>
      <c r="P55" s="22">
        <f ca="1">+GETPIVOTDATA("XDB4",'dabac (2016)'!$A$3,"MA_HT","SON","MA_QH","LMU")</f>
        <v>0</v>
      </c>
      <c r="Q55" s="22">
        <f ca="1">+GETPIVOTDATA("XDB4",'dabac (2016)'!$A$3,"MA_HT","SON","MA_QH","NKH")</f>
        <v>0</v>
      </c>
      <c r="R55" s="79">
        <f ca="1">SUM(S55:AA55,AN55:AZ55,BC55:BD55)</f>
        <v>0</v>
      </c>
      <c r="S55" s="22">
        <f ca="1">+GETPIVOTDATA("XDB4",'dabac (2016)'!$A$3,"MA_HT","SON","MA_QH","CQP")</f>
        <v>0</v>
      </c>
      <c r="T55" s="22">
        <f ca="1">+GETPIVOTDATA("XDB4",'dabac (2016)'!$A$3,"MA_HT","SON","MA_QH","CAN")</f>
        <v>0</v>
      </c>
      <c r="U55" s="22">
        <f ca="1">+GETPIVOTDATA("XDB4",'dabac (2016)'!$A$3,"MA_HT","SON","MA_QH","SKK")</f>
        <v>0</v>
      </c>
      <c r="V55" s="22">
        <f ca="1">+GETPIVOTDATA("XDB4",'dabac (2016)'!$A$3,"MA_HT","SON","MA_QH","SKT")</f>
        <v>0</v>
      </c>
      <c r="W55" s="22">
        <f ca="1">+GETPIVOTDATA("XDB4",'dabac (2016)'!$A$3,"MA_HT","SON","MA_QH","SKN")</f>
        <v>0</v>
      </c>
      <c r="X55" s="22">
        <f ca="1">+GETPIVOTDATA("XDB4",'dabac (2016)'!$A$3,"MA_HT","SON","MA_QH","TMD")</f>
        <v>0</v>
      </c>
      <c r="Y55" s="22">
        <f ca="1">+GETPIVOTDATA("XDB4",'dabac (2016)'!$A$3,"MA_HT","SON","MA_QH","SKC")</f>
        <v>0</v>
      </c>
      <c r="Z55" s="22">
        <f ca="1">+GETPIVOTDATA("XDB4",'dabac (2016)'!$A$3,"MA_HT","SON","MA_QH","SKS")</f>
        <v>0</v>
      </c>
      <c r="AA55" s="52">
        <f ca="1" t="shared" si="21"/>
        <v>0</v>
      </c>
      <c r="AB55" s="22">
        <f ca="1">+GETPIVOTDATA("XDB4",'dabac (2016)'!$A$3,"MA_HT","SON","MA_QH","DGT")</f>
        <v>0</v>
      </c>
      <c r="AC55" s="22">
        <f ca="1">+GETPIVOTDATA("XDB4",'dabac (2016)'!$A$3,"MA_HT","SON","MA_QH","DTL")</f>
        <v>0</v>
      </c>
      <c r="AD55" s="22">
        <f ca="1">+GETPIVOTDATA("XDB4",'dabac (2016)'!$A$3,"MA_HT","SON","MA_QH","DNL")</f>
        <v>0</v>
      </c>
      <c r="AE55" s="22">
        <f ca="1">+GETPIVOTDATA("XDB4",'dabac (2016)'!$A$3,"MA_HT","SON","MA_QH","DBV")</f>
        <v>0</v>
      </c>
      <c r="AF55" s="22">
        <f ca="1">+GETPIVOTDATA("XDB4",'dabac (2016)'!$A$3,"MA_HT","SON","MA_QH","DVH")</f>
        <v>0</v>
      </c>
      <c r="AG55" s="22">
        <f ca="1">+GETPIVOTDATA("XDB4",'dabac (2016)'!$A$3,"MA_HT","SON","MA_QH","DYT")</f>
        <v>0</v>
      </c>
      <c r="AH55" s="22">
        <f ca="1">+GETPIVOTDATA("XDB4",'dabac (2016)'!$A$3,"MA_HT","SON","MA_QH","DGD")</f>
        <v>0</v>
      </c>
      <c r="AI55" s="22">
        <f ca="1">+GETPIVOTDATA("XDB4",'dabac (2016)'!$A$3,"MA_HT","SON","MA_QH","DTT")</f>
        <v>0</v>
      </c>
      <c r="AJ55" s="22">
        <f ca="1">+GETPIVOTDATA("XDB4",'dabac (2016)'!$A$3,"MA_HT","SON","MA_QH","NCK")</f>
        <v>0</v>
      </c>
      <c r="AK55" s="22">
        <f ca="1">+GETPIVOTDATA("XDB4",'dabac (2016)'!$A$3,"MA_HT","SON","MA_QH","DXH")</f>
        <v>0</v>
      </c>
      <c r="AL55" s="22">
        <f ca="1">+GETPIVOTDATA("XDB4",'dabac (2016)'!$A$3,"MA_HT","SON","MA_QH","DCH")</f>
        <v>0</v>
      </c>
      <c r="AM55" s="22">
        <f ca="1">+GETPIVOTDATA("XDB4",'dabac (2016)'!$A$3,"MA_HT","SON","MA_QH","DKG")</f>
        <v>0</v>
      </c>
      <c r="AN55" s="22">
        <f ca="1">+GETPIVOTDATA("XDB4",'dabac (2016)'!$A$3,"MA_HT","SON","MA_QH","DDT")</f>
        <v>0</v>
      </c>
      <c r="AO55" s="22">
        <f ca="1">+GETPIVOTDATA("XDB4",'dabac (2016)'!$A$3,"MA_HT","SON","MA_QH","DDL")</f>
        <v>0</v>
      </c>
      <c r="AP55" s="22">
        <f ca="1">+GETPIVOTDATA("XDB4",'dabac (2016)'!$A$3,"MA_HT","SON","MA_QH","DRA")</f>
        <v>0</v>
      </c>
      <c r="AQ55" s="22">
        <f ca="1">+GETPIVOTDATA("XDB4",'dabac (2016)'!$A$3,"MA_HT","SON","MA_QH","ONT")</f>
        <v>0</v>
      </c>
      <c r="AR55" s="22">
        <f ca="1">+GETPIVOTDATA("XDB4",'dabac (2016)'!$A$3,"MA_HT","SON","MA_QH","ODT")</f>
        <v>0</v>
      </c>
      <c r="AS55" s="22">
        <f ca="1">+GETPIVOTDATA("XDB4",'dabac (2016)'!$A$3,"MA_HT","SON","MA_QH","TSC")</f>
        <v>0</v>
      </c>
      <c r="AT55" s="22">
        <f ca="1">+GETPIVOTDATA("XDB4",'dabac (2016)'!$A$3,"MA_HT","SON","MA_QH","DTS")</f>
        <v>0</v>
      </c>
      <c r="AU55" s="22">
        <f ca="1">+GETPIVOTDATA("XDB4",'dabac (2016)'!$A$3,"MA_HT","SON","MA_QH","DNG")</f>
        <v>0</v>
      </c>
      <c r="AV55" s="22">
        <f ca="1">+GETPIVOTDATA("XDB4",'dabac (2016)'!$A$3,"MA_HT","SON","MA_QH","TON")</f>
        <v>0</v>
      </c>
      <c r="AW55" s="22">
        <f ca="1">+GETPIVOTDATA("XDB4",'dabac (2016)'!$A$3,"MA_HT","SON","MA_QH","NTD")</f>
        <v>0</v>
      </c>
      <c r="AX55" s="22">
        <f ca="1">+GETPIVOTDATA("XDB4",'dabac (2016)'!$A$3,"MA_HT","SON","MA_QH","SKX")</f>
        <v>0</v>
      </c>
      <c r="AY55" s="22">
        <f ca="1">+GETPIVOTDATA("XDB4",'dabac (2016)'!$A$3,"MA_HT","SON","MA_QH","DSH")</f>
        <v>0</v>
      </c>
      <c r="AZ55" s="22">
        <f ca="1">+GETPIVOTDATA("XDB4",'dabac (2016)'!$A$3,"MA_HT","SON","MA_QH","DKV")</f>
        <v>0</v>
      </c>
      <c r="BA55" s="89">
        <f ca="1">+GETPIVOTDATA("XDB4",'dabac (2016)'!$A$3,"MA_HT","SON","MA_QH","TIN")</f>
        <v>0</v>
      </c>
      <c r="BB55" s="43" t="e">
        <f ca="1">$D55-$BF55</f>
        <v>#REF!</v>
      </c>
      <c r="BC55" s="50">
        <f ca="1">+GETPIVOTDATA("XDB4",'dabac (2016)'!$A$3,"MA_HT","SON","MA_QH","MNC")</f>
        <v>0</v>
      </c>
      <c r="BD55" s="22">
        <f ca="1">+GETPIVOTDATA("XDB4",'dabac (2016)'!$A$3,"MA_HT","SON","MA_QH","PNK")</f>
        <v>0</v>
      </c>
      <c r="BE55" s="71">
        <f ca="1">+GETPIVOTDATA("XDB4",'dabac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+GETPIVOTDATA("XDB4",'dabac (2016)'!$A$3,"MA_HT","MNC","MA_QH","LUC")</f>
        <v>0</v>
      </c>
      <c r="H56" s="22">
        <f ca="1">+GETPIVOTDATA("XDB4",'dabac (2016)'!$A$3,"MA_HT","MNC","MA_QH","LUK")</f>
        <v>0</v>
      </c>
      <c r="I56" s="22">
        <f ca="1">+GETPIVOTDATA("XDB4",'dabac (2016)'!$A$3,"MA_HT","MNC","MA_QH","LUN")</f>
        <v>0</v>
      </c>
      <c r="J56" s="22">
        <f ca="1">+GETPIVOTDATA("XDB4",'dabac (2016)'!$A$3,"MA_HT","MNC","MA_QH","HNK")</f>
        <v>0</v>
      </c>
      <c r="K56" s="22">
        <f ca="1">+GETPIVOTDATA("XDB4",'dabac (2016)'!$A$3,"MA_HT","MNC","MA_QH","CLN")</f>
        <v>0</v>
      </c>
      <c r="L56" s="22">
        <f ca="1">+GETPIVOTDATA("XDB4",'dabac (2016)'!$A$3,"MA_HT","MNC","MA_QH","RSX")</f>
        <v>0</v>
      </c>
      <c r="M56" s="22">
        <f ca="1">+GETPIVOTDATA("XDB4",'dabac (2016)'!$A$3,"MA_HT","MNC","MA_QH","RPH")</f>
        <v>0</v>
      </c>
      <c r="N56" s="22">
        <f ca="1">+GETPIVOTDATA("XDB4",'dabac (2016)'!$A$3,"MA_HT","MNC","MA_QH","RDD")</f>
        <v>0</v>
      </c>
      <c r="O56" s="22">
        <f ca="1">+GETPIVOTDATA("XDB4",'dabac (2016)'!$A$3,"MA_HT","MNC","MA_QH","NTS")</f>
        <v>0</v>
      </c>
      <c r="P56" s="22">
        <f ca="1">+GETPIVOTDATA("XDB4",'dabac (2016)'!$A$3,"MA_HT","MNC","MA_QH","LMU")</f>
        <v>0</v>
      </c>
      <c r="Q56" s="22">
        <f ca="1">+GETPIVOTDATA("XDB4",'dabac (2016)'!$A$3,"MA_HT","MNC","MA_QH","NKH")</f>
        <v>0</v>
      </c>
      <c r="R56" s="79">
        <f ca="1">SUM(S56:AA56,AN56:BB56,BD56)</f>
        <v>0</v>
      </c>
      <c r="S56" s="22">
        <f ca="1">+GETPIVOTDATA("XDB4",'dabac (2016)'!$A$3,"MA_HT","MNC","MA_QH","CQP")</f>
        <v>0</v>
      </c>
      <c r="T56" s="22">
        <f ca="1">+GETPIVOTDATA("XDB4",'dabac (2016)'!$A$3,"MA_HT","MNC","MA_QH","CAN")</f>
        <v>0</v>
      </c>
      <c r="U56" s="22">
        <f ca="1">+GETPIVOTDATA("XDB4",'dabac (2016)'!$A$3,"MA_HT","MNC","MA_QH","SKK")</f>
        <v>0</v>
      </c>
      <c r="V56" s="22">
        <f ca="1">+GETPIVOTDATA("XDB4",'dabac (2016)'!$A$3,"MA_HT","MNC","MA_QH","SKT")</f>
        <v>0</v>
      </c>
      <c r="W56" s="22">
        <f ca="1">+GETPIVOTDATA("XDB4",'dabac (2016)'!$A$3,"MA_HT","MNC","MA_QH","SKN")</f>
        <v>0</v>
      </c>
      <c r="X56" s="22">
        <f ca="1">+GETPIVOTDATA("XDB4",'dabac (2016)'!$A$3,"MA_HT","MNC","MA_QH","TMD")</f>
        <v>0</v>
      </c>
      <c r="Y56" s="22">
        <f ca="1">+GETPIVOTDATA("XDB4",'dabac (2016)'!$A$3,"MA_HT","MNC","MA_QH","SKC")</f>
        <v>0</v>
      </c>
      <c r="Z56" s="22">
        <f ca="1">+GETPIVOTDATA("XDB4",'dabac (2016)'!$A$3,"MA_HT","MNC","MA_QH","SKS")</f>
        <v>0</v>
      </c>
      <c r="AA56" s="52">
        <f ca="1" t="shared" si="21"/>
        <v>0</v>
      </c>
      <c r="AB56" s="22">
        <f ca="1">+GETPIVOTDATA("XDB4",'dabac (2016)'!$A$3,"MA_HT","MNC","MA_QH","DGT")</f>
        <v>0</v>
      </c>
      <c r="AC56" s="22">
        <f ca="1">+GETPIVOTDATA("XDB4",'dabac (2016)'!$A$3,"MA_HT","MNC","MA_QH","DTL")</f>
        <v>0</v>
      </c>
      <c r="AD56" s="22">
        <f ca="1">+GETPIVOTDATA("XDB4",'dabac (2016)'!$A$3,"MA_HT","MNC","MA_QH","DNL")</f>
        <v>0</v>
      </c>
      <c r="AE56" s="22">
        <f ca="1">+GETPIVOTDATA("XDB4",'dabac (2016)'!$A$3,"MA_HT","MNC","MA_QH","DBV")</f>
        <v>0</v>
      </c>
      <c r="AF56" s="22">
        <f ca="1">+GETPIVOTDATA("XDB4",'dabac (2016)'!$A$3,"MA_HT","MNC","MA_QH","DVH")</f>
        <v>0</v>
      </c>
      <c r="AG56" s="22">
        <f ca="1">+GETPIVOTDATA("XDB4",'dabac (2016)'!$A$3,"MA_HT","MNC","MA_QH","DYT")</f>
        <v>0</v>
      </c>
      <c r="AH56" s="22">
        <f ca="1">+GETPIVOTDATA("XDB4",'dabac (2016)'!$A$3,"MA_HT","MNC","MA_QH","DGD")</f>
        <v>0</v>
      </c>
      <c r="AI56" s="22">
        <f ca="1">+GETPIVOTDATA("XDB4",'dabac (2016)'!$A$3,"MA_HT","MNC","MA_QH","DTT")</f>
        <v>0</v>
      </c>
      <c r="AJ56" s="22">
        <f ca="1">+GETPIVOTDATA("XDB4",'dabac (2016)'!$A$3,"MA_HT","MNC","MA_QH","NCK")</f>
        <v>0</v>
      </c>
      <c r="AK56" s="22">
        <f ca="1">+GETPIVOTDATA("XDB4",'dabac (2016)'!$A$3,"MA_HT","MNC","MA_QH","DXH")</f>
        <v>0</v>
      </c>
      <c r="AL56" s="22">
        <f ca="1">+GETPIVOTDATA("XDB4",'dabac (2016)'!$A$3,"MA_HT","MNC","MA_QH","DCH")</f>
        <v>0</v>
      </c>
      <c r="AM56" s="22">
        <f ca="1">+GETPIVOTDATA("XDB4",'dabac (2016)'!$A$3,"MA_HT","MNC","MA_QH","DKG")</f>
        <v>0</v>
      </c>
      <c r="AN56" s="22">
        <f ca="1">+GETPIVOTDATA("XDB4",'dabac (2016)'!$A$3,"MA_HT","MNC","MA_QH","DDT")</f>
        <v>0</v>
      </c>
      <c r="AO56" s="22">
        <f ca="1">+GETPIVOTDATA("XDB4",'dabac (2016)'!$A$3,"MA_HT","MNC","MA_QH","DDL")</f>
        <v>0</v>
      </c>
      <c r="AP56" s="22">
        <f ca="1">+GETPIVOTDATA("XDB4",'dabac (2016)'!$A$3,"MA_HT","MNC","MA_QH","DRA")</f>
        <v>0</v>
      </c>
      <c r="AQ56" s="22">
        <f ca="1">+GETPIVOTDATA("XDB4",'dabac (2016)'!$A$3,"MA_HT","MNC","MA_QH","ONT")</f>
        <v>0</v>
      </c>
      <c r="AR56" s="22">
        <f ca="1">+GETPIVOTDATA("XDB4",'dabac (2016)'!$A$3,"MA_HT","MNC","MA_QH","ODT")</f>
        <v>0</v>
      </c>
      <c r="AS56" s="22">
        <f ca="1">+GETPIVOTDATA("XDB4",'dabac (2016)'!$A$3,"MA_HT","MNC","MA_QH","TSC")</f>
        <v>0</v>
      </c>
      <c r="AT56" s="22">
        <f ca="1">+GETPIVOTDATA("XDB4",'dabac (2016)'!$A$3,"MA_HT","MNC","MA_QH","DTS")</f>
        <v>0</v>
      </c>
      <c r="AU56" s="22">
        <f ca="1">+GETPIVOTDATA("XDB4",'dabac (2016)'!$A$3,"MA_HT","MNC","MA_QH","DNG")</f>
        <v>0</v>
      </c>
      <c r="AV56" s="22">
        <f ca="1">+GETPIVOTDATA("XDB4",'dabac (2016)'!$A$3,"MA_HT","MNC","MA_QH","TON")</f>
        <v>0</v>
      </c>
      <c r="AW56" s="22">
        <f ca="1">+GETPIVOTDATA("XDB4",'dabac (2016)'!$A$3,"MA_HT","MNC","MA_QH","NTD")</f>
        <v>0</v>
      </c>
      <c r="AX56" s="22">
        <f ca="1">+GETPIVOTDATA("XDB4",'dabac (2016)'!$A$3,"MA_HT","MNC","MA_QH","SKX")</f>
        <v>0</v>
      </c>
      <c r="AY56" s="22">
        <f ca="1">+GETPIVOTDATA("XDB4",'dabac (2016)'!$A$3,"MA_HT","MNC","MA_QH","DSH")</f>
        <v>0</v>
      </c>
      <c r="AZ56" s="22">
        <f ca="1">+GETPIVOTDATA("XDB4",'dabac (2016)'!$A$3,"MA_HT","MNC","MA_QH","DKV")</f>
        <v>0</v>
      </c>
      <c r="BA56" s="89">
        <f ca="1">+GETPIVOTDATA("XDB4",'dabac (2016)'!$A$3,"MA_HT","MNC","MA_QH","TIN")</f>
        <v>0</v>
      </c>
      <c r="BB56" s="50">
        <f ca="1">+GETPIVOTDATA("XDB4",'dabac (2016)'!$A$3,"MA_HT","MNC","MA_QH","SON")</f>
        <v>0</v>
      </c>
      <c r="BC56" s="43" t="e">
        <f ca="1">$D56-$BF56</f>
        <v>#REF!</v>
      </c>
      <c r="BD56" s="22">
        <f ca="1">+GETPIVOTDATA("XDB4",'dabac (2016)'!$A$3,"MA_HT","MNC","MA_QH","PNK")</f>
        <v>0</v>
      </c>
      <c r="BE56" s="71">
        <f ca="1">+GETPIVOTDATA("XDB4",'dabac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+GETPIVOTDATA("XDB4",'dabac (2016)'!$A$3,"MA_HT","PNK","MA_QH","LUC")</f>
        <v>0</v>
      </c>
      <c r="H57" s="22">
        <f ca="1">+GETPIVOTDATA("XDB4",'dabac (2016)'!$A$3,"MA_HT","PNK","MA_QH","LUK")</f>
        <v>0</v>
      </c>
      <c r="I57" s="22">
        <f ca="1">+GETPIVOTDATA("XDB4",'dabac (2016)'!$A$3,"MA_HT","PNK","MA_QH","LUN")</f>
        <v>0</v>
      </c>
      <c r="J57" s="22">
        <f ca="1">+GETPIVOTDATA("XDB4",'dabac (2016)'!$A$3,"MA_HT","PNK","MA_QH","HNK")</f>
        <v>0</v>
      </c>
      <c r="K57" s="22">
        <f ca="1">+GETPIVOTDATA("XDB4",'dabac (2016)'!$A$3,"MA_HT","PNK","MA_QH","CLN")</f>
        <v>0</v>
      </c>
      <c r="L57" s="22">
        <f ca="1">+GETPIVOTDATA("XDB4",'dabac (2016)'!$A$3,"MA_HT","PNK","MA_QH","RSX")</f>
        <v>0</v>
      </c>
      <c r="M57" s="22">
        <f ca="1">+GETPIVOTDATA("XDB4",'dabac (2016)'!$A$3,"MA_HT","PNK","MA_QH","RPH")</f>
        <v>0</v>
      </c>
      <c r="N57" s="22">
        <f ca="1">+GETPIVOTDATA("XDB4",'dabac (2016)'!$A$3,"MA_HT","PNK","MA_QH","RDD")</f>
        <v>0</v>
      </c>
      <c r="O57" s="22">
        <f ca="1">+GETPIVOTDATA("XDB4",'dabac (2016)'!$A$3,"MA_HT","PNK","MA_QH","NTS")</f>
        <v>0</v>
      </c>
      <c r="P57" s="22">
        <f ca="1">+GETPIVOTDATA("XDB4",'dabac (2016)'!$A$3,"MA_HT","PNK","MA_QH","LMU")</f>
        <v>0</v>
      </c>
      <c r="Q57" s="22">
        <f ca="1">+GETPIVOTDATA("XDB4",'dabac (2016)'!$A$3,"MA_HT","PNK","MA_QH","NKH")</f>
        <v>0</v>
      </c>
      <c r="R57" s="79">
        <f ca="1">SUM(S57:AA57,AN57:BC57)</f>
        <v>0</v>
      </c>
      <c r="S57" s="22">
        <f ca="1">+GETPIVOTDATA("XDB4",'dabac (2016)'!$A$3,"MA_HT","PNK","MA_QH","CQP")</f>
        <v>0</v>
      </c>
      <c r="T57" s="22">
        <f ca="1">+GETPIVOTDATA("XDB4",'dabac (2016)'!$A$3,"MA_HT","PNK","MA_QH","CAN")</f>
        <v>0</v>
      </c>
      <c r="U57" s="22">
        <f ca="1">+GETPIVOTDATA("XDB4",'dabac (2016)'!$A$3,"MA_HT","PNK","MA_QH","SKK")</f>
        <v>0</v>
      </c>
      <c r="V57" s="22">
        <f ca="1">+GETPIVOTDATA("XDB4",'dabac (2016)'!$A$3,"MA_HT","PNK","MA_QH","SKT")</f>
        <v>0</v>
      </c>
      <c r="W57" s="22">
        <f ca="1">+GETPIVOTDATA("XDB4",'dabac (2016)'!$A$3,"MA_HT","PNK","MA_QH","SKN")</f>
        <v>0</v>
      </c>
      <c r="X57" s="22">
        <f ca="1">+GETPIVOTDATA("XDB4",'dabac (2016)'!$A$3,"MA_HT","PNK","MA_QH","TMD")</f>
        <v>0</v>
      </c>
      <c r="Y57" s="22">
        <f ca="1">+GETPIVOTDATA("XDB4",'dabac (2016)'!$A$3,"MA_HT","PNK","MA_QH","SKC")</f>
        <v>0</v>
      </c>
      <c r="Z57" s="22">
        <f ca="1">+GETPIVOTDATA("XDB4",'dabac (2016)'!$A$3,"MA_HT","PNK","MA_QH","SKS")</f>
        <v>0</v>
      </c>
      <c r="AA57" s="52">
        <f ca="1" t="shared" si="21"/>
        <v>0</v>
      </c>
      <c r="AB57" s="22">
        <f ca="1">+GETPIVOTDATA("XDB4",'dabac (2016)'!$A$3,"MA_HT","PNK","MA_QH","DGT")</f>
        <v>0</v>
      </c>
      <c r="AC57" s="22">
        <f ca="1">+GETPIVOTDATA("XDB4",'dabac (2016)'!$A$3,"MA_HT","PNK","MA_QH","DTL")</f>
        <v>0</v>
      </c>
      <c r="AD57" s="22">
        <f ca="1">+GETPIVOTDATA("XDB4",'dabac (2016)'!$A$3,"MA_HT","PNK","MA_QH","DNL")</f>
        <v>0</v>
      </c>
      <c r="AE57" s="22">
        <f ca="1">+GETPIVOTDATA("XDB4",'dabac (2016)'!$A$3,"MA_HT","PNK","MA_QH","DBV")</f>
        <v>0</v>
      </c>
      <c r="AF57" s="22">
        <f ca="1">+GETPIVOTDATA("XDB4",'dabac (2016)'!$A$3,"MA_HT","PNK","MA_QH","DVH")</f>
        <v>0</v>
      </c>
      <c r="AG57" s="22">
        <f ca="1">+GETPIVOTDATA("XDB4",'dabac (2016)'!$A$3,"MA_HT","PNK","MA_QH","DYT")</f>
        <v>0</v>
      </c>
      <c r="AH57" s="22">
        <f ca="1">+GETPIVOTDATA("XDB4",'dabac (2016)'!$A$3,"MA_HT","PNK","MA_QH","DGD")</f>
        <v>0</v>
      </c>
      <c r="AI57" s="22">
        <f ca="1">+GETPIVOTDATA("XDB4",'dabac (2016)'!$A$3,"MA_HT","PNK","MA_QH","DTT")</f>
        <v>0</v>
      </c>
      <c r="AJ57" s="22">
        <f ca="1">+GETPIVOTDATA("XDB4",'dabac (2016)'!$A$3,"MA_HT","PNK","MA_QH","NCK")</f>
        <v>0</v>
      </c>
      <c r="AK57" s="22">
        <f ca="1">+GETPIVOTDATA("XDB4",'dabac (2016)'!$A$3,"MA_HT","PNK","MA_QH","DXH")</f>
        <v>0</v>
      </c>
      <c r="AL57" s="22">
        <f ca="1">+GETPIVOTDATA("XDB4",'dabac (2016)'!$A$3,"MA_HT","PNK","MA_QH","DCH")</f>
        <v>0</v>
      </c>
      <c r="AM57" s="22">
        <f ca="1">+GETPIVOTDATA("XDB4",'dabac (2016)'!$A$3,"MA_HT","PNK","MA_QH","DKG")</f>
        <v>0</v>
      </c>
      <c r="AN57" s="22">
        <f ca="1">+GETPIVOTDATA("XDB4",'dabac (2016)'!$A$3,"MA_HT","PNK","MA_QH","DDT")</f>
        <v>0</v>
      </c>
      <c r="AO57" s="22">
        <f ca="1">+GETPIVOTDATA("XDB4",'dabac (2016)'!$A$3,"MA_HT","PNK","MA_QH","DDL")</f>
        <v>0</v>
      </c>
      <c r="AP57" s="22">
        <f ca="1">+GETPIVOTDATA("XDB4",'dabac (2016)'!$A$3,"MA_HT","PNK","MA_QH","DRA")</f>
        <v>0</v>
      </c>
      <c r="AQ57" s="22">
        <f ca="1">+GETPIVOTDATA("XDB4",'dabac (2016)'!$A$3,"MA_HT","PNK","MA_QH","ONT")</f>
        <v>0</v>
      </c>
      <c r="AR57" s="22">
        <f ca="1">+GETPIVOTDATA("XDB4",'dabac (2016)'!$A$3,"MA_HT","PNK","MA_QH","ODT")</f>
        <v>0</v>
      </c>
      <c r="AS57" s="22">
        <f ca="1">+GETPIVOTDATA("XDB4",'dabac (2016)'!$A$3,"MA_HT","PNK","MA_QH","TSC")</f>
        <v>0</v>
      </c>
      <c r="AT57" s="22">
        <f ca="1">+GETPIVOTDATA("XDB4",'dabac (2016)'!$A$3,"MA_HT","PNK","MA_QH","DTS")</f>
        <v>0</v>
      </c>
      <c r="AU57" s="22">
        <f ca="1">+GETPIVOTDATA("XDB4",'dabac (2016)'!$A$3,"MA_HT","PNK","MA_QH","DNG")</f>
        <v>0</v>
      </c>
      <c r="AV57" s="22">
        <f ca="1">+GETPIVOTDATA("XDB4",'dabac (2016)'!$A$3,"MA_HT","PNK","MA_QH","TON")</f>
        <v>0</v>
      </c>
      <c r="AW57" s="22">
        <f ca="1">+GETPIVOTDATA("XDB4",'dabac (2016)'!$A$3,"MA_HT","PNK","MA_QH","NTD")</f>
        <v>0</v>
      </c>
      <c r="AX57" s="22">
        <f ca="1">+GETPIVOTDATA("XDB4",'dabac (2016)'!$A$3,"MA_HT","PNK","MA_QH","SKX")</f>
        <v>0</v>
      </c>
      <c r="AY57" s="22">
        <f ca="1">+GETPIVOTDATA("XDB4",'dabac (2016)'!$A$3,"MA_HT","PNK","MA_QH","DSH")</f>
        <v>0</v>
      </c>
      <c r="AZ57" s="22">
        <f ca="1">+GETPIVOTDATA("XDB4",'dabac (2016)'!$A$3,"MA_HT","PNK","MA_QH","DKV")</f>
        <v>0</v>
      </c>
      <c r="BA57" s="89">
        <f ca="1">+GETPIVOTDATA("XDB4",'dabac (2016)'!$A$3,"MA_HT","PNK","MA_QH","TIN")</f>
        <v>0</v>
      </c>
      <c r="BB57" s="50">
        <f ca="1">+GETPIVOTDATA("XDB4",'dabac (2016)'!$A$3,"MA_HT","PNK","MA_QH","SON")</f>
        <v>0</v>
      </c>
      <c r="BC57" s="50">
        <f ca="1">+GETPIVOTDATA("XDB4",'dabac (2016)'!$A$3,"MA_HT","PNK","MA_QH","MNC")</f>
        <v>0</v>
      </c>
      <c r="BD57" s="43" t="e">
        <f ca="1">$D57-$BF57</f>
        <v>#REF!</v>
      </c>
      <c r="BE57" s="71">
        <f ca="1">+GETPIVOTDATA("XDB4",'dabac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+GETPIVOTDATA("XDB4",'dabac (2016)'!$A$3,"MA_HT","CSD","MA_QH","LUC")</f>
        <v>0</v>
      </c>
      <c r="H58" s="71">
        <f ca="1">+GETPIVOTDATA("XDB4",'dabac (2016)'!$A$3,"MA_HT","CSD","MA_QH","LUK")</f>
        <v>0</v>
      </c>
      <c r="I58" s="71">
        <f ca="1">+GETPIVOTDATA("XDB4",'dabac (2016)'!$A$3,"MA_HT","CSD","MA_QH","LUN")</f>
        <v>0</v>
      </c>
      <c r="J58" s="71">
        <f ca="1">+GETPIVOTDATA("XDB4",'dabac (2016)'!$A$3,"MA_HT","CSD","MA_QH","HNK")</f>
        <v>0</v>
      </c>
      <c r="K58" s="71">
        <f ca="1">+GETPIVOTDATA("XDB4",'dabac (2016)'!$A$3,"MA_HT","CSD","MA_QH","CLN")</f>
        <v>0</v>
      </c>
      <c r="L58" s="71">
        <f ca="1">+GETPIVOTDATA("XDB4",'dabac (2016)'!$A$3,"MA_HT","CSD","MA_QH","RSX")</f>
        <v>0</v>
      </c>
      <c r="M58" s="71">
        <f ca="1">+GETPIVOTDATA("XDB4",'dabac (2016)'!$A$3,"MA_HT","CSD","MA_QH","RPH")</f>
        <v>0</v>
      </c>
      <c r="N58" s="71">
        <f ca="1">+GETPIVOTDATA("XDB4",'dabac (2016)'!$A$3,"MA_HT","CSD","MA_QH","RDD")</f>
        <v>0</v>
      </c>
      <c r="O58" s="71">
        <f ca="1">+GETPIVOTDATA("XDB4",'dabac (2016)'!$A$3,"MA_HT","CSD","MA_QH","NTS")</f>
        <v>0</v>
      </c>
      <c r="P58" s="71">
        <f ca="1">+GETPIVOTDATA("XDB4",'dabac (2016)'!$A$3,"MA_HT","CSD","MA_QH","LMU")</f>
        <v>0</v>
      </c>
      <c r="Q58" s="71">
        <f ca="1">+GETPIVOTDATA("XDB4",'dabac (2016)'!$A$3,"MA_HT","CSD","MA_QH","NKH")</f>
        <v>0</v>
      </c>
      <c r="R58" s="79">
        <f ca="1">SUM(S58:AA58,AN58:BD58)</f>
        <v>0</v>
      </c>
      <c r="S58" s="80">
        <f ca="1">+GETPIVOTDATA("XDB4",'dabac (2016)'!$A$3,"MA_HT","CSD","MA_QH","CQP")</f>
        <v>0</v>
      </c>
      <c r="T58" s="80">
        <f ca="1">+GETPIVOTDATA("XDB4",'dabac (2016)'!$A$3,"MA_HT","CSD","MA_QH","CAN")</f>
        <v>0</v>
      </c>
      <c r="U58" s="71">
        <f ca="1">+GETPIVOTDATA("XDB4",'dabac (2016)'!$A$3,"MA_HT","CSD","MA_QH","SKK")</f>
        <v>0</v>
      </c>
      <c r="V58" s="71">
        <f ca="1">+GETPIVOTDATA("XDB4",'dabac (2016)'!$A$3,"MA_HT","CSD","MA_QH","SKT")</f>
        <v>0</v>
      </c>
      <c r="W58" s="71">
        <f ca="1">+GETPIVOTDATA("XDB4",'dabac (2016)'!$A$3,"MA_HT","CSD","MA_QH","SKN")</f>
        <v>0</v>
      </c>
      <c r="X58" s="71">
        <f ca="1">+GETPIVOTDATA("XDB4",'dabac (2016)'!$A$3,"MA_HT","CSD","MA_QH","TMD")</f>
        <v>0</v>
      </c>
      <c r="Y58" s="71">
        <f ca="1">+GETPIVOTDATA("XDB4",'dabac (2016)'!$A$3,"MA_HT","CSD","MA_QH","SKC")</f>
        <v>0</v>
      </c>
      <c r="Z58" s="71">
        <f ca="1">+GETPIVOTDATA("XDB4",'dabac (2016)'!$A$3,"MA_HT","CSD","MA_QH","SKS")</f>
        <v>0</v>
      </c>
      <c r="AA58" s="52">
        <f ca="1" t="shared" si="21"/>
        <v>0</v>
      </c>
      <c r="AB58" s="80">
        <f ca="1">+GETPIVOTDATA("XDB4",'dabac (2016)'!$A$3,"MA_HT","CSD","MA_QH","DGT")</f>
        <v>0</v>
      </c>
      <c r="AC58" s="80">
        <f ca="1">+GETPIVOTDATA("XDB4",'dabac (2016)'!$A$3,"MA_HT","CSD","MA_QH","DTL")</f>
        <v>0</v>
      </c>
      <c r="AD58" s="80">
        <f ca="1">+GETPIVOTDATA("XDB4",'dabac (2016)'!$A$3,"MA_HT","CSD","MA_QH","DNL")</f>
        <v>0</v>
      </c>
      <c r="AE58" s="80">
        <f ca="1">+GETPIVOTDATA("XDB4",'dabac (2016)'!$A$3,"MA_HT","CSD","MA_QH","DBV")</f>
        <v>0</v>
      </c>
      <c r="AF58" s="80">
        <f ca="1">+GETPIVOTDATA("XDB4",'dabac (2016)'!$A$3,"MA_HT","CSD","MA_QH","DVH")</f>
        <v>0</v>
      </c>
      <c r="AG58" s="80">
        <f ca="1">+GETPIVOTDATA("XDB4",'dabac (2016)'!$A$3,"MA_HT","CSD","MA_QH","DYT")</f>
        <v>0</v>
      </c>
      <c r="AH58" s="80">
        <f ca="1">+GETPIVOTDATA("XDB4",'dabac (2016)'!$A$3,"MA_HT","CSD","MA_QH","DGD")</f>
        <v>0</v>
      </c>
      <c r="AI58" s="80">
        <f ca="1">+GETPIVOTDATA("XDB4",'dabac (2016)'!$A$3,"MA_HT","CSD","MA_QH","DTT")</f>
        <v>0</v>
      </c>
      <c r="AJ58" s="80">
        <f ca="1">+GETPIVOTDATA("XDB4",'dabac (2016)'!$A$3,"MA_HT","CSD","MA_QH","NCK")</f>
        <v>0</v>
      </c>
      <c r="AK58" s="80">
        <f ca="1">+GETPIVOTDATA("XDB4",'dabac (2016)'!$A$3,"MA_HT","CSD","MA_QH","DXH")</f>
        <v>0</v>
      </c>
      <c r="AL58" s="80">
        <f ca="1">+GETPIVOTDATA("XDB4",'dabac (2016)'!$A$3,"MA_HT","CSD","MA_QH","DCH")</f>
        <v>0</v>
      </c>
      <c r="AM58" s="80">
        <f ca="1">+GETPIVOTDATA("XDB4",'dabac (2016)'!$A$3,"MA_HT","CSD","MA_QH","DKG")</f>
        <v>0</v>
      </c>
      <c r="AN58" s="71">
        <f ca="1">+GETPIVOTDATA("XDB4",'dabac (2016)'!$A$3,"MA_HT","CSD","MA_QH","DDT")</f>
        <v>0</v>
      </c>
      <c r="AO58" s="71">
        <f ca="1">+GETPIVOTDATA("XDB4",'dabac (2016)'!$A$3,"MA_HT","CSD","MA_QH","DDL")</f>
        <v>0</v>
      </c>
      <c r="AP58" s="71">
        <f ca="1">+GETPIVOTDATA("XDB4",'dabac (2016)'!$A$3,"MA_HT","CSD","MA_QH","DRA")</f>
        <v>0</v>
      </c>
      <c r="AQ58" s="71">
        <f ca="1">+GETPIVOTDATA("XDB4",'dabac (2016)'!$A$3,"MA_HT","CSD","MA_QH","ONT")</f>
        <v>0</v>
      </c>
      <c r="AR58" s="71">
        <f ca="1">+GETPIVOTDATA("XDB4",'dabac (2016)'!$A$3,"MA_HT","CSD","MA_QH","ODT")</f>
        <v>0</v>
      </c>
      <c r="AS58" s="71">
        <f ca="1">+GETPIVOTDATA("XDB4",'dabac (2016)'!$A$3,"MA_HT","CSD","MA_QH","TSC")</f>
        <v>0</v>
      </c>
      <c r="AT58" s="71">
        <f ca="1">+GETPIVOTDATA("XDB4",'dabac (2016)'!$A$3,"MA_HT","CSD","MA_QH","DTS")</f>
        <v>0</v>
      </c>
      <c r="AU58" s="71">
        <f ca="1">+GETPIVOTDATA("XDB4",'dabac (2016)'!$A$3,"MA_HT","CSD","MA_QH","DNG")</f>
        <v>0</v>
      </c>
      <c r="AV58" s="71">
        <f ca="1">+GETPIVOTDATA("XDB4",'dabac (2016)'!$A$3,"MA_HT","CSD","MA_QH","TON")</f>
        <v>0</v>
      </c>
      <c r="AW58" s="71">
        <f ca="1">+GETPIVOTDATA("XDB4",'dabac (2016)'!$A$3,"MA_HT","CSD","MA_QH","NTD")</f>
        <v>0</v>
      </c>
      <c r="AX58" s="71">
        <f ca="1">+GETPIVOTDATA("XDB4",'dabac (2016)'!$A$3,"MA_HT","CSD","MA_QH","SKX")</f>
        <v>0</v>
      </c>
      <c r="AY58" s="71">
        <f ca="1">+GETPIVOTDATA("XDB4",'dabac (2016)'!$A$3,"MA_HT","CSD","MA_QH","DSH")</f>
        <v>0</v>
      </c>
      <c r="AZ58" s="71">
        <f ca="1">+GETPIVOTDATA("XDB4",'dabac (2016)'!$A$3,"MA_HT","CSD","MA_QH","DKV")</f>
        <v>0</v>
      </c>
      <c r="BA58" s="89">
        <f ca="1">+GETPIVOTDATA("XDB4",'dabac (2016)'!$A$3,"MA_HT","CSD","MA_QH","TIN")</f>
        <v>0</v>
      </c>
      <c r="BB58" s="80">
        <f ca="1">+GETPIVOTDATA("XDB4",'dabac (2016)'!$A$3,"MA_HT","CSD","MA_QH","SON")</f>
        <v>0</v>
      </c>
      <c r="BC58" s="80">
        <f ca="1">+GETPIVOTDATA("XDB4",'dabac (2016)'!$A$3,"MA_HT","CSD","MA_QH","MNC")</f>
        <v>0</v>
      </c>
      <c r="BD58" s="71">
        <f ca="1">+GETPIVOTDATA("XDB4",'dabac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 t="s">
        <v>752</v>
      </c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6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+GETPIVOTDATA("XKL4",'kimlong (2016)'!$A$3,"MA_HT","LUC","MA_QH","LUK")</f>
        <v>0</v>
      </c>
      <c r="I8" s="50">
        <f ca="1">+GETPIVOTDATA("XKL4",'kimlong (2016)'!$A$3,"MA_HT","LUC","MA_QH","LUN")</f>
        <v>0</v>
      </c>
      <c r="J8" s="50">
        <f ca="1">+GETPIVOTDATA("XKL4",'kimlong (2016)'!$A$3,"MA_HT","LUC","MA_QH","HNK")</f>
        <v>0</v>
      </c>
      <c r="K8" s="50">
        <f ca="1">+GETPIVOTDATA("XKL4",'kimlong (2016)'!$A$3,"MA_HT","LUC","MA_QH","CLN")</f>
        <v>0</v>
      </c>
      <c r="L8" s="50">
        <f ca="1">+GETPIVOTDATA("XKL4",'kimlong (2016)'!$A$3,"MA_HT","LUC","MA_QH","RSX")</f>
        <v>0</v>
      </c>
      <c r="M8" s="50">
        <f ca="1">+GETPIVOTDATA("XKL4",'kimlong (2016)'!$A$3,"MA_HT","LUC","MA_QH","RPH")</f>
        <v>0</v>
      </c>
      <c r="N8" s="50">
        <f ca="1">+GETPIVOTDATA("XKL4",'kimlong (2016)'!$A$3,"MA_HT","LUC","MA_QH","RDD")</f>
        <v>0</v>
      </c>
      <c r="O8" s="50">
        <f ca="1">+GETPIVOTDATA("XKL4",'kimlong (2016)'!$A$3,"MA_HT","LUC","MA_QH","NTS")</f>
        <v>0</v>
      </c>
      <c r="P8" s="50">
        <f ca="1">+GETPIVOTDATA("XKL4",'kimlong (2016)'!$A$3,"MA_HT","LUC","MA_QH","LMU")</f>
        <v>0</v>
      </c>
      <c r="Q8" s="50">
        <f ca="1">+GETPIVOTDATA("XKL4",'kimlong (2016)'!$A$3,"MA_HT","LUC","MA_QH","NKH")</f>
        <v>0</v>
      </c>
      <c r="R8" s="48">
        <f ca="1" t="shared" si="2"/>
        <v>0</v>
      </c>
      <c r="S8" s="50">
        <f ca="1">+GETPIVOTDATA("XKL4",'kimlong (2016)'!$A$3,"MA_HT","LUC","MA_QH","CQP")</f>
        <v>0</v>
      </c>
      <c r="T8" s="50">
        <f ca="1">+GETPIVOTDATA("XKL4",'kimlong (2016)'!$A$3,"MA_HT","LUC","MA_QH","CAN")</f>
        <v>0</v>
      </c>
      <c r="U8" s="50">
        <f ca="1">+GETPIVOTDATA("XKL4",'kimlong (2016)'!$A$3,"MA_HT","LUC","MA_QH","SKK")</f>
        <v>0</v>
      </c>
      <c r="V8" s="50">
        <f ca="1">+GETPIVOTDATA("XKL4",'kimlong (2016)'!$A$3,"MA_HT","LUC","MA_QH","SKT")</f>
        <v>0</v>
      </c>
      <c r="W8" s="50">
        <f ca="1">+GETPIVOTDATA("XKL4",'kimlong (2016)'!$A$3,"MA_HT","LUC","MA_QH","SKN")</f>
        <v>0</v>
      </c>
      <c r="X8" s="50">
        <f ca="1">+GETPIVOTDATA("XKL4",'kimlong (2016)'!$A$3,"MA_HT","LUC","MA_QH","TMD")</f>
        <v>0</v>
      </c>
      <c r="Y8" s="50">
        <f ca="1">+GETPIVOTDATA("XKL4",'kimlong (2016)'!$A$3,"MA_HT","LUC","MA_QH","SKC")</f>
        <v>0</v>
      </c>
      <c r="Z8" s="50">
        <f ca="1">+GETPIVOTDATA("XKL4",'kimlong (2016)'!$A$3,"MA_HT","LUC","MA_QH","SKS")</f>
        <v>0</v>
      </c>
      <c r="AA8" s="52">
        <f ca="1" t="shared" si="4"/>
        <v>0</v>
      </c>
      <c r="AB8" s="50">
        <f ca="1">+GETPIVOTDATA("XKL4",'kimlong (2016)'!$A$3,"MA_HT","LUC","MA_QH","DGT")</f>
        <v>0</v>
      </c>
      <c r="AC8" s="50">
        <f ca="1">+GETPIVOTDATA("XKL4",'kimlong (2016)'!$A$3,"MA_HT","LUC","MA_QH","DTL")</f>
        <v>0</v>
      </c>
      <c r="AD8" s="50">
        <f ca="1">+GETPIVOTDATA("XKL4",'kimlong (2016)'!$A$3,"MA_HT","LUC","MA_QH","DNL")</f>
        <v>0</v>
      </c>
      <c r="AE8" s="50">
        <f ca="1">+GETPIVOTDATA("XKL4",'kimlong (2016)'!$A$3,"MA_HT","LUC","MA_QH","DBV")</f>
        <v>0</v>
      </c>
      <c r="AF8" s="50">
        <f ca="1">+GETPIVOTDATA("XKL4",'kimlong (2016)'!$A$3,"MA_HT","LUC","MA_QH","DVH")</f>
        <v>0</v>
      </c>
      <c r="AG8" s="50">
        <f ca="1">+GETPIVOTDATA("XKL4",'kimlong (2016)'!$A$3,"MA_HT","LUC","MA_QH","DYT")</f>
        <v>0</v>
      </c>
      <c r="AH8" s="50">
        <f ca="1">+GETPIVOTDATA("XKL4",'kimlong (2016)'!$A$3,"MA_HT","LUC","MA_QH","DGD")</f>
        <v>0</v>
      </c>
      <c r="AI8" s="50">
        <f ca="1">+GETPIVOTDATA("XKL4",'kimlong (2016)'!$A$3,"MA_HT","LUC","MA_QH","DTT")</f>
        <v>0</v>
      </c>
      <c r="AJ8" s="50">
        <f ca="1">+GETPIVOTDATA("XKL4",'kimlong (2016)'!$A$3,"MA_HT","LUC","MA_QH","NCK")</f>
        <v>0</v>
      </c>
      <c r="AK8" s="50">
        <f ca="1">+GETPIVOTDATA("XKL4",'kimlong (2016)'!$A$3,"MA_HT","LUC","MA_QH","DXH")</f>
        <v>0</v>
      </c>
      <c r="AL8" s="50">
        <f ca="1">+GETPIVOTDATA("XKL4",'kimlong (2016)'!$A$3,"MA_HT","LUC","MA_QH","DCH")</f>
        <v>0</v>
      </c>
      <c r="AM8" s="50">
        <f ca="1">+GETPIVOTDATA("XKL4",'kimlong (2016)'!$A$3,"MA_HT","LUC","MA_QH","DKG")</f>
        <v>0</v>
      </c>
      <c r="AN8" s="50">
        <f ca="1">+GETPIVOTDATA("XKL4",'kimlong (2016)'!$A$3,"MA_HT","LUC","MA_QH","DDT")</f>
        <v>0</v>
      </c>
      <c r="AO8" s="50">
        <f ca="1">+GETPIVOTDATA("XKL4",'kimlong (2016)'!$A$3,"MA_HT","LUC","MA_QH","DDL")</f>
        <v>0</v>
      </c>
      <c r="AP8" s="50">
        <f ca="1">+GETPIVOTDATA("XKL4",'kimlong (2016)'!$A$3,"MA_HT","LUC","MA_QH","DRA")</f>
        <v>0</v>
      </c>
      <c r="AQ8" s="50">
        <f ca="1">+GETPIVOTDATA("XKL4",'kimlong (2016)'!$A$3,"MA_HT","LUC","MA_QH","ONT")</f>
        <v>0</v>
      </c>
      <c r="AR8" s="50">
        <f ca="1">+GETPIVOTDATA("XKL4",'kimlong (2016)'!$A$3,"MA_HT","LUC","MA_QH","ODT")</f>
        <v>0</v>
      </c>
      <c r="AS8" s="50">
        <f ca="1">+GETPIVOTDATA("XKL4",'kimlong (2016)'!$A$3,"MA_HT","LUC","MA_QH","TSC")</f>
        <v>0</v>
      </c>
      <c r="AT8" s="50">
        <f ca="1">+GETPIVOTDATA("XKL4",'kimlong (2016)'!$A$3,"MA_HT","LUC","MA_QH","DTS")</f>
        <v>0</v>
      </c>
      <c r="AU8" s="50">
        <f ca="1">+GETPIVOTDATA("XKL4",'kimlong (2016)'!$A$3,"MA_HT","LUC","MA_QH","DNG")</f>
        <v>0</v>
      </c>
      <c r="AV8" s="50">
        <f ca="1">+GETPIVOTDATA("XKL4",'kimlong (2016)'!$A$3,"MA_HT","LUC","MA_QH","TON")</f>
        <v>0</v>
      </c>
      <c r="AW8" s="50">
        <f ca="1">+GETPIVOTDATA("XKL4",'kimlong (2016)'!$A$3,"MA_HT","LUC","MA_QH","NTD")</f>
        <v>0</v>
      </c>
      <c r="AX8" s="50">
        <f ca="1">+GETPIVOTDATA("XKL4",'kimlong (2016)'!$A$3,"MA_HT","LUC","MA_QH","SKX")</f>
        <v>0</v>
      </c>
      <c r="AY8" s="50">
        <f ca="1">+GETPIVOTDATA("XKL4",'kimlong (2016)'!$A$3,"MA_HT","LUC","MA_QH","DSH")</f>
        <v>0</v>
      </c>
      <c r="AZ8" s="50">
        <f ca="1">+GETPIVOTDATA("XKL4",'kimlong (2016)'!$A$3,"MA_HT","LUC","MA_QH","DKV")</f>
        <v>0</v>
      </c>
      <c r="BA8" s="88">
        <f ca="1">+GETPIVOTDATA("XKL4",'kimlong (2016)'!$A$3,"MA_HT","LUC","MA_QH","TIN")</f>
        <v>0</v>
      </c>
      <c r="BB8" s="50">
        <f ca="1">+GETPIVOTDATA("XKL4",'kimlong (2016)'!$A$3,"MA_HT","LUC","MA_QH","SON")</f>
        <v>0</v>
      </c>
      <c r="BC8" s="50">
        <f ca="1">+GETPIVOTDATA("XKL4",'kimlong (2016)'!$A$3,"MA_HT","LUC","MA_QH","MNC")</f>
        <v>0</v>
      </c>
      <c r="BD8" s="50">
        <f ca="1">+GETPIVOTDATA("XKL4",'kimlong (2016)'!$A$3,"MA_HT","LUC","MA_QH","PNK")</f>
        <v>0</v>
      </c>
      <c r="BE8" s="80">
        <f ca="1">+GETPIVOTDATA("XKL4",'kimlong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+GETPIVOTDATA("XKL4",'kimlong (2016)'!$A$3,"MA_HT","LUK","MA_QH","LUC")</f>
        <v>0</v>
      </c>
      <c r="H9" s="49" t="e">
        <f ca="1">$D9-$BF9</f>
        <v>#REF!</v>
      </c>
      <c r="I9" s="50">
        <f ca="1">+GETPIVOTDATA("XKL4",'kimlong (2016)'!$A$3,"MA_HT","LUK","MA_QH","LUN")</f>
        <v>0</v>
      </c>
      <c r="J9" s="50">
        <f ca="1">+GETPIVOTDATA("XKL4",'kimlong (2016)'!$A$3,"MA_HT","LUK","MA_QH","HNK")</f>
        <v>0</v>
      </c>
      <c r="K9" s="50">
        <f ca="1">+GETPIVOTDATA("XKL4",'kimlong (2016)'!$A$3,"MA_HT","LUK","MA_QH","CLN")</f>
        <v>0</v>
      </c>
      <c r="L9" s="50">
        <f ca="1">+GETPIVOTDATA("XKL4",'kimlong (2016)'!$A$3,"MA_HT","LUK","MA_QH","RSX")</f>
        <v>0</v>
      </c>
      <c r="M9" s="50">
        <f ca="1">+GETPIVOTDATA("XKL4",'kimlong (2016)'!$A$3,"MA_HT","LUK","MA_QH","RPH")</f>
        <v>0</v>
      </c>
      <c r="N9" s="50">
        <f ca="1">+GETPIVOTDATA("XKL4",'kimlong (2016)'!$A$3,"MA_HT","LUK","MA_QH","RDD")</f>
        <v>0</v>
      </c>
      <c r="O9" s="50">
        <f ca="1">+GETPIVOTDATA("XKL4",'kimlong (2016)'!$A$3,"MA_HT","LUK","MA_QH","NTS")</f>
        <v>0</v>
      </c>
      <c r="P9" s="50">
        <f ca="1">+GETPIVOTDATA("XKL4",'kimlong (2016)'!$A$3,"MA_HT","LUK","MA_QH","LMU")</f>
        <v>0</v>
      </c>
      <c r="Q9" s="50">
        <f ca="1">+GETPIVOTDATA("XKL4",'kimlong (2016)'!$A$3,"MA_HT","LUK","MA_QH","NKH")</f>
        <v>0</v>
      </c>
      <c r="R9" s="48">
        <f ca="1" t="shared" si="2"/>
        <v>0</v>
      </c>
      <c r="S9" s="50">
        <f ca="1">+GETPIVOTDATA("XKL4",'kimlong (2016)'!$A$3,"MA_HT","LUK","MA_QH","CQP")</f>
        <v>0</v>
      </c>
      <c r="T9" s="50">
        <f ca="1">+GETPIVOTDATA("XKL4",'kimlong (2016)'!$A$3,"MA_HT","LUK","MA_QH","CAN")</f>
        <v>0</v>
      </c>
      <c r="U9" s="50">
        <f ca="1">+GETPIVOTDATA("XKL4",'kimlong (2016)'!$A$3,"MA_HT","LUK","MA_QH","SKK")</f>
        <v>0</v>
      </c>
      <c r="V9" s="50">
        <f ca="1">+GETPIVOTDATA("XKL4",'kimlong (2016)'!$A$3,"MA_HT","LUK","MA_QH","SKT")</f>
        <v>0</v>
      </c>
      <c r="W9" s="50">
        <f ca="1">+GETPIVOTDATA("XKL4",'kimlong (2016)'!$A$3,"MA_HT","LUK","MA_QH","SKN")</f>
        <v>0</v>
      </c>
      <c r="X9" s="50">
        <f ca="1">+GETPIVOTDATA("XKL4",'kimlong (2016)'!$A$3,"MA_HT","LUK","MA_QH","TMD")</f>
        <v>0</v>
      </c>
      <c r="Y9" s="50">
        <f ca="1">+GETPIVOTDATA("XKL4",'kimlong (2016)'!$A$3,"MA_HT","LUK","MA_QH","SKC")</f>
        <v>0</v>
      </c>
      <c r="Z9" s="50">
        <f ca="1">+GETPIVOTDATA("XKL4",'kimlong (2016)'!$A$3,"MA_HT","LUK","MA_QH","SKS")</f>
        <v>0</v>
      </c>
      <c r="AA9" s="52">
        <f ca="1" t="shared" si="4"/>
        <v>0</v>
      </c>
      <c r="AB9" s="50">
        <f ca="1">+GETPIVOTDATA("XKL4",'kimlong (2016)'!$A$3,"MA_HT","LUK","MA_QH","DGT")</f>
        <v>0</v>
      </c>
      <c r="AC9" s="50">
        <f ca="1">+GETPIVOTDATA("XKL4",'kimlong (2016)'!$A$3,"MA_HT","LUK","MA_QH","DTL")</f>
        <v>0</v>
      </c>
      <c r="AD9" s="50">
        <f ca="1">+GETPIVOTDATA("XKL4",'kimlong (2016)'!$A$3,"MA_HT","LUK","MA_QH","DNL")</f>
        <v>0</v>
      </c>
      <c r="AE9" s="50">
        <f ca="1">+GETPIVOTDATA("XKL4",'kimlong (2016)'!$A$3,"MA_HT","LUK","MA_QH","DBV")</f>
        <v>0</v>
      </c>
      <c r="AF9" s="50">
        <f ca="1">+GETPIVOTDATA("XKL4",'kimlong (2016)'!$A$3,"MA_HT","LUK","MA_QH","DVH")</f>
        <v>0</v>
      </c>
      <c r="AG9" s="50">
        <f ca="1">+GETPIVOTDATA("XKL4",'kimlong (2016)'!$A$3,"MA_HT","LUK","MA_QH","DYT")</f>
        <v>0</v>
      </c>
      <c r="AH9" s="50">
        <f ca="1">+GETPIVOTDATA("XKL4",'kimlong (2016)'!$A$3,"MA_HT","LUK","MA_QH","DGD")</f>
        <v>0</v>
      </c>
      <c r="AI9" s="50">
        <f ca="1">+GETPIVOTDATA("XKL4",'kimlong (2016)'!$A$3,"MA_HT","LUK","MA_QH","DTT")</f>
        <v>0</v>
      </c>
      <c r="AJ9" s="50">
        <f ca="1">+GETPIVOTDATA("XKL4",'kimlong (2016)'!$A$3,"MA_HT","LUK","MA_QH","NCK")</f>
        <v>0</v>
      </c>
      <c r="AK9" s="50">
        <f ca="1">+GETPIVOTDATA("XKL4",'kimlong (2016)'!$A$3,"MA_HT","LUK","MA_QH","DXH")</f>
        <v>0</v>
      </c>
      <c r="AL9" s="50">
        <f ca="1">+GETPIVOTDATA("XKL4",'kimlong (2016)'!$A$3,"MA_HT","LUK","MA_QH","DCH")</f>
        <v>0</v>
      </c>
      <c r="AM9" s="50">
        <f ca="1">+GETPIVOTDATA("XKL4",'kimlong (2016)'!$A$3,"MA_HT","LUK","MA_QH","DKG")</f>
        <v>0</v>
      </c>
      <c r="AN9" s="50">
        <f ca="1">+GETPIVOTDATA("XKL4",'kimlong (2016)'!$A$3,"MA_HT","LUK","MA_QH","DDT")</f>
        <v>0</v>
      </c>
      <c r="AO9" s="50">
        <f ca="1">+GETPIVOTDATA("XKL4",'kimlong (2016)'!$A$3,"MA_HT","LUK","MA_QH","DDL")</f>
        <v>0</v>
      </c>
      <c r="AP9" s="50">
        <f ca="1">+GETPIVOTDATA("XKL4",'kimlong (2016)'!$A$3,"MA_HT","LUK","MA_QH","DRA")</f>
        <v>0</v>
      </c>
      <c r="AQ9" s="50">
        <f ca="1">+GETPIVOTDATA("XKL4",'kimlong (2016)'!$A$3,"MA_HT","LUK","MA_QH","ONT")</f>
        <v>0</v>
      </c>
      <c r="AR9" s="50">
        <f ca="1">+GETPIVOTDATA("XKL4",'kimlong (2016)'!$A$3,"MA_HT","LUK","MA_QH","ODT")</f>
        <v>0</v>
      </c>
      <c r="AS9" s="50">
        <f ca="1">+GETPIVOTDATA("XKL4",'kimlong (2016)'!$A$3,"MA_HT","LUK","MA_QH","TSC")</f>
        <v>0</v>
      </c>
      <c r="AT9" s="50">
        <f ca="1">+GETPIVOTDATA("XKL4",'kimlong (2016)'!$A$3,"MA_HT","LUK","MA_QH","DTS")</f>
        <v>0</v>
      </c>
      <c r="AU9" s="50">
        <f ca="1">+GETPIVOTDATA("XKL4",'kimlong (2016)'!$A$3,"MA_HT","LUK","MA_QH","DNG")</f>
        <v>0</v>
      </c>
      <c r="AV9" s="50">
        <f ca="1">+GETPIVOTDATA("XKL4",'kimlong (2016)'!$A$3,"MA_HT","LUK","MA_QH","TON")</f>
        <v>0</v>
      </c>
      <c r="AW9" s="50">
        <f ca="1">+GETPIVOTDATA("XKL4",'kimlong (2016)'!$A$3,"MA_HT","LUK","MA_QH","NTD")</f>
        <v>0</v>
      </c>
      <c r="AX9" s="50">
        <f ca="1">+GETPIVOTDATA("XKL4",'kimlong (2016)'!$A$3,"MA_HT","LUK","MA_QH","SKX")</f>
        <v>0</v>
      </c>
      <c r="AY9" s="50">
        <f ca="1">+GETPIVOTDATA("XKL4",'kimlong (2016)'!$A$3,"MA_HT","LUK","MA_QH","DSH")</f>
        <v>0</v>
      </c>
      <c r="AZ9" s="50">
        <f ca="1">+GETPIVOTDATA("XKL4",'kimlong (2016)'!$A$3,"MA_HT","LUK","MA_QH","DKV")</f>
        <v>0</v>
      </c>
      <c r="BA9" s="88">
        <f ca="1">+GETPIVOTDATA("XKL4",'kimlong (2016)'!$A$3,"MA_HT","LUK","MA_QH","TIN")</f>
        <v>0</v>
      </c>
      <c r="BB9" s="50">
        <f ca="1">+GETPIVOTDATA("XKL4",'kimlong (2016)'!$A$3,"MA_HT","LUK","MA_QH","SON")</f>
        <v>0</v>
      </c>
      <c r="BC9" s="50">
        <f ca="1">+GETPIVOTDATA("XKL4",'kimlong (2016)'!$A$3,"MA_HT","LUK","MA_QH","MNC")</f>
        <v>0</v>
      </c>
      <c r="BD9" s="50">
        <f ca="1">+GETPIVOTDATA("XKL4",'kimlong (2016)'!$A$3,"MA_HT","LUK","MA_QH","PNK")</f>
        <v>0</v>
      </c>
      <c r="BE9" s="80">
        <f ca="1">+GETPIVOTDATA("XKL4",'kimlong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+GETPIVOTDATA("XKL4",'kimlong (2016)'!$A$3,"MA_HT","LUN","MA_QH","LUC")</f>
        <v>0</v>
      </c>
      <c r="H10" s="50">
        <f ca="1">+GETPIVOTDATA("XKL4",'kimlong (2016)'!$A$3,"MA_HT","LUN","MA_QH","LUK")</f>
        <v>0</v>
      </c>
      <c r="I10" s="49" t="e">
        <f ca="1">$D10-$BF10</f>
        <v>#REF!</v>
      </c>
      <c r="J10" s="50">
        <f ca="1">+GETPIVOTDATA("XKL4",'kimlong (2016)'!$A$3,"MA_HT","LUN","MA_QH","HNK")</f>
        <v>0</v>
      </c>
      <c r="K10" s="50">
        <f ca="1">+GETPIVOTDATA("XKL4",'kimlong (2016)'!$A$3,"MA_HT","LUN","MA_QH","CLN")</f>
        <v>0</v>
      </c>
      <c r="L10" s="50">
        <f ca="1">+GETPIVOTDATA("XKL4",'kimlong (2016)'!$A$3,"MA_HT","LUN","MA_QH","RSX")</f>
        <v>0</v>
      </c>
      <c r="M10" s="50">
        <f ca="1">+GETPIVOTDATA("XKL4",'kimlong (2016)'!$A$3,"MA_HT","LUN","MA_QH","RPH")</f>
        <v>0</v>
      </c>
      <c r="N10" s="50">
        <f ca="1">+GETPIVOTDATA("XKL4",'kimlong (2016)'!$A$3,"MA_HT","LUN","MA_QH","RDD")</f>
        <v>0</v>
      </c>
      <c r="O10" s="50">
        <f ca="1">+GETPIVOTDATA("XKL4",'kimlong (2016)'!$A$3,"MA_HT","LUN","MA_QH","NTS")</f>
        <v>0</v>
      </c>
      <c r="P10" s="50">
        <f ca="1">+GETPIVOTDATA("XKL4",'kimlong (2016)'!$A$3,"MA_HT","LUN","MA_QH","LMU")</f>
        <v>0</v>
      </c>
      <c r="Q10" s="50">
        <f ca="1">+GETPIVOTDATA("XKL4",'kimlong (2016)'!$A$3,"MA_HT","LUN","MA_QH","NKH")</f>
        <v>0</v>
      </c>
      <c r="R10" s="48">
        <f ca="1" t="shared" si="2"/>
        <v>0</v>
      </c>
      <c r="S10" s="50">
        <f ca="1">+GETPIVOTDATA("XKL4",'kimlong (2016)'!$A$3,"MA_HT","LUN","MA_QH","CQP")</f>
        <v>0</v>
      </c>
      <c r="T10" s="50">
        <f ca="1">+GETPIVOTDATA("XKL4",'kimlong (2016)'!$A$3,"MA_HT","LUN","MA_QH","CAN")</f>
        <v>0</v>
      </c>
      <c r="U10" s="50">
        <f ca="1">+GETPIVOTDATA("XKL4",'kimlong (2016)'!$A$3,"MA_HT","LUN","MA_QH","SKK")</f>
        <v>0</v>
      </c>
      <c r="V10" s="50">
        <f ca="1">+GETPIVOTDATA("XKL4",'kimlong (2016)'!$A$3,"MA_HT","LUN","MA_QH","SKT")</f>
        <v>0</v>
      </c>
      <c r="W10" s="50">
        <f ca="1">+GETPIVOTDATA("XKL4",'kimlong (2016)'!$A$3,"MA_HT","LUN","MA_QH","SKN")</f>
        <v>0</v>
      </c>
      <c r="X10" s="50">
        <f ca="1">+GETPIVOTDATA("XKL4",'kimlong (2016)'!$A$3,"MA_HT","LUN","MA_QH","TMD")</f>
        <v>0</v>
      </c>
      <c r="Y10" s="50">
        <f ca="1">+GETPIVOTDATA("XKL4",'kimlong (2016)'!$A$3,"MA_HT","LUN","MA_QH","SKC")</f>
        <v>0</v>
      </c>
      <c r="Z10" s="50">
        <f ca="1">+GETPIVOTDATA("XKL4",'kimlong (2016)'!$A$3,"MA_HT","LUN","MA_QH","SKS")</f>
        <v>0</v>
      </c>
      <c r="AA10" s="52">
        <f ca="1" t="shared" si="4"/>
        <v>0</v>
      </c>
      <c r="AB10" s="50">
        <f ca="1">+GETPIVOTDATA("XKL4",'kimlong (2016)'!$A$3,"MA_HT","LUN","MA_QH","DGT")</f>
        <v>0</v>
      </c>
      <c r="AC10" s="50">
        <f ca="1">+GETPIVOTDATA("XKL4",'kimlong (2016)'!$A$3,"MA_HT","LUN","MA_QH","DTL")</f>
        <v>0</v>
      </c>
      <c r="AD10" s="50">
        <f ca="1">+GETPIVOTDATA("XKL4",'kimlong (2016)'!$A$3,"MA_HT","LUN","MA_QH","DNL")</f>
        <v>0</v>
      </c>
      <c r="AE10" s="50">
        <f ca="1">+GETPIVOTDATA("XKL4",'kimlong (2016)'!$A$3,"MA_HT","LUN","MA_QH","DBV")</f>
        <v>0</v>
      </c>
      <c r="AF10" s="50">
        <f ca="1">+GETPIVOTDATA("XKL4",'kimlong (2016)'!$A$3,"MA_HT","LUN","MA_QH","DVH")</f>
        <v>0</v>
      </c>
      <c r="AG10" s="50">
        <f ca="1">+GETPIVOTDATA("XKL4",'kimlong (2016)'!$A$3,"MA_HT","LUN","MA_QH","DYT")</f>
        <v>0</v>
      </c>
      <c r="AH10" s="50">
        <f ca="1">+GETPIVOTDATA("XKL4",'kimlong (2016)'!$A$3,"MA_HT","LUN","MA_QH","DGD")</f>
        <v>0</v>
      </c>
      <c r="AI10" s="50">
        <f ca="1">+GETPIVOTDATA("XKL4",'kimlong (2016)'!$A$3,"MA_HT","LUN","MA_QH","DTT")</f>
        <v>0</v>
      </c>
      <c r="AJ10" s="50">
        <f ca="1">+GETPIVOTDATA("XKL4",'kimlong (2016)'!$A$3,"MA_HT","LUN","MA_QH","NCK")</f>
        <v>0</v>
      </c>
      <c r="AK10" s="50">
        <f ca="1">+GETPIVOTDATA("XKL4",'kimlong (2016)'!$A$3,"MA_HT","LUN","MA_QH","DXH")</f>
        <v>0</v>
      </c>
      <c r="AL10" s="50">
        <f ca="1">+GETPIVOTDATA("XKL4",'kimlong (2016)'!$A$3,"MA_HT","LUN","MA_QH","DCH")</f>
        <v>0</v>
      </c>
      <c r="AM10" s="50">
        <f ca="1">+GETPIVOTDATA("XKL4",'kimlong (2016)'!$A$3,"MA_HT","LUN","MA_QH","DKG")</f>
        <v>0</v>
      </c>
      <c r="AN10" s="50">
        <f ca="1">+GETPIVOTDATA("XKL4",'kimlong (2016)'!$A$3,"MA_HT","LUN","MA_QH","DDT")</f>
        <v>0</v>
      </c>
      <c r="AO10" s="50">
        <f ca="1">+GETPIVOTDATA("XKL4",'kimlong (2016)'!$A$3,"MA_HT","LUN","MA_QH","DDL")</f>
        <v>0</v>
      </c>
      <c r="AP10" s="50">
        <f ca="1">+GETPIVOTDATA("XKL4",'kimlong (2016)'!$A$3,"MA_HT","LUN","MA_QH","DRA")</f>
        <v>0</v>
      </c>
      <c r="AQ10" s="50">
        <f ca="1">+GETPIVOTDATA("XKL4",'kimlong (2016)'!$A$3,"MA_HT","LUN","MA_QH","ONT")</f>
        <v>0</v>
      </c>
      <c r="AR10" s="50">
        <f ca="1">+GETPIVOTDATA("XKL4",'kimlong (2016)'!$A$3,"MA_HT","LUN","MA_QH","ODT")</f>
        <v>0</v>
      </c>
      <c r="AS10" s="50">
        <f ca="1">+GETPIVOTDATA("XKL4",'kimlong (2016)'!$A$3,"MA_HT","LUN","MA_QH","TSC")</f>
        <v>0</v>
      </c>
      <c r="AT10" s="50">
        <f ca="1">+GETPIVOTDATA("XKL4",'kimlong (2016)'!$A$3,"MA_HT","LUN","MA_QH","DTS")</f>
        <v>0</v>
      </c>
      <c r="AU10" s="50">
        <f ca="1">+GETPIVOTDATA("XKL4",'kimlong (2016)'!$A$3,"MA_HT","LUN","MA_QH","DNG")</f>
        <v>0</v>
      </c>
      <c r="AV10" s="50">
        <f ca="1">+GETPIVOTDATA("XKL4",'kimlong (2016)'!$A$3,"MA_HT","LUN","MA_QH","TON")</f>
        <v>0</v>
      </c>
      <c r="AW10" s="50">
        <f ca="1">+GETPIVOTDATA("XKL4",'kimlong (2016)'!$A$3,"MA_HT","LUN","MA_QH","NTD")</f>
        <v>0</v>
      </c>
      <c r="AX10" s="50">
        <f ca="1">+GETPIVOTDATA("XKL4",'kimlong (2016)'!$A$3,"MA_HT","LUN","MA_QH","SKX")</f>
        <v>0</v>
      </c>
      <c r="AY10" s="50">
        <f ca="1">+GETPIVOTDATA("XKL4",'kimlong (2016)'!$A$3,"MA_HT","LUN","MA_QH","DSH")</f>
        <v>0</v>
      </c>
      <c r="AZ10" s="50">
        <f ca="1">+GETPIVOTDATA("XKL4",'kimlong (2016)'!$A$3,"MA_HT","LUN","MA_QH","DKV")</f>
        <v>0</v>
      </c>
      <c r="BA10" s="88">
        <f ca="1">+GETPIVOTDATA("XKL4",'kimlong (2016)'!$A$3,"MA_HT","LUN","MA_QH","TIN")</f>
        <v>0</v>
      </c>
      <c r="BB10" s="50">
        <f ca="1">+GETPIVOTDATA("XKL4",'kimlong (2016)'!$A$3,"MA_HT","LUN","MA_QH","SON")</f>
        <v>0</v>
      </c>
      <c r="BC10" s="50">
        <f ca="1">+GETPIVOTDATA("XKL4",'kimlong (2016)'!$A$3,"MA_HT","LUN","MA_QH","MNC")</f>
        <v>0</v>
      </c>
      <c r="BD10" s="50">
        <f ca="1">+GETPIVOTDATA("XKL4",'kimlong (2016)'!$A$3,"MA_HT","LUN","MA_QH","PNK")</f>
        <v>0</v>
      </c>
      <c r="BE10" s="80">
        <f ca="1">+GETPIVOTDATA("XKL4",'kimlong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+GETPIVOTDATA("XKL4",'kimlong (2016)'!$A$3,"MA_HT","HNK","MA_QH","LUC")</f>
        <v>0</v>
      </c>
      <c r="H11" s="22">
        <f ca="1">+GETPIVOTDATA("XKL4",'kimlong (2016)'!$A$3,"MA_HT","HNK","MA_QH","LUK")</f>
        <v>0</v>
      </c>
      <c r="I11" s="22">
        <f ca="1">+GETPIVOTDATA("XKL4",'kimlong (2016)'!$A$3,"MA_HT","HNK","MA_QH","LUN")</f>
        <v>0</v>
      </c>
      <c r="J11" s="43" t="e">
        <f ca="1">$D11-$BF11</f>
        <v>#REF!</v>
      </c>
      <c r="K11" s="22">
        <f ca="1">+GETPIVOTDATA("XKL4",'kimlong (2016)'!$A$3,"MA_HT","HNK","MA_QH","CLN")</f>
        <v>0</v>
      </c>
      <c r="L11" s="22">
        <f ca="1">+GETPIVOTDATA("XKL4",'kimlong (2016)'!$A$3,"MA_HT","HNK","MA_QH","RSX")</f>
        <v>0</v>
      </c>
      <c r="M11" s="22">
        <f ca="1">+GETPIVOTDATA("XKL4",'kimlong (2016)'!$A$3,"MA_HT","HNK","MA_QH","RPH")</f>
        <v>0</v>
      </c>
      <c r="N11" s="22">
        <f ca="1">+GETPIVOTDATA("XKL4",'kimlong (2016)'!$A$3,"MA_HT","HNK","MA_QH","RDD")</f>
        <v>0</v>
      </c>
      <c r="O11" s="22">
        <f ca="1">+GETPIVOTDATA("XKL4",'kimlong (2016)'!$A$3,"MA_HT","HNK","MA_QH","NTS")</f>
        <v>0</v>
      </c>
      <c r="P11" s="22">
        <f ca="1">+GETPIVOTDATA("XKL4",'kimlong (2016)'!$A$3,"MA_HT","HNK","MA_QH","LMU")</f>
        <v>0</v>
      </c>
      <c r="Q11" s="22">
        <f ca="1">+GETPIVOTDATA("XKL4",'kimlong (2016)'!$A$3,"MA_HT","HNK","MA_QH","NKH")</f>
        <v>0</v>
      </c>
      <c r="R11" s="42">
        <f ca="1" t="shared" si="2"/>
        <v>0</v>
      </c>
      <c r="S11" s="22">
        <f ca="1">+GETPIVOTDATA("XKL4",'kimlong (2016)'!$A$3,"MA_HT","HNK","MA_QH","CQP")</f>
        <v>0</v>
      </c>
      <c r="T11" s="22">
        <f ca="1">+GETPIVOTDATA("XKL4",'kimlong (2016)'!$A$3,"MA_HT","HNK","MA_QH","CAN")</f>
        <v>0</v>
      </c>
      <c r="U11" s="22">
        <f ca="1">+GETPIVOTDATA("XKL4",'kimlong (2016)'!$A$3,"MA_HT","HNK","MA_QH","SKK")</f>
        <v>0</v>
      </c>
      <c r="V11" s="22">
        <f ca="1">+GETPIVOTDATA("XKL4",'kimlong (2016)'!$A$3,"MA_HT","HNK","MA_QH","SKT")</f>
        <v>0</v>
      </c>
      <c r="W11" s="22">
        <f ca="1">+GETPIVOTDATA("XKL4",'kimlong (2016)'!$A$3,"MA_HT","HNK","MA_QH","SKN")</f>
        <v>0</v>
      </c>
      <c r="X11" s="22">
        <f ca="1">+GETPIVOTDATA("XKL4",'kimlong (2016)'!$A$3,"MA_HT","HNK","MA_QH","TMD")</f>
        <v>0</v>
      </c>
      <c r="Y11" s="22">
        <f ca="1">+GETPIVOTDATA("XKL4",'kimlong (2016)'!$A$3,"MA_HT","HNK","MA_QH","SKC")</f>
        <v>0</v>
      </c>
      <c r="Z11" s="22">
        <f ca="1">+GETPIVOTDATA("XKL4",'kimlong (2016)'!$A$3,"MA_HT","HNK","MA_QH","SKS")</f>
        <v>0</v>
      </c>
      <c r="AA11" s="52">
        <f ca="1" t="shared" si="4"/>
        <v>0</v>
      </c>
      <c r="AB11" s="22">
        <f ca="1">+GETPIVOTDATA("XKL4",'kimlong (2016)'!$A$3,"MA_HT","HNK","MA_QH","DGT")</f>
        <v>0</v>
      </c>
      <c r="AC11" s="22">
        <f ca="1">+GETPIVOTDATA("XKL4",'kimlong (2016)'!$A$3,"MA_HT","HNK","MA_QH","DTL")</f>
        <v>0</v>
      </c>
      <c r="AD11" s="22">
        <f ca="1">+GETPIVOTDATA("XKL4",'kimlong (2016)'!$A$3,"MA_HT","HNK","MA_QH","DNL")</f>
        <v>0</v>
      </c>
      <c r="AE11" s="22">
        <f ca="1">+GETPIVOTDATA("XKL4",'kimlong (2016)'!$A$3,"MA_HT","HNK","MA_QH","DBV")</f>
        <v>0</v>
      </c>
      <c r="AF11" s="22">
        <f ca="1">+GETPIVOTDATA("XKL4",'kimlong (2016)'!$A$3,"MA_HT","HNK","MA_QH","DVH")</f>
        <v>0</v>
      </c>
      <c r="AG11" s="22">
        <f ca="1">+GETPIVOTDATA("XKL4",'kimlong (2016)'!$A$3,"MA_HT","HNK","MA_QH","DYT")</f>
        <v>0</v>
      </c>
      <c r="AH11" s="22">
        <f ca="1">+GETPIVOTDATA("XKL4",'kimlong (2016)'!$A$3,"MA_HT","HNK","MA_QH","DGD")</f>
        <v>0</v>
      </c>
      <c r="AI11" s="22">
        <f ca="1">+GETPIVOTDATA("XKL4",'kimlong (2016)'!$A$3,"MA_HT","HNK","MA_QH","DTT")</f>
        <v>0</v>
      </c>
      <c r="AJ11" s="22">
        <f ca="1">+GETPIVOTDATA("XKL4",'kimlong (2016)'!$A$3,"MA_HT","HNK","MA_QH","NCK")</f>
        <v>0</v>
      </c>
      <c r="AK11" s="22">
        <f ca="1">+GETPIVOTDATA("XKL4",'kimlong (2016)'!$A$3,"MA_HT","HNK","MA_QH","DXH")</f>
        <v>0</v>
      </c>
      <c r="AL11" s="22">
        <f ca="1">+GETPIVOTDATA("XKL4",'kimlong (2016)'!$A$3,"MA_HT","HNK","MA_QH","DCH")</f>
        <v>0</v>
      </c>
      <c r="AM11" s="22">
        <f ca="1">+GETPIVOTDATA("XKL4",'kimlong (2016)'!$A$3,"MA_HT","HNK","MA_QH","DKG")</f>
        <v>0</v>
      </c>
      <c r="AN11" s="22">
        <f ca="1">+GETPIVOTDATA("XKL4",'kimlong (2016)'!$A$3,"MA_HT","HNK","MA_QH","DDT")</f>
        <v>0</v>
      </c>
      <c r="AO11" s="22">
        <f ca="1">+GETPIVOTDATA("XKL4",'kimlong (2016)'!$A$3,"MA_HT","HNK","MA_QH","DDL")</f>
        <v>0</v>
      </c>
      <c r="AP11" s="22">
        <f ca="1">+GETPIVOTDATA("XKL4",'kimlong (2016)'!$A$3,"MA_HT","HNK","MA_QH","DRA")</f>
        <v>0</v>
      </c>
      <c r="AQ11" s="22">
        <f ca="1">+GETPIVOTDATA("XKL4",'kimlong (2016)'!$A$3,"MA_HT","HNK","MA_QH","ONT")</f>
        <v>0</v>
      </c>
      <c r="AR11" s="22">
        <f ca="1">+GETPIVOTDATA("XKL4",'kimlong (2016)'!$A$3,"MA_HT","HNK","MA_QH","ODT")</f>
        <v>0</v>
      </c>
      <c r="AS11" s="22">
        <f ca="1">+GETPIVOTDATA("XKL4",'kimlong (2016)'!$A$3,"MA_HT","HNK","MA_QH","TSC")</f>
        <v>0</v>
      </c>
      <c r="AT11" s="22">
        <f ca="1">+GETPIVOTDATA("XKL4",'kimlong (2016)'!$A$3,"MA_HT","HNK","MA_QH","DTS")</f>
        <v>0</v>
      </c>
      <c r="AU11" s="22">
        <f ca="1">+GETPIVOTDATA("XKL4",'kimlong (2016)'!$A$3,"MA_HT","HNK","MA_QH","DNG")</f>
        <v>0</v>
      </c>
      <c r="AV11" s="22">
        <f ca="1">+GETPIVOTDATA("XKL4",'kimlong (2016)'!$A$3,"MA_HT","HNK","MA_QH","TON")</f>
        <v>0</v>
      </c>
      <c r="AW11" s="22">
        <f ca="1">+GETPIVOTDATA("XKL4",'kimlong (2016)'!$A$3,"MA_HT","HNK","MA_QH","NTD")</f>
        <v>0</v>
      </c>
      <c r="AX11" s="22">
        <f ca="1">+GETPIVOTDATA("XKL4",'kimlong (2016)'!$A$3,"MA_HT","HNK","MA_QH","SKX")</f>
        <v>0</v>
      </c>
      <c r="AY11" s="22">
        <f ca="1">+GETPIVOTDATA("XKL4",'kimlong (2016)'!$A$3,"MA_HT","HNK","MA_QH","DSH")</f>
        <v>0</v>
      </c>
      <c r="AZ11" s="22">
        <f ca="1">+GETPIVOTDATA("XKL4",'kimlong (2016)'!$A$3,"MA_HT","HNK","MA_QH","DKV")</f>
        <v>0</v>
      </c>
      <c r="BA11" s="89">
        <f ca="1">+GETPIVOTDATA("XKL4",'kimlong (2016)'!$A$3,"MA_HT","HNK","MA_QH","TIN")</f>
        <v>0</v>
      </c>
      <c r="BB11" s="50">
        <f ca="1">+GETPIVOTDATA("XKL4",'kimlong (2016)'!$A$3,"MA_HT","HNK","MA_QH","SON")</f>
        <v>0</v>
      </c>
      <c r="BC11" s="50">
        <f ca="1">+GETPIVOTDATA("XKL4",'kimlong (2016)'!$A$3,"MA_HT","HNK","MA_QH","MNC")</f>
        <v>0</v>
      </c>
      <c r="BD11" s="22">
        <f ca="1">+GETPIVOTDATA("XKL4",'kimlong (2016)'!$A$3,"MA_HT","HNK","MA_QH","PNK")</f>
        <v>0</v>
      </c>
      <c r="BE11" s="71">
        <f ca="1">+GETPIVOTDATA("XKL4",'kimlong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+GETPIVOTDATA("XKL4",'kimlong (2016)'!$A$3,"MA_HT","CLN","MA_QH","LUC")</f>
        <v>0</v>
      </c>
      <c r="H12" s="22">
        <f ca="1">+GETPIVOTDATA("XKL4",'kimlong (2016)'!$A$3,"MA_HT","CLN","MA_QH","LUK")</f>
        <v>0</v>
      </c>
      <c r="I12" s="22">
        <f ca="1">+GETPIVOTDATA("XKL4",'kimlong (2016)'!$A$3,"MA_HT","CLN","MA_QH","LUN")</f>
        <v>0</v>
      </c>
      <c r="J12" s="22">
        <f ca="1">+GETPIVOTDATA("XKL4",'kimlong (2016)'!$A$3,"MA_HT","CLN","MA_QH","HNK")</f>
        <v>0</v>
      </c>
      <c r="K12" s="43" t="e">
        <f ca="1">$D12-$BF12</f>
        <v>#REF!</v>
      </c>
      <c r="L12" s="22">
        <f ca="1">+GETPIVOTDATA("XKL4",'kimlong (2016)'!$A$3,"MA_HT","CLN","MA_QH","RSX")</f>
        <v>0</v>
      </c>
      <c r="M12" s="22">
        <f ca="1">+GETPIVOTDATA("XKL4",'kimlong (2016)'!$A$3,"MA_HT","CLN","MA_QH","RPH")</f>
        <v>0</v>
      </c>
      <c r="N12" s="22">
        <f ca="1">+GETPIVOTDATA("XKL4",'kimlong (2016)'!$A$3,"MA_HT","CLN","MA_QH","RDD")</f>
        <v>0</v>
      </c>
      <c r="O12" s="22">
        <f ca="1">+GETPIVOTDATA("XKL4",'kimlong (2016)'!$A$3,"MA_HT","CLN","MA_QH","NTS")</f>
        <v>0</v>
      </c>
      <c r="P12" s="22">
        <f ca="1">+GETPIVOTDATA("XKL4",'kimlong (2016)'!$A$3,"MA_HT","CLN","MA_QH","LMU")</f>
        <v>0</v>
      </c>
      <c r="Q12" s="22">
        <f ca="1">+GETPIVOTDATA("XKL4",'kimlong (2016)'!$A$3,"MA_HT","CLN","MA_QH","NKH")</f>
        <v>0</v>
      </c>
      <c r="R12" s="42">
        <f ca="1" t="shared" si="2"/>
        <v>0</v>
      </c>
      <c r="S12" s="22">
        <f ca="1">+GETPIVOTDATA("XKL4",'kimlong (2016)'!$A$3,"MA_HT","CLN","MA_QH","CQP")</f>
        <v>0</v>
      </c>
      <c r="T12" s="22">
        <f ca="1">+GETPIVOTDATA("XKL4",'kimlong (2016)'!$A$3,"MA_HT","CLN","MA_QH","CAN")</f>
        <v>0</v>
      </c>
      <c r="U12" s="22">
        <f ca="1">+GETPIVOTDATA("XKL4",'kimlong (2016)'!$A$3,"MA_HT","CLN","MA_QH","SKK")</f>
        <v>0</v>
      </c>
      <c r="V12" s="22">
        <f ca="1">+GETPIVOTDATA("XKL4",'kimlong (2016)'!$A$3,"MA_HT","CLN","MA_QH","SKT")</f>
        <v>0</v>
      </c>
      <c r="W12" s="22">
        <f ca="1">+GETPIVOTDATA("XKL4",'kimlong (2016)'!$A$3,"MA_HT","CLN","MA_QH","SKN")</f>
        <v>0</v>
      </c>
      <c r="X12" s="22">
        <f ca="1">+GETPIVOTDATA("XKL4",'kimlong (2016)'!$A$3,"MA_HT","CLN","MA_QH","TMD")</f>
        <v>0</v>
      </c>
      <c r="Y12" s="22">
        <f ca="1">+GETPIVOTDATA("XKL4",'kimlong (2016)'!$A$3,"MA_HT","CLN","MA_QH","SKC")</f>
        <v>0</v>
      </c>
      <c r="Z12" s="22">
        <f ca="1">+GETPIVOTDATA("XKL4",'kimlong (2016)'!$A$3,"MA_HT","CLN","MA_QH","SKS")</f>
        <v>0</v>
      </c>
      <c r="AA12" s="52">
        <f ca="1" t="shared" si="4"/>
        <v>0</v>
      </c>
      <c r="AB12" s="22">
        <f ca="1">+GETPIVOTDATA("XKL4",'kimlong (2016)'!$A$3,"MA_HT","CLN","MA_QH","DGT")</f>
        <v>0</v>
      </c>
      <c r="AC12" s="22">
        <f ca="1">+GETPIVOTDATA("XKL4",'kimlong (2016)'!$A$3,"MA_HT","CLN","MA_QH","DTL")</f>
        <v>0</v>
      </c>
      <c r="AD12" s="22">
        <f ca="1">+GETPIVOTDATA("XKL4",'kimlong (2016)'!$A$3,"MA_HT","CLN","MA_QH","DNL")</f>
        <v>0</v>
      </c>
      <c r="AE12" s="22">
        <f ca="1">+GETPIVOTDATA("XKL4",'kimlong (2016)'!$A$3,"MA_HT","CLN","MA_QH","DBV")</f>
        <v>0</v>
      </c>
      <c r="AF12" s="22">
        <f ca="1">+GETPIVOTDATA("XKL4",'kimlong (2016)'!$A$3,"MA_HT","CLN","MA_QH","DVH")</f>
        <v>0</v>
      </c>
      <c r="AG12" s="22">
        <f ca="1">+GETPIVOTDATA("XKL4",'kimlong (2016)'!$A$3,"MA_HT","CLN","MA_QH","DYT")</f>
        <v>0</v>
      </c>
      <c r="AH12" s="22">
        <f ca="1">+GETPIVOTDATA("XKL4",'kimlong (2016)'!$A$3,"MA_HT","CLN","MA_QH","DGD")</f>
        <v>0</v>
      </c>
      <c r="AI12" s="22">
        <f ca="1">+GETPIVOTDATA("XKL4",'kimlong (2016)'!$A$3,"MA_HT","CLN","MA_QH","DTT")</f>
        <v>0</v>
      </c>
      <c r="AJ12" s="22">
        <f ca="1">+GETPIVOTDATA("XKL4",'kimlong (2016)'!$A$3,"MA_HT","CLN","MA_QH","NCK")</f>
        <v>0</v>
      </c>
      <c r="AK12" s="22">
        <f ca="1">+GETPIVOTDATA("XKL4",'kimlong (2016)'!$A$3,"MA_HT","CLN","MA_QH","DXH")</f>
        <v>0</v>
      </c>
      <c r="AL12" s="22">
        <f ca="1">+GETPIVOTDATA("XKL4",'kimlong (2016)'!$A$3,"MA_HT","CLN","MA_QH","DCH")</f>
        <v>0</v>
      </c>
      <c r="AM12" s="22">
        <f ca="1">+GETPIVOTDATA("XKL4",'kimlong (2016)'!$A$3,"MA_HT","CLN","MA_QH","DKG")</f>
        <v>0</v>
      </c>
      <c r="AN12" s="22">
        <f ca="1">+GETPIVOTDATA("XKL4",'kimlong (2016)'!$A$3,"MA_HT","CLN","MA_QH","DDT")</f>
        <v>0</v>
      </c>
      <c r="AO12" s="22">
        <f ca="1">+GETPIVOTDATA("XKL4",'kimlong (2016)'!$A$3,"MA_HT","CLN","MA_QH","DDL")</f>
        <v>0</v>
      </c>
      <c r="AP12" s="22">
        <f ca="1">+GETPIVOTDATA("XKL4",'kimlong (2016)'!$A$3,"MA_HT","CLN","MA_QH","DRA")</f>
        <v>0</v>
      </c>
      <c r="AQ12" s="22">
        <f ca="1">+GETPIVOTDATA("XKL4",'kimlong (2016)'!$A$3,"MA_HT","CLN","MA_QH","ONT")</f>
        <v>0</v>
      </c>
      <c r="AR12" s="22">
        <f ca="1">+GETPIVOTDATA("XKL4",'kimlong (2016)'!$A$3,"MA_HT","CLN","MA_QH","ODT")</f>
        <v>0</v>
      </c>
      <c r="AS12" s="22">
        <f ca="1">+GETPIVOTDATA("XKL4",'kimlong (2016)'!$A$3,"MA_HT","CLN","MA_QH","TSC")</f>
        <v>0</v>
      </c>
      <c r="AT12" s="22">
        <f ca="1">+GETPIVOTDATA("XKL4",'kimlong (2016)'!$A$3,"MA_HT","CLN","MA_QH","DTS")</f>
        <v>0</v>
      </c>
      <c r="AU12" s="22">
        <f ca="1">+GETPIVOTDATA("XKL4",'kimlong (2016)'!$A$3,"MA_HT","CLN","MA_QH","DNG")</f>
        <v>0</v>
      </c>
      <c r="AV12" s="22">
        <f ca="1">+GETPIVOTDATA("XKL4",'kimlong (2016)'!$A$3,"MA_HT","CLN","MA_QH","TON")</f>
        <v>0</v>
      </c>
      <c r="AW12" s="22">
        <f ca="1">+GETPIVOTDATA("XKL4",'kimlong (2016)'!$A$3,"MA_HT","CLN","MA_QH","NTD")</f>
        <v>0</v>
      </c>
      <c r="AX12" s="22">
        <f ca="1">+GETPIVOTDATA("XKL4",'kimlong (2016)'!$A$3,"MA_HT","CLN","MA_QH","SKX")</f>
        <v>0</v>
      </c>
      <c r="AY12" s="22">
        <f ca="1">+GETPIVOTDATA("XKL4",'kimlong (2016)'!$A$3,"MA_HT","CLN","MA_QH","DSH")</f>
        <v>0</v>
      </c>
      <c r="AZ12" s="22">
        <f ca="1">+GETPIVOTDATA("XKL4",'kimlong (2016)'!$A$3,"MA_HT","CLN","MA_QH","DKV")</f>
        <v>0</v>
      </c>
      <c r="BA12" s="89">
        <f ca="1">+GETPIVOTDATA("XKL4",'kimlong (2016)'!$A$3,"MA_HT","CLN","MA_QH","TIN")</f>
        <v>0</v>
      </c>
      <c r="BB12" s="50">
        <f ca="1">+GETPIVOTDATA("XKL4",'kimlong (2016)'!$A$3,"MA_HT","CLN","MA_QH","SON")</f>
        <v>0</v>
      </c>
      <c r="BC12" s="50">
        <f ca="1">+GETPIVOTDATA("XKL4",'kimlong (2016)'!$A$3,"MA_HT","CLN","MA_QH","MNC")</f>
        <v>0</v>
      </c>
      <c r="BD12" s="22">
        <f ca="1">+GETPIVOTDATA("XKL4",'kimlong (2016)'!$A$3,"MA_HT","CLN","MA_QH","PNK")</f>
        <v>0</v>
      </c>
      <c r="BE12" s="71">
        <f ca="1">+GETPIVOTDATA("XKL4",'kimlong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+GETPIVOTDATA("XKL4",'kimlong (2016)'!$A$3,"MA_HT","RSX","MA_QH","LUC")</f>
        <v>0</v>
      </c>
      <c r="H13" s="22">
        <f ca="1">+GETPIVOTDATA("XKL4",'kimlong (2016)'!$A$3,"MA_HT","RSX","MA_QH","LUK")</f>
        <v>0</v>
      </c>
      <c r="I13" s="22">
        <f ca="1">+GETPIVOTDATA("XKL4",'kimlong (2016)'!$A$3,"MA_HT","RSX","MA_QH","LUN")</f>
        <v>0</v>
      </c>
      <c r="J13" s="22">
        <f ca="1">+GETPIVOTDATA("XKL4",'kimlong (2016)'!$A$3,"MA_HT","RSX","MA_QH","HNK")</f>
        <v>0</v>
      </c>
      <c r="K13" s="22">
        <f ca="1">+GETPIVOTDATA("XKL4",'kimlong (2016)'!$A$3,"MA_HT","RSX","MA_QH","CLN")</f>
        <v>0</v>
      </c>
      <c r="L13" s="43" t="e">
        <f ca="1">$D13-$BF13</f>
        <v>#REF!</v>
      </c>
      <c r="M13" s="22">
        <f ca="1">+GETPIVOTDATA("XKL4",'kimlong (2016)'!$A$3,"MA_HT","RSX","MA_QH","RPH")</f>
        <v>0</v>
      </c>
      <c r="N13" s="22">
        <f ca="1">+GETPIVOTDATA("XKL4",'kimlong (2016)'!$A$3,"MA_HT","RSX","MA_QH","RDD")</f>
        <v>0</v>
      </c>
      <c r="O13" s="22">
        <f ca="1">+GETPIVOTDATA("XKL4",'kimlong (2016)'!$A$3,"MA_HT","RSX","MA_QH","NTS")</f>
        <v>0</v>
      </c>
      <c r="P13" s="22">
        <f ca="1">+GETPIVOTDATA("XKL4",'kimlong (2016)'!$A$3,"MA_HT","RSX","MA_QH","LMU")</f>
        <v>0</v>
      </c>
      <c r="Q13" s="22">
        <f ca="1">+GETPIVOTDATA("XKL4",'kimlong (2016)'!$A$3,"MA_HT","RSX","MA_QH","NKH")</f>
        <v>0</v>
      </c>
      <c r="R13" s="42">
        <f ca="1" t="shared" si="2"/>
        <v>0</v>
      </c>
      <c r="S13" s="22">
        <f ca="1">+GETPIVOTDATA("XKL4",'kimlong (2016)'!$A$3,"MA_HT","RSX","MA_QH","CQP")</f>
        <v>0</v>
      </c>
      <c r="T13" s="22">
        <f ca="1">+GETPIVOTDATA("XKL4",'kimlong (2016)'!$A$3,"MA_HT","RSX","MA_QH","CAN")</f>
        <v>0</v>
      </c>
      <c r="U13" s="22">
        <f ca="1">+GETPIVOTDATA("XKL4",'kimlong (2016)'!$A$3,"MA_HT","RSX","MA_QH","SKK")</f>
        <v>0</v>
      </c>
      <c r="V13" s="22">
        <f ca="1">+GETPIVOTDATA("XKL4",'kimlong (2016)'!$A$3,"MA_HT","RSX","MA_QH","SKT")</f>
        <v>0</v>
      </c>
      <c r="W13" s="22">
        <f ca="1">+GETPIVOTDATA("XKL4",'kimlong (2016)'!$A$3,"MA_HT","RSX","MA_QH","SKN")</f>
        <v>0</v>
      </c>
      <c r="X13" s="22">
        <f ca="1">+GETPIVOTDATA("XKL4",'kimlong (2016)'!$A$3,"MA_HT","RSX","MA_QH","TMD")</f>
        <v>0</v>
      </c>
      <c r="Y13" s="22">
        <f ca="1">+GETPIVOTDATA("XKL4",'kimlong (2016)'!$A$3,"MA_HT","RSX","MA_QH","SKC")</f>
        <v>0</v>
      </c>
      <c r="Z13" s="22">
        <f ca="1">+GETPIVOTDATA("XKL4",'kimlong (2016)'!$A$3,"MA_HT","RSX","MA_QH","SKS")</f>
        <v>0</v>
      </c>
      <c r="AA13" s="52">
        <f ca="1" t="shared" si="4"/>
        <v>0</v>
      </c>
      <c r="AB13" s="22">
        <f ca="1">+GETPIVOTDATA("XKL4",'kimlong (2016)'!$A$3,"MA_HT","RSX","MA_QH","DGT")</f>
        <v>0</v>
      </c>
      <c r="AC13" s="22">
        <f ca="1">+GETPIVOTDATA("XKL4",'kimlong (2016)'!$A$3,"MA_HT","RSX","MA_QH","DTL")</f>
        <v>0</v>
      </c>
      <c r="AD13" s="22">
        <f ca="1">+GETPIVOTDATA("XKL4",'kimlong (2016)'!$A$3,"MA_HT","RSX","MA_QH","DNL")</f>
        <v>0</v>
      </c>
      <c r="AE13" s="22">
        <f ca="1">+GETPIVOTDATA("XKL4",'kimlong (2016)'!$A$3,"MA_HT","RSX","MA_QH","DBV")</f>
        <v>0</v>
      </c>
      <c r="AF13" s="22">
        <f ca="1">+GETPIVOTDATA("XKL4",'kimlong (2016)'!$A$3,"MA_HT","RSX","MA_QH","DVH")</f>
        <v>0</v>
      </c>
      <c r="AG13" s="22">
        <f ca="1">+GETPIVOTDATA("XKL4",'kimlong (2016)'!$A$3,"MA_HT","RSX","MA_QH","DYT")</f>
        <v>0</v>
      </c>
      <c r="AH13" s="22">
        <f ca="1">+GETPIVOTDATA("XKL4",'kimlong (2016)'!$A$3,"MA_HT","RSX","MA_QH","DGD")</f>
        <v>0</v>
      </c>
      <c r="AI13" s="22">
        <f ca="1">+GETPIVOTDATA("XKL4",'kimlong (2016)'!$A$3,"MA_HT","RSX","MA_QH","DTT")</f>
        <v>0</v>
      </c>
      <c r="AJ13" s="22">
        <f ca="1">+GETPIVOTDATA("XKL4",'kimlong (2016)'!$A$3,"MA_HT","RSX","MA_QH","NCK")</f>
        <v>0</v>
      </c>
      <c r="AK13" s="22">
        <f ca="1">+GETPIVOTDATA("XKL4",'kimlong (2016)'!$A$3,"MA_HT","RSX","MA_QH","DXH")</f>
        <v>0</v>
      </c>
      <c r="AL13" s="22">
        <f ca="1">+GETPIVOTDATA("XKL4",'kimlong (2016)'!$A$3,"MA_HT","RSX","MA_QH","DCH")</f>
        <v>0</v>
      </c>
      <c r="AM13" s="22">
        <f ca="1">+GETPIVOTDATA("XKL4",'kimlong (2016)'!$A$3,"MA_HT","RSX","MA_QH","DKG")</f>
        <v>0</v>
      </c>
      <c r="AN13" s="22">
        <f ca="1">+GETPIVOTDATA("XKL4",'kimlong (2016)'!$A$3,"MA_HT","RSX","MA_QH","DDT")</f>
        <v>0</v>
      </c>
      <c r="AO13" s="22">
        <f ca="1">+GETPIVOTDATA("XKL4",'kimlong (2016)'!$A$3,"MA_HT","RSX","MA_QH","DDL")</f>
        <v>0</v>
      </c>
      <c r="AP13" s="22">
        <f ca="1">+GETPIVOTDATA("XKL4",'kimlong (2016)'!$A$3,"MA_HT","RSX","MA_QH","DRA")</f>
        <v>0</v>
      </c>
      <c r="AQ13" s="22">
        <f ca="1">+GETPIVOTDATA("XKL4",'kimlong (2016)'!$A$3,"MA_HT","RSX","MA_QH","ONT")</f>
        <v>0</v>
      </c>
      <c r="AR13" s="22">
        <f ca="1">+GETPIVOTDATA("XKL4",'kimlong (2016)'!$A$3,"MA_HT","RSX","MA_QH","ODT")</f>
        <v>0</v>
      </c>
      <c r="AS13" s="22">
        <f ca="1">+GETPIVOTDATA("XKL4",'kimlong (2016)'!$A$3,"MA_HT","RSX","MA_QH","TSC")</f>
        <v>0</v>
      </c>
      <c r="AT13" s="22">
        <f ca="1">+GETPIVOTDATA("XKL4",'kimlong (2016)'!$A$3,"MA_HT","RSX","MA_QH","DTS")</f>
        <v>0</v>
      </c>
      <c r="AU13" s="22">
        <f ca="1">+GETPIVOTDATA("XKL4",'kimlong (2016)'!$A$3,"MA_HT","RSX","MA_QH","DNG")</f>
        <v>0</v>
      </c>
      <c r="AV13" s="22">
        <f ca="1">+GETPIVOTDATA("XKL4",'kimlong (2016)'!$A$3,"MA_HT","RSX","MA_QH","TON")</f>
        <v>0</v>
      </c>
      <c r="AW13" s="22">
        <f ca="1">+GETPIVOTDATA("XKL4",'kimlong (2016)'!$A$3,"MA_HT","RSX","MA_QH","NTD")</f>
        <v>0</v>
      </c>
      <c r="AX13" s="22">
        <f ca="1">+GETPIVOTDATA("XKL4",'kimlong (2016)'!$A$3,"MA_HT","RSX","MA_QH","SKX")</f>
        <v>0</v>
      </c>
      <c r="AY13" s="22">
        <f ca="1">+GETPIVOTDATA("XKL4",'kimlong (2016)'!$A$3,"MA_HT","RSX","MA_QH","DSH")</f>
        <v>0</v>
      </c>
      <c r="AZ13" s="22">
        <f ca="1">+GETPIVOTDATA("XKL4",'kimlong (2016)'!$A$3,"MA_HT","RSX","MA_QH","DKV")</f>
        <v>0</v>
      </c>
      <c r="BA13" s="89">
        <f ca="1">+GETPIVOTDATA("XKL4",'kimlong (2016)'!$A$3,"MA_HT","RSX","MA_QH","TIN")</f>
        <v>0</v>
      </c>
      <c r="BB13" s="50">
        <f ca="1">+GETPIVOTDATA("XKL4",'kimlong (2016)'!$A$3,"MA_HT","RSX","MA_QH","SON")</f>
        <v>0</v>
      </c>
      <c r="BC13" s="50">
        <f ca="1">+GETPIVOTDATA("XKL4",'kimlong (2016)'!$A$3,"MA_HT","RSX","MA_QH","MNC")</f>
        <v>0</v>
      </c>
      <c r="BD13" s="22">
        <f ca="1">+GETPIVOTDATA("XKL4",'kimlong (2016)'!$A$3,"MA_HT","RSX","MA_QH","PNK")</f>
        <v>0</v>
      </c>
      <c r="BE13" s="71">
        <f ca="1">+GETPIVOTDATA("XKL4",'kimlong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+GETPIVOTDATA("XKL4",'kimlong (2016)'!$A$3,"MA_HT","RPH","MA_QH","LUC")</f>
        <v>0</v>
      </c>
      <c r="H14" s="22">
        <f ca="1">+GETPIVOTDATA("XKL4",'kimlong (2016)'!$A$3,"MA_HT","RPH","MA_QH","LUK")</f>
        <v>0</v>
      </c>
      <c r="I14" s="22">
        <f ca="1">+GETPIVOTDATA("XKL4",'kimlong (2016)'!$A$3,"MA_HT","RPH","MA_QH","LUN")</f>
        <v>0</v>
      </c>
      <c r="J14" s="22">
        <f ca="1">+GETPIVOTDATA("XKL4",'kimlong (2016)'!$A$3,"MA_HT","RPH","MA_QH","HNK")</f>
        <v>0</v>
      </c>
      <c r="K14" s="22">
        <f ca="1">+GETPIVOTDATA("XKL4",'kimlong (2016)'!$A$3,"MA_HT","RPH","MA_QH","CLN")</f>
        <v>0</v>
      </c>
      <c r="L14" s="22">
        <f ca="1">+GETPIVOTDATA("XKL4",'kimlong (2016)'!$A$3,"MA_HT","RPH","MA_QH","RSX")</f>
        <v>0</v>
      </c>
      <c r="M14" s="43" t="e">
        <f ca="1">$D14-$BF14</f>
        <v>#REF!</v>
      </c>
      <c r="N14" s="22">
        <f ca="1">+GETPIVOTDATA("XKL4",'kimlong (2016)'!$A$3,"MA_HT","RPH","MA_QH","RDD")</f>
        <v>0</v>
      </c>
      <c r="O14" s="22">
        <f ca="1">+GETPIVOTDATA("XKL4",'kimlong (2016)'!$A$3,"MA_HT","RPH","MA_QH","NTS")</f>
        <v>0</v>
      </c>
      <c r="P14" s="22">
        <f ca="1">+GETPIVOTDATA("XKL4",'kimlong (2016)'!$A$3,"MA_HT","RPH","MA_QH","LMU")</f>
        <v>0</v>
      </c>
      <c r="Q14" s="22">
        <f ca="1">+GETPIVOTDATA("XKL4",'kimlong (2016)'!$A$3,"MA_HT","RPH","MA_QH","NKH")</f>
        <v>0</v>
      </c>
      <c r="R14" s="42">
        <f ca="1" t="shared" si="2"/>
        <v>0</v>
      </c>
      <c r="S14" s="22">
        <f ca="1">+GETPIVOTDATA("XKL4",'kimlong (2016)'!$A$3,"MA_HT","RPH","MA_QH","CQP")</f>
        <v>0</v>
      </c>
      <c r="T14" s="22">
        <f ca="1">+GETPIVOTDATA("XKL4",'kimlong (2016)'!$A$3,"MA_HT","RPH","MA_QH","CAN")</f>
        <v>0</v>
      </c>
      <c r="U14" s="22">
        <f ca="1">+GETPIVOTDATA("XKL4",'kimlong (2016)'!$A$3,"MA_HT","RPH","MA_QH","SKK")</f>
        <v>0</v>
      </c>
      <c r="V14" s="22">
        <f ca="1">+GETPIVOTDATA("XKL4",'kimlong (2016)'!$A$3,"MA_HT","RPH","MA_QH","SKT")</f>
        <v>0</v>
      </c>
      <c r="W14" s="22">
        <f ca="1">+GETPIVOTDATA("XKL4",'kimlong (2016)'!$A$3,"MA_HT","RPH","MA_QH","SKN")</f>
        <v>0</v>
      </c>
      <c r="X14" s="22">
        <f ca="1">+GETPIVOTDATA("XKL4",'kimlong (2016)'!$A$3,"MA_HT","RPH","MA_QH","TMD")</f>
        <v>0</v>
      </c>
      <c r="Y14" s="22">
        <f ca="1">+GETPIVOTDATA("XKL4",'kimlong (2016)'!$A$3,"MA_HT","RPH","MA_QH","SKC")</f>
        <v>0</v>
      </c>
      <c r="Z14" s="22">
        <f ca="1">+GETPIVOTDATA("XKL4",'kimlong (2016)'!$A$3,"MA_HT","RPH","MA_QH","SKS")</f>
        <v>0</v>
      </c>
      <c r="AA14" s="52">
        <f ca="1" t="shared" si="4"/>
        <v>0</v>
      </c>
      <c r="AB14" s="22">
        <f ca="1">+GETPIVOTDATA("XKL4",'kimlong (2016)'!$A$3,"MA_HT","RPH","MA_QH","DGT")</f>
        <v>0</v>
      </c>
      <c r="AC14" s="22">
        <f ca="1">+GETPIVOTDATA("XKL4",'kimlong (2016)'!$A$3,"MA_HT","RPH","MA_QH","DTL")</f>
        <v>0</v>
      </c>
      <c r="AD14" s="22">
        <f ca="1">+GETPIVOTDATA("XKL4",'kimlong (2016)'!$A$3,"MA_HT","RPH","MA_QH","DNL")</f>
        <v>0</v>
      </c>
      <c r="AE14" s="22">
        <f ca="1">+GETPIVOTDATA("XKL4",'kimlong (2016)'!$A$3,"MA_HT","RPH","MA_QH","DBV")</f>
        <v>0</v>
      </c>
      <c r="AF14" s="22">
        <f ca="1">+GETPIVOTDATA("XKL4",'kimlong (2016)'!$A$3,"MA_HT","RPH","MA_QH","DVH")</f>
        <v>0</v>
      </c>
      <c r="AG14" s="22">
        <f ca="1">+GETPIVOTDATA("XKL4",'kimlong (2016)'!$A$3,"MA_HT","RPH","MA_QH","DYT")</f>
        <v>0</v>
      </c>
      <c r="AH14" s="22">
        <f ca="1">+GETPIVOTDATA("XKL4",'kimlong (2016)'!$A$3,"MA_HT","RPH","MA_QH","DGD")</f>
        <v>0</v>
      </c>
      <c r="AI14" s="22">
        <f ca="1">+GETPIVOTDATA("XKL4",'kimlong (2016)'!$A$3,"MA_HT","RPH","MA_QH","DTT")</f>
        <v>0</v>
      </c>
      <c r="AJ14" s="22">
        <f ca="1">+GETPIVOTDATA("XKL4",'kimlong (2016)'!$A$3,"MA_HT","RPH","MA_QH","NCK")</f>
        <v>0</v>
      </c>
      <c r="AK14" s="22">
        <f ca="1">+GETPIVOTDATA("XKL4",'kimlong (2016)'!$A$3,"MA_HT","RPH","MA_QH","DXH")</f>
        <v>0</v>
      </c>
      <c r="AL14" s="22">
        <f ca="1">+GETPIVOTDATA("XKL4",'kimlong (2016)'!$A$3,"MA_HT","RPH","MA_QH","DCH")</f>
        <v>0</v>
      </c>
      <c r="AM14" s="22">
        <f ca="1">+GETPIVOTDATA("XKL4",'kimlong (2016)'!$A$3,"MA_HT","RPH","MA_QH","DKG")</f>
        <v>0</v>
      </c>
      <c r="AN14" s="22">
        <f ca="1">+GETPIVOTDATA("XKL4",'kimlong (2016)'!$A$3,"MA_HT","RPH","MA_QH","DDT")</f>
        <v>0</v>
      </c>
      <c r="AO14" s="22">
        <f ca="1">+GETPIVOTDATA("XKL4",'kimlong (2016)'!$A$3,"MA_HT","RPH","MA_QH","DDL")</f>
        <v>0</v>
      </c>
      <c r="AP14" s="22">
        <f ca="1">+GETPIVOTDATA("XKL4",'kimlong (2016)'!$A$3,"MA_HT","RPH","MA_QH","DRA")</f>
        <v>0</v>
      </c>
      <c r="AQ14" s="22">
        <f ca="1">+GETPIVOTDATA("XKL4",'kimlong (2016)'!$A$3,"MA_HT","RPH","MA_QH","ONT")</f>
        <v>0</v>
      </c>
      <c r="AR14" s="22">
        <f ca="1">+GETPIVOTDATA("XKL4",'kimlong (2016)'!$A$3,"MA_HT","RPH","MA_QH","ODT")</f>
        <v>0</v>
      </c>
      <c r="AS14" s="22">
        <f ca="1">+GETPIVOTDATA("XKL4",'kimlong (2016)'!$A$3,"MA_HT","RPH","MA_QH","TSC")</f>
        <v>0</v>
      </c>
      <c r="AT14" s="22">
        <f ca="1">+GETPIVOTDATA("XKL4",'kimlong (2016)'!$A$3,"MA_HT","RPH","MA_QH","DTS")</f>
        <v>0</v>
      </c>
      <c r="AU14" s="22">
        <f ca="1">+GETPIVOTDATA("XKL4",'kimlong (2016)'!$A$3,"MA_HT","RPH","MA_QH","DNG")</f>
        <v>0</v>
      </c>
      <c r="AV14" s="22">
        <f ca="1">+GETPIVOTDATA("XKL4",'kimlong (2016)'!$A$3,"MA_HT","RPH","MA_QH","TON")</f>
        <v>0</v>
      </c>
      <c r="AW14" s="22">
        <f ca="1">+GETPIVOTDATA("XKL4",'kimlong (2016)'!$A$3,"MA_HT","RPH","MA_QH","NTD")</f>
        <v>0</v>
      </c>
      <c r="AX14" s="22">
        <f ca="1">+GETPIVOTDATA("XKL4",'kimlong (2016)'!$A$3,"MA_HT","RPH","MA_QH","SKX")</f>
        <v>0</v>
      </c>
      <c r="AY14" s="22">
        <f ca="1">+GETPIVOTDATA("XKL4",'kimlong (2016)'!$A$3,"MA_HT","RPH","MA_QH","DSH")</f>
        <v>0</v>
      </c>
      <c r="AZ14" s="22">
        <f ca="1">+GETPIVOTDATA("XKL4",'kimlong (2016)'!$A$3,"MA_HT","RPH","MA_QH","DKV")</f>
        <v>0</v>
      </c>
      <c r="BA14" s="89">
        <f ca="1">+GETPIVOTDATA("XKL4",'kimlong (2016)'!$A$3,"MA_HT","RPH","MA_QH","TIN")</f>
        <v>0</v>
      </c>
      <c r="BB14" s="50">
        <f ca="1">+GETPIVOTDATA("XKL4",'kimlong (2016)'!$A$3,"MA_HT","RPH","MA_QH","SON")</f>
        <v>0</v>
      </c>
      <c r="BC14" s="50">
        <f ca="1">+GETPIVOTDATA("XKL4",'kimlong (2016)'!$A$3,"MA_HT","RPH","MA_QH","MNC")</f>
        <v>0</v>
      </c>
      <c r="BD14" s="22">
        <f ca="1">+GETPIVOTDATA("XKL4",'kimlong (2016)'!$A$3,"MA_HT","RPH","MA_QH","PNK")</f>
        <v>0</v>
      </c>
      <c r="BE14" s="71">
        <f ca="1">+GETPIVOTDATA("XKL4",'kimlong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+GETPIVOTDATA("XKL4",'kimlong (2016)'!$A$3,"MA_HT","RDD","MA_QH","LUC")</f>
        <v>0</v>
      </c>
      <c r="H15" s="22">
        <f ca="1">+GETPIVOTDATA("XKL4",'kimlong (2016)'!$A$3,"MA_HT","RDD","MA_QH","LUK")</f>
        <v>0</v>
      </c>
      <c r="I15" s="22">
        <f ca="1">+GETPIVOTDATA("XKL4",'kimlong (2016)'!$A$3,"MA_HT","RDD","MA_QH","LUN")</f>
        <v>0</v>
      </c>
      <c r="J15" s="22">
        <f ca="1">+GETPIVOTDATA("XKL4",'kimlong (2016)'!$A$3,"MA_HT","RDD","MA_QH","HNK")</f>
        <v>0</v>
      </c>
      <c r="K15" s="22">
        <f ca="1">+GETPIVOTDATA("XKL4",'kimlong (2016)'!$A$3,"MA_HT","RDD","MA_QH","CLN")</f>
        <v>0</v>
      </c>
      <c r="L15" s="22">
        <f ca="1">+GETPIVOTDATA("XKL4",'kimlong (2016)'!$A$3,"MA_HT","RDD","MA_QH","RSX")</f>
        <v>0</v>
      </c>
      <c r="M15" s="22">
        <f ca="1">+GETPIVOTDATA("XKL4",'kimlong (2016)'!$A$3,"MA_HT","RDD","MA_QH","RPH")</f>
        <v>0</v>
      </c>
      <c r="N15" s="43" t="e">
        <f ca="1">$D15-$BF15</f>
        <v>#REF!</v>
      </c>
      <c r="O15" s="22">
        <f ca="1">+GETPIVOTDATA("XKL4",'kimlong (2016)'!$A$3,"MA_HT","RDD","MA_QH","NTS")</f>
        <v>0</v>
      </c>
      <c r="P15" s="22">
        <f ca="1">+GETPIVOTDATA("XKL4",'kimlong (2016)'!$A$3,"MA_HT","RDD","MA_QH","LMU")</f>
        <v>0</v>
      </c>
      <c r="Q15" s="22">
        <f ca="1">+GETPIVOTDATA("XKL4",'kimlong (2016)'!$A$3,"MA_HT","RDD","MA_QH","NKH")</f>
        <v>0</v>
      </c>
      <c r="R15" s="42">
        <f ca="1" t="shared" si="2"/>
        <v>0</v>
      </c>
      <c r="S15" s="22">
        <f ca="1">+GETPIVOTDATA("XKL4",'kimlong (2016)'!$A$3,"MA_HT","RDD","MA_QH","CQP")</f>
        <v>0</v>
      </c>
      <c r="T15" s="22">
        <f ca="1">+GETPIVOTDATA("XKL4",'kimlong (2016)'!$A$3,"MA_HT","RDD","MA_QH","CAN")</f>
        <v>0</v>
      </c>
      <c r="U15" s="22">
        <f ca="1">+GETPIVOTDATA("XKL4",'kimlong (2016)'!$A$3,"MA_HT","RDD","MA_QH","SKK")</f>
        <v>0</v>
      </c>
      <c r="V15" s="22">
        <f ca="1">+GETPIVOTDATA("XKL4",'kimlong (2016)'!$A$3,"MA_HT","RDD","MA_QH","SKT")</f>
        <v>0</v>
      </c>
      <c r="W15" s="22">
        <f ca="1">+GETPIVOTDATA("XKL4",'kimlong (2016)'!$A$3,"MA_HT","RDD","MA_QH","SKN")</f>
        <v>0</v>
      </c>
      <c r="X15" s="22">
        <f ca="1">+GETPIVOTDATA("XKL4",'kimlong (2016)'!$A$3,"MA_HT","RDD","MA_QH","TMD")</f>
        <v>0</v>
      </c>
      <c r="Y15" s="22">
        <f ca="1">+GETPIVOTDATA("XKL4",'kimlong (2016)'!$A$3,"MA_HT","RDD","MA_QH","SKC")</f>
        <v>0</v>
      </c>
      <c r="Z15" s="22">
        <f ca="1">+GETPIVOTDATA("XKL4",'kimlong (2016)'!$A$3,"MA_HT","RDD","MA_QH","SKS")</f>
        <v>0</v>
      </c>
      <c r="AA15" s="52">
        <f ca="1" t="shared" si="4"/>
        <v>0</v>
      </c>
      <c r="AB15" s="22">
        <f ca="1">+GETPIVOTDATA("XKL4",'kimlong (2016)'!$A$3,"MA_HT","RDD","MA_QH","DGT")</f>
        <v>0</v>
      </c>
      <c r="AC15" s="22">
        <f ca="1">+GETPIVOTDATA("XKL4",'kimlong (2016)'!$A$3,"MA_HT","RDD","MA_QH","DTL")</f>
        <v>0</v>
      </c>
      <c r="AD15" s="22">
        <f ca="1">+GETPIVOTDATA("XKL4",'kimlong (2016)'!$A$3,"MA_HT","RDD","MA_QH","DNL")</f>
        <v>0</v>
      </c>
      <c r="AE15" s="22">
        <f ca="1">+GETPIVOTDATA("XKL4",'kimlong (2016)'!$A$3,"MA_HT","RDD","MA_QH","DBV")</f>
        <v>0</v>
      </c>
      <c r="AF15" s="22">
        <f ca="1">+GETPIVOTDATA("XKL4",'kimlong (2016)'!$A$3,"MA_HT","RDD","MA_QH","DVH")</f>
        <v>0</v>
      </c>
      <c r="AG15" s="22">
        <f ca="1">+GETPIVOTDATA("XKL4",'kimlong (2016)'!$A$3,"MA_HT","RDD","MA_QH","DYT")</f>
        <v>0</v>
      </c>
      <c r="AH15" s="22">
        <f ca="1">+GETPIVOTDATA("XKL4",'kimlong (2016)'!$A$3,"MA_HT","RDD","MA_QH","DGD")</f>
        <v>0</v>
      </c>
      <c r="AI15" s="22">
        <f ca="1">+GETPIVOTDATA("XKL4",'kimlong (2016)'!$A$3,"MA_HT","RDD","MA_QH","DTT")</f>
        <v>0</v>
      </c>
      <c r="AJ15" s="22">
        <f ca="1">+GETPIVOTDATA("XKL4",'kimlong (2016)'!$A$3,"MA_HT","RDD","MA_QH","NCK")</f>
        <v>0</v>
      </c>
      <c r="AK15" s="22">
        <f ca="1">+GETPIVOTDATA("XKL4",'kimlong (2016)'!$A$3,"MA_HT","RDD","MA_QH","DXH")</f>
        <v>0</v>
      </c>
      <c r="AL15" s="22">
        <f ca="1">+GETPIVOTDATA("XKL4",'kimlong (2016)'!$A$3,"MA_HT","RDD","MA_QH","DCH")</f>
        <v>0</v>
      </c>
      <c r="AM15" s="22">
        <f ca="1">+GETPIVOTDATA("XKL4",'kimlong (2016)'!$A$3,"MA_HT","RDD","MA_QH","DKG")</f>
        <v>0</v>
      </c>
      <c r="AN15" s="22">
        <f ca="1">+GETPIVOTDATA("XKL4",'kimlong (2016)'!$A$3,"MA_HT","RDD","MA_QH","DDT")</f>
        <v>0</v>
      </c>
      <c r="AO15" s="22">
        <f ca="1">+GETPIVOTDATA("XKL4",'kimlong (2016)'!$A$3,"MA_HT","RDD","MA_QH","DDL")</f>
        <v>0</v>
      </c>
      <c r="AP15" s="22">
        <f ca="1">+GETPIVOTDATA("XKL4",'kimlong (2016)'!$A$3,"MA_HT","RDD","MA_QH","DRA")</f>
        <v>0</v>
      </c>
      <c r="AQ15" s="22">
        <f ca="1">+GETPIVOTDATA("XKL4",'kimlong (2016)'!$A$3,"MA_HT","RDD","MA_QH","ONT")</f>
        <v>0</v>
      </c>
      <c r="AR15" s="22">
        <f ca="1">+GETPIVOTDATA("XKL4",'kimlong (2016)'!$A$3,"MA_HT","RDD","MA_QH","ODT")</f>
        <v>0</v>
      </c>
      <c r="AS15" s="22">
        <f ca="1">+GETPIVOTDATA("XKL4",'kimlong (2016)'!$A$3,"MA_HT","RDD","MA_QH","TSC")</f>
        <v>0</v>
      </c>
      <c r="AT15" s="22">
        <f ca="1">+GETPIVOTDATA("XKL4",'kimlong (2016)'!$A$3,"MA_HT","RDD","MA_QH","DTS")</f>
        <v>0</v>
      </c>
      <c r="AU15" s="22">
        <f ca="1">+GETPIVOTDATA("XKL4",'kimlong (2016)'!$A$3,"MA_HT","RDD","MA_QH","DNG")</f>
        <v>0</v>
      </c>
      <c r="AV15" s="22">
        <f ca="1">+GETPIVOTDATA("XKL4",'kimlong (2016)'!$A$3,"MA_HT","RDD","MA_QH","TON")</f>
        <v>0</v>
      </c>
      <c r="AW15" s="22">
        <f ca="1">+GETPIVOTDATA("XKL4",'kimlong (2016)'!$A$3,"MA_HT","RDD","MA_QH","NTD")</f>
        <v>0</v>
      </c>
      <c r="AX15" s="22">
        <f ca="1">+GETPIVOTDATA("XKL4",'kimlong (2016)'!$A$3,"MA_HT","RDD","MA_QH","SKX")</f>
        <v>0</v>
      </c>
      <c r="AY15" s="22">
        <f ca="1">+GETPIVOTDATA("XKL4",'kimlong (2016)'!$A$3,"MA_HT","RDD","MA_QH","DSH")</f>
        <v>0</v>
      </c>
      <c r="AZ15" s="22">
        <f ca="1">+GETPIVOTDATA("XKL4",'kimlong (2016)'!$A$3,"MA_HT","RDD","MA_QH","DKV")</f>
        <v>0</v>
      </c>
      <c r="BA15" s="89">
        <f ca="1">+GETPIVOTDATA("XKL4",'kimlong (2016)'!$A$3,"MA_HT","RDD","MA_QH","TIN")</f>
        <v>0</v>
      </c>
      <c r="BB15" s="50">
        <f ca="1">+GETPIVOTDATA("XKL4",'kimlong (2016)'!$A$3,"MA_HT","RDD","MA_QH","SON")</f>
        <v>0</v>
      </c>
      <c r="BC15" s="50">
        <f ca="1">+GETPIVOTDATA("XKL4",'kimlong (2016)'!$A$3,"MA_HT","RDD","MA_QH","MNC")</f>
        <v>0</v>
      </c>
      <c r="BD15" s="22">
        <f ca="1">+GETPIVOTDATA("XKL4",'kimlong (2016)'!$A$3,"MA_HT","RDD","MA_QH","PNK")</f>
        <v>0</v>
      </c>
      <c r="BE15" s="71">
        <f ca="1">+GETPIVOTDATA("XKL4",'kimlong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+GETPIVOTDATA("XKL4",'kimlong (2016)'!$A$3,"MA_HT","NTS","MA_QH","LUC")</f>
        <v>0</v>
      </c>
      <c r="H16" s="22">
        <f ca="1">+GETPIVOTDATA("XKL4",'kimlong (2016)'!$A$3,"MA_HT","NTS","MA_QH","LUK")</f>
        <v>0</v>
      </c>
      <c r="I16" s="22">
        <f ca="1">+GETPIVOTDATA("XKL4",'kimlong (2016)'!$A$3,"MA_HT","NTS","MA_QH","LUN")</f>
        <v>0</v>
      </c>
      <c r="J16" s="22">
        <f ca="1">+GETPIVOTDATA("XKL4",'kimlong (2016)'!$A$3,"MA_HT","NTS","MA_QH","HNK")</f>
        <v>0</v>
      </c>
      <c r="K16" s="22">
        <f ca="1">+GETPIVOTDATA("XKL4",'kimlong (2016)'!$A$3,"MA_HT","NTS","MA_QH","CLN")</f>
        <v>0</v>
      </c>
      <c r="L16" s="22">
        <f ca="1">+GETPIVOTDATA("XKL4",'kimlong (2016)'!$A$3,"MA_HT","NTS","MA_QH","RSX")</f>
        <v>0</v>
      </c>
      <c r="M16" s="22">
        <f ca="1">+GETPIVOTDATA("XKL4",'kimlong (2016)'!$A$3,"MA_HT","NTS","MA_QH","RPH")</f>
        <v>0</v>
      </c>
      <c r="N16" s="22">
        <f ca="1">+GETPIVOTDATA("XKL4",'kimlong (2016)'!$A$3,"MA_HT","NTS","MA_QH","RDD")</f>
        <v>0</v>
      </c>
      <c r="O16" s="43" t="e">
        <f ca="1">$D16-$BF16</f>
        <v>#REF!</v>
      </c>
      <c r="P16" s="22">
        <f ca="1">+GETPIVOTDATA("XKL4",'kimlong (2016)'!$A$3,"MA_HT","NTS","MA_QH","LMU")</f>
        <v>0</v>
      </c>
      <c r="Q16" s="22">
        <f ca="1">+GETPIVOTDATA("XKL4",'kimlong (2016)'!$A$3,"MA_HT","NTS","MA_QH","NKH")</f>
        <v>0</v>
      </c>
      <c r="R16" s="42">
        <f ca="1" t="shared" si="2"/>
        <v>0</v>
      </c>
      <c r="S16" s="22">
        <f ca="1">+GETPIVOTDATA("XKL4",'kimlong (2016)'!$A$3,"MA_HT","NTS","MA_QH","CQP")</f>
        <v>0</v>
      </c>
      <c r="T16" s="22">
        <f ca="1">+GETPIVOTDATA("XKL4",'kimlong (2016)'!$A$3,"MA_HT","NTS","MA_QH","CAN")</f>
        <v>0</v>
      </c>
      <c r="U16" s="22">
        <f ca="1">+GETPIVOTDATA("XKL4",'kimlong (2016)'!$A$3,"MA_HT","NTS","MA_QH","SKK")</f>
        <v>0</v>
      </c>
      <c r="V16" s="22">
        <f ca="1">+GETPIVOTDATA("XKL4",'kimlong (2016)'!$A$3,"MA_HT","NTS","MA_QH","SKT")</f>
        <v>0</v>
      </c>
      <c r="W16" s="22">
        <f ca="1">+GETPIVOTDATA("XKL4",'kimlong (2016)'!$A$3,"MA_HT","NTS","MA_QH","SKN")</f>
        <v>0</v>
      </c>
      <c r="X16" s="22">
        <f ca="1">+GETPIVOTDATA("XKL4",'kimlong (2016)'!$A$3,"MA_HT","NTS","MA_QH","TMD")</f>
        <v>0</v>
      </c>
      <c r="Y16" s="22">
        <f ca="1">+GETPIVOTDATA("XKL4",'kimlong (2016)'!$A$3,"MA_HT","NTS","MA_QH","SKC")</f>
        <v>0</v>
      </c>
      <c r="Z16" s="22">
        <f ca="1">+GETPIVOTDATA("XKL4",'kimlong (2016)'!$A$3,"MA_HT","NTS","MA_QH","SKS")</f>
        <v>0</v>
      </c>
      <c r="AA16" s="52">
        <f ca="1" t="shared" si="4"/>
        <v>0</v>
      </c>
      <c r="AB16" s="22">
        <f ca="1">+GETPIVOTDATA("XKL4",'kimlong (2016)'!$A$3,"MA_HT","NTS","MA_QH","DGT")</f>
        <v>0</v>
      </c>
      <c r="AC16" s="22">
        <f ca="1">+GETPIVOTDATA("XKL4",'kimlong (2016)'!$A$3,"MA_HT","NTS","MA_QH","DTL")</f>
        <v>0</v>
      </c>
      <c r="AD16" s="22">
        <f ca="1">+GETPIVOTDATA("XKL4",'kimlong (2016)'!$A$3,"MA_HT","NTS","MA_QH","DNL")</f>
        <v>0</v>
      </c>
      <c r="AE16" s="22">
        <f ca="1">+GETPIVOTDATA("XKL4",'kimlong (2016)'!$A$3,"MA_HT","NTS","MA_QH","DBV")</f>
        <v>0</v>
      </c>
      <c r="AF16" s="22">
        <f ca="1">+GETPIVOTDATA("XKL4",'kimlong (2016)'!$A$3,"MA_HT","NTS","MA_QH","DVH")</f>
        <v>0</v>
      </c>
      <c r="AG16" s="22">
        <f ca="1">+GETPIVOTDATA("XKL4",'kimlong (2016)'!$A$3,"MA_HT","NTS","MA_QH","DYT")</f>
        <v>0</v>
      </c>
      <c r="AH16" s="22">
        <f ca="1">+GETPIVOTDATA("XKL4",'kimlong (2016)'!$A$3,"MA_HT","NTS","MA_QH","DGD")</f>
        <v>0</v>
      </c>
      <c r="AI16" s="22">
        <f ca="1">+GETPIVOTDATA("XKL4",'kimlong (2016)'!$A$3,"MA_HT","NTS","MA_QH","DTT")</f>
        <v>0</v>
      </c>
      <c r="AJ16" s="22">
        <f ca="1">+GETPIVOTDATA("XKL4",'kimlong (2016)'!$A$3,"MA_HT","NTS","MA_QH","NCK")</f>
        <v>0</v>
      </c>
      <c r="AK16" s="22">
        <f ca="1">+GETPIVOTDATA("XKL4",'kimlong (2016)'!$A$3,"MA_HT","NTS","MA_QH","DXH")</f>
        <v>0</v>
      </c>
      <c r="AL16" s="22">
        <f ca="1">+GETPIVOTDATA("XKL4",'kimlong (2016)'!$A$3,"MA_HT","NTS","MA_QH","DCH")</f>
        <v>0</v>
      </c>
      <c r="AM16" s="22">
        <f ca="1">+GETPIVOTDATA("XKL4",'kimlong (2016)'!$A$3,"MA_HT","NTS","MA_QH","DKG")</f>
        <v>0</v>
      </c>
      <c r="AN16" s="22">
        <f ca="1">+GETPIVOTDATA("XKL4",'kimlong (2016)'!$A$3,"MA_HT","NTS","MA_QH","DDT")</f>
        <v>0</v>
      </c>
      <c r="AO16" s="22">
        <f ca="1">+GETPIVOTDATA("XKL4",'kimlong (2016)'!$A$3,"MA_HT","NTS","MA_QH","DDL")</f>
        <v>0</v>
      </c>
      <c r="AP16" s="22">
        <f ca="1">+GETPIVOTDATA("XKL4",'kimlong (2016)'!$A$3,"MA_HT","NTS","MA_QH","DRA")</f>
        <v>0</v>
      </c>
      <c r="AQ16" s="22">
        <f ca="1">+GETPIVOTDATA("XKL4",'kimlong (2016)'!$A$3,"MA_HT","NTS","MA_QH","ONT")</f>
        <v>0</v>
      </c>
      <c r="AR16" s="22">
        <f ca="1">+GETPIVOTDATA("XKL4",'kimlong (2016)'!$A$3,"MA_HT","NTS","MA_QH","ODT")</f>
        <v>0</v>
      </c>
      <c r="AS16" s="22">
        <f ca="1">+GETPIVOTDATA("XKL4",'kimlong (2016)'!$A$3,"MA_HT","NTS","MA_QH","TSC")</f>
        <v>0</v>
      </c>
      <c r="AT16" s="22">
        <f ca="1">+GETPIVOTDATA("XKL4",'kimlong (2016)'!$A$3,"MA_HT","NTS","MA_QH","DTS")</f>
        <v>0</v>
      </c>
      <c r="AU16" s="22">
        <f ca="1">+GETPIVOTDATA("XKL4",'kimlong (2016)'!$A$3,"MA_HT","NTS","MA_QH","DNG")</f>
        <v>0</v>
      </c>
      <c r="AV16" s="22">
        <f ca="1">+GETPIVOTDATA("XKL4",'kimlong (2016)'!$A$3,"MA_HT","NTS","MA_QH","TON")</f>
        <v>0</v>
      </c>
      <c r="AW16" s="22">
        <f ca="1">+GETPIVOTDATA("XKL4",'kimlong (2016)'!$A$3,"MA_HT","NTS","MA_QH","NTD")</f>
        <v>0</v>
      </c>
      <c r="AX16" s="22">
        <f ca="1">+GETPIVOTDATA("XKL4",'kimlong (2016)'!$A$3,"MA_HT","NTS","MA_QH","SKX")</f>
        <v>0</v>
      </c>
      <c r="AY16" s="22">
        <f ca="1">+GETPIVOTDATA("XKL4",'kimlong (2016)'!$A$3,"MA_HT","NTS","MA_QH","DSH")</f>
        <v>0</v>
      </c>
      <c r="AZ16" s="22">
        <f ca="1">+GETPIVOTDATA("XKL4",'kimlong (2016)'!$A$3,"MA_HT","NTS","MA_QH","DKV")</f>
        <v>0</v>
      </c>
      <c r="BA16" s="89">
        <f ca="1">+GETPIVOTDATA("XKL4",'kimlong (2016)'!$A$3,"MA_HT","NTS","MA_QH","TIN")</f>
        <v>0</v>
      </c>
      <c r="BB16" s="50">
        <f ca="1">+GETPIVOTDATA("XKL4",'kimlong (2016)'!$A$3,"MA_HT","NTS","MA_QH","SON")</f>
        <v>0</v>
      </c>
      <c r="BC16" s="50">
        <f ca="1">+GETPIVOTDATA("XKL4",'kimlong (2016)'!$A$3,"MA_HT","NTS","MA_QH","MNC")</f>
        <v>0</v>
      </c>
      <c r="BD16" s="22">
        <f ca="1">+GETPIVOTDATA("XKL4",'kimlong (2016)'!$A$3,"MA_HT","NTS","MA_QH","PNK")</f>
        <v>0</v>
      </c>
      <c r="BE16" s="71">
        <f ca="1">+GETPIVOTDATA("XKL4",'kimlong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+GETPIVOTDATA("XKL4",'kimlong (2016)'!$A$3,"MA_HT","LMU","MA_QH","LUC")</f>
        <v>0</v>
      </c>
      <c r="H17" s="22">
        <f ca="1">+GETPIVOTDATA("XKL4",'kimlong (2016)'!$A$3,"MA_HT","LMU","MA_QH","LUK")</f>
        <v>0</v>
      </c>
      <c r="I17" s="22">
        <f ca="1">+GETPIVOTDATA("XKL4",'kimlong (2016)'!$A$3,"MA_HT","LMU","MA_QH","LUN")</f>
        <v>0</v>
      </c>
      <c r="J17" s="22">
        <f ca="1">+GETPIVOTDATA("XKL4",'kimlong (2016)'!$A$3,"MA_HT","LMU","MA_QH","HNK")</f>
        <v>0</v>
      </c>
      <c r="K17" s="22">
        <f ca="1">+GETPIVOTDATA("XKL4",'kimlong (2016)'!$A$3,"MA_HT","LMU","MA_QH","CLN")</f>
        <v>0</v>
      </c>
      <c r="L17" s="22">
        <f ca="1">+GETPIVOTDATA("XKL4",'kimlong (2016)'!$A$3,"MA_HT","LMU","MA_QH","RSX")</f>
        <v>0</v>
      </c>
      <c r="M17" s="22">
        <f ca="1">+GETPIVOTDATA("XKL4",'kimlong (2016)'!$A$3,"MA_HT","LMU","MA_QH","RPH")</f>
        <v>0</v>
      </c>
      <c r="N17" s="22">
        <f ca="1">+GETPIVOTDATA("XKL4",'kimlong (2016)'!$A$3,"MA_HT","LMU","MA_QH","RDD")</f>
        <v>0</v>
      </c>
      <c r="O17" s="22">
        <f ca="1">+GETPIVOTDATA("XKL4",'kimlong (2016)'!$A$3,"MA_HT","LMU","MA_QH","NTS")</f>
        <v>0</v>
      </c>
      <c r="P17" s="43" t="e">
        <f ca="1">$D17-$BF17</f>
        <v>#REF!</v>
      </c>
      <c r="Q17" s="22">
        <f ca="1">+GETPIVOTDATA("XKL4",'kimlong (2016)'!$A$3,"MA_HT","LMU","MA_QH","NKH")</f>
        <v>0</v>
      </c>
      <c r="R17" s="42">
        <f ca="1" t="shared" si="2"/>
        <v>0</v>
      </c>
      <c r="S17" s="22">
        <f ca="1">+GETPIVOTDATA("XKL4",'kimlong (2016)'!$A$3,"MA_HT","LMU","MA_QH","CQP")</f>
        <v>0</v>
      </c>
      <c r="T17" s="22">
        <f ca="1">+GETPIVOTDATA("XKL4",'kimlong (2016)'!$A$3,"MA_HT","LMU","MA_QH","CAN")</f>
        <v>0</v>
      </c>
      <c r="U17" s="22">
        <f ca="1">+GETPIVOTDATA("XKL4",'kimlong (2016)'!$A$3,"MA_HT","LMU","MA_QH","SKK")</f>
        <v>0</v>
      </c>
      <c r="V17" s="22">
        <f ca="1">+GETPIVOTDATA("XKL4",'kimlong (2016)'!$A$3,"MA_HT","LMU","MA_QH","SKT")</f>
        <v>0</v>
      </c>
      <c r="W17" s="22">
        <f ca="1">+GETPIVOTDATA("XKL4",'kimlong (2016)'!$A$3,"MA_HT","LMU","MA_QH","SKN")</f>
        <v>0</v>
      </c>
      <c r="X17" s="22">
        <f ca="1">+GETPIVOTDATA("XKL4",'kimlong (2016)'!$A$3,"MA_HT","LMU","MA_QH","TMD")</f>
        <v>0</v>
      </c>
      <c r="Y17" s="22">
        <f ca="1">+GETPIVOTDATA("XKL4",'kimlong (2016)'!$A$3,"MA_HT","LMU","MA_QH","SKC")</f>
        <v>0</v>
      </c>
      <c r="Z17" s="22">
        <f ca="1">+GETPIVOTDATA("XKL4",'kimlong (2016)'!$A$3,"MA_HT","LMU","MA_QH","SKS")</f>
        <v>0</v>
      </c>
      <c r="AA17" s="52">
        <f ca="1" t="shared" si="4"/>
        <v>0</v>
      </c>
      <c r="AB17" s="22">
        <f ca="1">+GETPIVOTDATA("XKL4",'kimlong (2016)'!$A$3,"MA_HT","LMU","MA_QH","DGT")</f>
        <v>0</v>
      </c>
      <c r="AC17" s="22">
        <f ca="1">+GETPIVOTDATA("XKL4",'kimlong (2016)'!$A$3,"MA_HT","LMU","MA_QH","DTL")</f>
        <v>0</v>
      </c>
      <c r="AD17" s="22">
        <f ca="1">+GETPIVOTDATA("XKL4",'kimlong (2016)'!$A$3,"MA_HT","LMU","MA_QH","DNL")</f>
        <v>0</v>
      </c>
      <c r="AE17" s="22">
        <f ca="1">+GETPIVOTDATA("XKL4",'kimlong (2016)'!$A$3,"MA_HT","LMU","MA_QH","DBV")</f>
        <v>0</v>
      </c>
      <c r="AF17" s="22">
        <f ca="1">+GETPIVOTDATA("XKL4",'kimlong (2016)'!$A$3,"MA_HT","LMU","MA_QH","DVH")</f>
        <v>0</v>
      </c>
      <c r="AG17" s="22">
        <f ca="1">+GETPIVOTDATA("XKL4",'kimlong (2016)'!$A$3,"MA_HT","LMU","MA_QH","DYT")</f>
        <v>0</v>
      </c>
      <c r="AH17" s="22">
        <f ca="1">+GETPIVOTDATA("XKL4",'kimlong (2016)'!$A$3,"MA_HT","LMU","MA_QH","DGD")</f>
        <v>0</v>
      </c>
      <c r="AI17" s="22">
        <f ca="1">+GETPIVOTDATA("XKL4",'kimlong (2016)'!$A$3,"MA_HT","LMU","MA_QH","DTT")</f>
        <v>0</v>
      </c>
      <c r="AJ17" s="22">
        <f ca="1">+GETPIVOTDATA("XKL4",'kimlong (2016)'!$A$3,"MA_HT","LMU","MA_QH","NCK")</f>
        <v>0</v>
      </c>
      <c r="AK17" s="22">
        <f ca="1">+GETPIVOTDATA("XKL4",'kimlong (2016)'!$A$3,"MA_HT","LMU","MA_QH","DXH")</f>
        <v>0</v>
      </c>
      <c r="AL17" s="22">
        <f ca="1">+GETPIVOTDATA("XKL4",'kimlong (2016)'!$A$3,"MA_HT","LMU","MA_QH","DCH")</f>
        <v>0</v>
      </c>
      <c r="AM17" s="22">
        <f ca="1">+GETPIVOTDATA("XKL4",'kimlong (2016)'!$A$3,"MA_HT","LMU","MA_QH","DKG")</f>
        <v>0</v>
      </c>
      <c r="AN17" s="22">
        <f ca="1">+GETPIVOTDATA("XKL4",'kimlong (2016)'!$A$3,"MA_HT","LMU","MA_QH","DDT")</f>
        <v>0</v>
      </c>
      <c r="AO17" s="22">
        <f ca="1">+GETPIVOTDATA("XKL4",'kimlong (2016)'!$A$3,"MA_HT","LMU","MA_QH","DDL")</f>
        <v>0</v>
      </c>
      <c r="AP17" s="22">
        <f ca="1">+GETPIVOTDATA("XKL4",'kimlong (2016)'!$A$3,"MA_HT","LMU","MA_QH","DRA")</f>
        <v>0</v>
      </c>
      <c r="AQ17" s="22">
        <f ca="1">+GETPIVOTDATA("XKL4",'kimlong (2016)'!$A$3,"MA_HT","LMU","MA_QH","ONT")</f>
        <v>0</v>
      </c>
      <c r="AR17" s="22">
        <f ca="1">+GETPIVOTDATA("XKL4",'kimlong (2016)'!$A$3,"MA_HT","LMU","MA_QH","ODT")</f>
        <v>0</v>
      </c>
      <c r="AS17" s="22">
        <f ca="1">+GETPIVOTDATA("XKL4",'kimlong (2016)'!$A$3,"MA_HT","LMU","MA_QH","TSC")</f>
        <v>0</v>
      </c>
      <c r="AT17" s="22">
        <f ca="1">+GETPIVOTDATA("XKL4",'kimlong (2016)'!$A$3,"MA_HT","LMU","MA_QH","DTS")</f>
        <v>0</v>
      </c>
      <c r="AU17" s="22">
        <f ca="1">+GETPIVOTDATA("XKL4",'kimlong (2016)'!$A$3,"MA_HT","LMU","MA_QH","DNG")</f>
        <v>0</v>
      </c>
      <c r="AV17" s="22">
        <f ca="1">+GETPIVOTDATA("XKL4",'kimlong (2016)'!$A$3,"MA_HT","LMU","MA_QH","TON")</f>
        <v>0</v>
      </c>
      <c r="AW17" s="22">
        <f ca="1">+GETPIVOTDATA("XKL4",'kimlong (2016)'!$A$3,"MA_HT","LMU","MA_QH","NTD")</f>
        <v>0</v>
      </c>
      <c r="AX17" s="22">
        <f ca="1">+GETPIVOTDATA("XKL4",'kimlong (2016)'!$A$3,"MA_HT","LMU","MA_QH","SKX")</f>
        <v>0</v>
      </c>
      <c r="AY17" s="22">
        <f ca="1">+GETPIVOTDATA("XKL4",'kimlong (2016)'!$A$3,"MA_HT","LMU","MA_QH","DSH")</f>
        <v>0</v>
      </c>
      <c r="AZ17" s="22">
        <f ca="1">+GETPIVOTDATA("XKL4",'kimlong (2016)'!$A$3,"MA_HT","LMU","MA_QH","DKV")</f>
        <v>0</v>
      </c>
      <c r="BA17" s="89">
        <f ca="1">+GETPIVOTDATA("XKL4",'kimlong (2016)'!$A$3,"MA_HT","LMU","MA_QH","TIN")</f>
        <v>0</v>
      </c>
      <c r="BB17" s="50">
        <f ca="1">+GETPIVOTDATA("XKL4",'kimlong (2016)'!$A$3,"MA_HT","LMU","MA_QH","SON")</f>
        <v>0</v>
      </c>
      <c r="BC17" s="50">
        <f ca="1">+GETPIVOTDATA("XKL4",'kimlong (2016)'!$A$3,"MA_HT","LMU","MA_QH","MNC")</f>
        <v>0</v>
      </c>
      <c r="BD17" s="22">
        <f ca="1">+GETPIVOTDATA("XKL4",'kimlong (2016)'!$A$3,"MA_HT","LMU","MA_QH","PNK")</f>
        <v>0</v>
      </c>
      <c r="BE17" s="71">
        <f ca="1">+GETPIVOTDATA("XKL4",'kimlong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+GETPIVOTDATA("XKL4",'kimlong (2016)'!$A$3,"MA_HT","NKH","MA_QH","LUC")</f>
        <v>0</v>
      </c>
      <c r="H18" s="22">
        <f ca="1">+GETPIVOTDATA("XKL4",'kimlong (2016)'!$A$3,"MA_HT","NKH","MA_QH","LUK")</f>
        <v>0</v>
      </c>
      <c r="I18" s="22">
        <f ca="1">+GETPIVOTDATA("XKL4",'kimlong (2016)'!$A$3,"MA_HT","NKH","MA_QH","LUN")</f>
        <v>0</v>
      </c>
      <c r="J18" s="22">
        <f ca="1">+GETPIVOTDATA("XKL4",'kimlong (2016)'!$A$3,"MA_HT","NKH","MA_QH","HNK")</f>
        <v>0</v>
      </c>
      <c r="K18" s="22">
        <f ca="1">+GETPIVOTDATA("XKL4",'kimlong (2016)'!$A$3,"MA_HT","NKH","MA_QH","CLN")</f>
        <v>0</v>
      </c>
      <c r="L18" s="22">
        <f ca="1">+GETPIVOTDATA("XKL4",'kimlong (2016)'!$A$3,"MA_HT","NKH","MA_QH","RSX")</f>
        <v>0</v>
      </c>
      <c r="M18" s="22">
        <f ca="1">+GETPIVOTDATA("XKL4",'kimlong (2016)'!$A$3,"MA_HT","NKH","MA_QH","RPH")</f>
        <v>0</v>
      </c>
      <c r="N18" s="22">
        <f ca="1">+GETPIVOTDATA("XKL4",'kimlong (2016)'!$A$3,"MA_HT","NKH","MA_QH","RDD")</f>
        <v>0</v>
      </c>
      <c r="O18" s="22">
        <f ca="1">+GETPIVOTDATA("XKL4",'kimlong (2016)'!$A$3,"MA_HT","NKH","MA_QH","NTS")</f>
        <v>0</v>
      </c>
      <c r="P18" s="22">
        <f ca="1">+GETPIVOTDATA("XKL4",'kimlong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+GETPIVOTDATA("XKL4",'kimlong (2016)'!$A$3,"MA_HT","NKH","MA_QH","CQP")</f>
        <v>0</v>
      </c>
      <c r="T18" s="22">
        <f ca="1">+GETPIVOTDATA("XKL4",'kimlong (2016)'!$A$3,"MA_HT","NKH","MA_QH","CAN")</f>
        <v>0</v>
      </c>
      <c r="U18" s="22">
        <f ca="1">+GETPIVOTDATA("XKL4",'kimlong (2016)'!$A$3,"MA_HT","NKH","MA_QH","SKK")</f>
        <v>0</v>
      </c>
      <c r="V18" s="22">
        <f ca="1">+GETPIVOTDATA("XKL4",'kimlong (2016)'!$A$3,"MA_HT","NKH","MA_QH","SKT")</f>
        <v>0</v>
      </c>
      <c r="W18" s="22">
        <f ca="1">+GETPIVOTDATA("XKL4",'kimlong (2016)'!$A$3,"MA_HT","NKH","MA_QH","SKN")</f>
        <v>0</v>
      </c>
      <c r="X18" s="22">
        <f ca="1">+GETPIVOTDATA("XKL4",'kimlong (2016)'!$A$3,"MA_HT","NKH","MA_QH","TMD")</f>
        <v>0</v>
      </c>
      <c r="Y18" s="22">
        <f ca="1">+GETPIVOTDATA("XKL4",'kimlong (2016)'!$A$3,"MA_HT","NKH","MA_QH","SKC")</f>
        <v>0</v>
      </c>
      <c r="Z18" s="22">
        <f ca="1">+GETPIVOTDATA("XKL4",'kimlong (2016)'!$A$3,"MA_HT","NKH","MA_QH","SKS")</f>
        <v>0</v>
      </c>
      <c r="AA18" s="52">
        <f ca="1" t="shared" si="4"/>
        <v>0</v>
      </c>
      <c r="AB18" s="22">
        <f ca="1">+GETPIVOTDATA("XKL4",'kimlong (2016)'!$A$3,"MA_HT","NKH","MA_QH","DGT")</f>
        <v>0</v>
      </c>
      <c r="AC18" s="22">
        <f ca="1">+GETPIVOTDATA("XKL4",'kimlong (2016)'!$A$3,"MA_HT","NKH","MA_QH","DTL")</f>
        <v>0</v>
      </c>
      <c r="AD18" s="22">
        <f ca="1">+GETPIVOTDATA("XKL4",'kimlong (2016)'!$A$3,"MA_HT","NKH","MA_QH","DNL")</f>
        <v>0</v>
      </c>
      <c r="AE18" s="22">
        <f ca="1">+GETPIVOTDATA("XKL4",'kimlong (2016)'!$A$3,"MA_HT","NKH","MA_QH","DBV")</f>
        <v>0</v>
      </c>
      <c r="AF18" s="22">
        <f ca="1">+GETPIVOTDATA("XKL4",'kimlong (2016)'!$A$3,"MA_HT","NKH","MA_QH","DVH")</f>
        <v>0</v>
      </c>
      <c r="AG18" s="22">
        <f ca="1">+GETPIVOTDATA("XKL4",'kimlong (2016)'!$A$3,"MA_HT","NKH","MA_QH","DYT")</f>
        <v>0</v>
      </c>
      <c r="AH18" s="22">
        <f ca="1">+GETPIVOTDATA("XKL4",'kimlong (2016)'!$A$3,"MA_HT","NKH","MA_QH","DGD")</f>
        <v>0</v>
      </c>
      <c r="AI18" s="22">
        <f ca="1">+GETPIVOTDATA("XKL4",'kimlong (2016)'!$A$3,"MA_HT","NKH","MA_QH","DTT")</f>
        <v>0</v>
      </c>
      <c r="AJ18" s="22">
        <f ca="1">+GETPIVOTDATA("XKL4",'kimlong (2016)'!$A$3,"MA_HT","NKH","MA_QH","NCK")</f>
        <v>0</v>
      </c>
      <c r="AK18" s="22">
        <f ca="1">+GETPIVOTDATA("XKL4",'kimlong (2016)'!$A$3,"MA_HT","NKH","MA_QH","DXH")</f>
        <v>0</v>
      </c>
      <c r="AL18" s="22">
        <f ca="1">+GETPIVOTDATA("XKL4",'kimlong (2016)'!$A$3,"MA_HT","NKH","MA_QH","DCH")</f>
        <v>0</v>
      </c>
      <c r="AM18" s="22">
        <f ca="1">+GETPIVOTDATA("XKL4",'kimlong (2016)'!$A$3,"MA_HT","NKH","MA_QH","DKG")</f>
        <v>0</v>
      </c>
      <c r="AN18" s="22">
        <f ca="1">+GETPIVOTDATA("XKL4",'kimlong (2016)'!$A$3,"MA_HT","NKH","MA_QH","DDT")</f>
        <v>0</v>
      </c>
      <c r="AO18" s="22">
        <f ca="1">+GETPIVOTDATA("XKL4",'kimlong (2016)'!$A$3,"MA_HT","NKH","MA_QH","DDL")</f>
        <v>0</v>
      </c>
      <c r="AP18" s="22">
        <f ca="1">+GETPIVOTDATA("XKL4",'kimlong (2016)'!$A$3,"MA_HT","NKH","MA_QH","DRA")</f>
        <v>0</v>
      </c>
      <c r="AQ18" s="22">
        <f ca="1">+GETPIVOTDATA("XKL4",'kimlong (2016)'!$A$3,"MA_HT","NKH","MA_QH","ONT")</f>
        <v>0</v>
      </c>
      <c r="AR18" s="22">
        <f ca="1">+GETPIVOTDATA("XKL4",'kimlong (2016)'!$A$3,"MA_HT","NKH","MA_QH","ODT")</f>
        <v>0</v>
      </c>
      <c r="AS18" s="22">
        <f ca="1">+GETPIVOTDATA("XKL4",'kimlong (2016)'!$A$3,"MA_HT","NKH","MA_QH","TSC")</f>
        <v>0</v>
      </c>
      <c r="AT18" s="22">
        <f ca="1">+GETPIVOTDATA("XKL4",'kimlong (2016)'!$A$3,"MA_HT","NKH","MA_QH","DTS")</f>
        <v>0</v>
      </c>
      <c r="AU18" s="22">
        <f ca="1">+GETPIVOTDATA("XKL4",'kimlong (2016)'!$A$3,"MA_HT","NKH","MA_QH","DNG")</f>
        <v>0</v>
      </c>
      <c r="AV18" s="22">
        <f ca="1">+GETPIVOTDATA("XKL4",'kimlong (2016)'!$A$3,"MA_HT","NKH","MA_QH","TON")</f>
        <v>0</v>
      </c>
      <c r="AW18" s="22">
        <f ca="1">+GETPIVOTDATA("XKL4",'kimlong (2016)'!$A$3,"MA_HT","NKH","MA_QH","NTD")</f>
        <v>0</v>
      </c>
      <c r="AX18" s="22">
        <f ca="1">+GETPIVOTDATA("XKL4",'kimlong (2016)'!$A$3,"MA_HT","NKH","MA_QH","SKX")</f>
        <v>0</v>
      </c>
      <c r="AY18" s="22">
        <f ca="1">+GETPIVOTDATA("XKL4",'kimlong (2016)'!$A$3,"MA_HT","NKH","MA_QH","DSH")</f>
        <v>0</v>
      </c>
      <c r="AZ18" s="22">
        <f ca="1">+GETPIVOTDATA("XKL4",'kimlong (2016)'!$A$3,"MA_HT","NKH","MA_QH","DKV")</f>
        <v>0</v>
      </c>
      <c r="BA18" s="89">
        <f ca="1">+GETPIVOTDATA("XKL4",'kimlong (2016)'!$A$3,"MA_HT","NKH","MA_QH","TIN")</f>
        <v>0</v>
      </c>
      <c r="BB18" s="50">
        <f ca="1">+GETPIVOTDATA("XKL4",'kimlong (2016)'!$A$3,"MA_HT","NKH","MA_QH","SON")</f>
        <v>0</v>
      </c>
      <c r="BC18" s="50">
        <f ca="1">+GETPIVOTDATA("XKL4",'kimlong (2016)'!$A$3,"MA_HT","NKH","MA_QH","MNC")</f>
        <v>0</v>
      </c>
      <c r="BD18" s="22">
        <f ca="1">+GETPIVOTDATA("XKL4",'kimlong (2016)'!$A$3,"MA_HT","NKH","MA_QH","PNK")</f>
        <v>0</v>
      </c>
      <c r="BE18" s="71">
        <f ca="1">+GETPIVOTDATA("XKL4",'kimlong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+GETPIVOTDATA("XKL4",'kimlong (2016)'!$A$3,"MA_HT","CQP","MA_QH","LUC")</f>
        <v>0</v>
      </c>
      <c r="H20" s="22">
        <f ca="1">+GETPIVOTDATA("XKL4",'kimlong (2016)'!$A$3,"MA_HT","CQP","MA_QH","LUK")</f>
        <v>0</v>
      </c>
      <c r="I20" s="22">
        <f ca="1">+GETPIVOTDATA("XKL4",'kimlong (2016)'!$A$3,"MA_HT","CQP","MA_QH","LUN")</f>
        <v>0</v>
      </c>
      <c r="J20" s="22">
        <f ca="1">+GETPIVOTDATA("XKL4",'kimlong (2016)'!$A$3,"MA_HT","CQP","MA_QH","HNK")</f>
        <v>0</v>
      </c>
      <c r="K20" s="22">
        <f ca="1">+GETPIVOTDATA("XKL4",'kimlong (2016)'!$A$3,"MA_HT","CQP","MA_QH","CLN")</f>
        <v>0</v>
      </c>
      <c r="L20" s="22">
        <f ca="1">+GETPIVOTDATA("XKL4",'kimlong (2016)'!$A$3,"MA_HT","CQP","MA_QH","RSX")</f>
        <v>0</v>
      </c>
      <c r="M20" s="22">
        <f ca="1">+GETPIVOTDATA("XKL4",'kimlong (2016)'!$A$3,"MA_HT","CQP","MA_QH","RPH")</f>
        <v>0</v>
      </c>
      <c r="N20" s="22">
        <f ca="1">+GETPIVOTDATA("XKL4",'kimlong (2016)'!$A$3,"MA_HT","CQP","MA_QH","RDD")</f>
        <v>0</v>
      </c>
      <c r="O20" s="22">
        <f ca="1">+GETPIVOTDATA("XKL4",'kimlong (2016)'!$A$3,"MA_HT","CQP","MA_QH","NTS")</f>
        <v>0</v>
      </c>
      <c r="P20" s="22">
        <f ca="1">+GETPIVOTDATA("XKL4",'kimlong (2016)'!$A$3,"MA_HT","CQP","MA_QH","LMU")</f>
        <v>0</v>
      </c>
      <c r="Q20" s="22">
        <f ca="1">+GETPIVOTDATA("XKL4",'kimlong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+GETPIVOTDATA("XKL4",'kimlong (2016)'!$A$3,"MA_HT","CQP","MA_QH","CAN")</f>
        <v>0</v>
      </c>
      <c r="U20" s="22">
        <f ca="1">+GETPIVOTDATA("XKL4",'kimlong (2016)'!$A$3,"MA_HT","CQP","MA_QH","SKK")</f>
        <v>0</v>
      </c>
      <c r="V20" s="22">
        <f ca="1">+GETPIVOTDATA("XKL4",'kimlong (2016)'!$A$3,"MA_HT","CQP","MA_QH","SKT")</f>
        <v>0</v>
      </c>
      <c r="W20" s="22">
        <f ca="1">+GETPIVOTDATA("XKL4",'kimlong (2016)'!$A$3,"MA_HT","CQP","MA_QH","SKN")</f>
        <v>0</v>
      </c>
      <c r="X20" s="22">
        <f ca="1">+GETPIVOTDATA("XKL4",'kimlong (2016)'!$A$3,"MA_HT","CQP","MA_QH","TMD")</f>
        <v>0</v>
      </c>
      <c r="Y20" s="22">
        <f ca="1">+GETPIVOTDATA("XKL4",'kimlong (2016)'!$A$3,"MA_HT","CQP","MA_QH","SKC")</f>
        <v>0</v>
      </c>
      <c r="Z20" s="22">
        <f ca="1">+GETPIVOTDATA("XKL4",'kimlong (2016)'!$A$3,"MA_HT","CQP","MA_QH","SKS")</f>
        <v>0</v>
      </c>
      <c r="AA20" s="52">
        <f ca="1" t="shared" ref="AA20:AA27" si="12">+SUM(AB20:AM20)</f>
        <v>0</v>
      </c>
      <c r="AB20" s="22">
        <f ca="1">+GETPIVOTDATA("XKL4",'kimlong (2016)'!$A$3,"MA_HT","CQP","MA_QH","DGT")</f>
        <v>0</v>
      </c>
      <c r="AC20" s="22">
        <f ca="1">+GETPIVOTDATA("XKL4",'kimlong (2016)'!$A$3,"MA_HT","CQP","MA_QH","DTL")</f>
        <v>0</v>
      </c>
      <c r="AD20" s="22">
        <f ca="1">+GETPIVOTDATA("XKL4",'kimlong (2016)'!$A$3,"MA_HT","CQP","MA_QH","DNL")</f>
        <v>0</v>
      </c>
      <c r="AE20" s="22">
        <f ca="1">+GETPIVOTDATA("XKL4",'kimlong (2016)'!$A$3,"MA_HT","CQP","MA_QH","DBV")</f>
        <v>0</v>
      </c>
      <c r="AF20" s="22">
        <f ca="1">+GETPIVOTDATA("XKL4",'kimlong (2016)'!$A$3,"MA_HT","CQP","MA_QH","DVH")</f>
        <v>0</v>
      </c>
      <c r="AG20" s="22">
        <f ca="1">+GETPIVOTDATA("XKL4",'kimlong (2016)'!$A$3,"MA_HT","CQP","MA_QH","DYT")</f>
        <v>0</v>
      </c>
      <c r="AH20" s="22">
        <f ca="1">+GETPIVOTDATA("XKL4",'kimlong (2016)'!$A$3,"MA_HT","CQP","MA_QH","DGD")</f>
        <v>0</v>
      </c>
      <c r="AI20" s="22">
        <f ca="1">+GETPIVOTDATA("XKL4",'kimlong (2016)'!$A$3,"MA_HT","CQP","MA_QH","DTT")</f>
        <v>0</v>
      </c>
      <c r="AJ20" s="22">
        <f ca="1">+GETPIVOTDATA("XKL4",'kimlong (2016)'!$A$3,"MA_HT","CQP","MA_QH","NCK")</f>
        <v>0</v>
      </c>
      <c r="AK20" s="22">
        <f ca="1">+GETPIVOTDATA("XKL4",'kimlong (2016)'!$A$3,"MA_HT","CQP","MA_QH","DXH")</f>
        <v>0</v>
      </c>
      <c r="AL20" s="22">
        <f ca="1">+GETPIVOTDATA("XKL4",'kimlong (2016)'!$A$3,"MA_HT","CQP","MA_QH","DCH")</f>
        <v>0</v>
      </c>
      <c r="AM20" s="22">
        <f ca="1">+GETPIVOTDATA("XKL4",'kimlong (2016)'!$A$3,"MA_HT","CQP","MA_QH","DKG")</f>
        <v>0</v>
      </c>
      <c r="AN20" s="22">
        <f ca="1">+GETPIVOTDATA("XKL4",'kimlong (2016)'!$A$3,"MA_HT","CQP","MA_QH","DDT")</f>
        <v>0</v>
      </c>
      <c r="AO20" s="22">
        <f ca="1">+GETPIVOTDATA("XKL4",'kimlong (2016)'!$A$3,"MA_HT","CQP","MA_QH","DDL")</f>
        <v>0</v>
      </c>
      <c r="AP20" s="22">
        <f ca="1">+GETPIVOTDATA("XKL4",'kimlong (2016)'!$A$3,"MA_HT","CQP","MA_QH","DRA")</f>
        <v>0</v>
      </c>
      <c r="AQ20" s="22">
        <f ca="1">+GETPIVOTDATA("XKL4",'kimlong (2016)'!$A$3,"MA_HT","CQP","MA_QH","ONT")</f>
        <v>0</v>
      </c>
      <c r="AR20" s="22">
        <f ca="1">+GETPIVOTDATA("XKL4",'kimlong (2016)'!$A$3,"MA_HT","CQP","MA_QH","ODT")</f>
        <v>0</v>
      </c>
      <c r="AS20" s="22">
        <f ca="1">+GETPIVOTDATA("XKL4",'kimlong (2016)'!$A$3,"MA_HT","CQP","MA_QH","TSC")</f>
        <v>0</v>
      </c>
      <c r="AT20" s="22">
        <f ca="1">+GETPIVOTDATA("XKL4",'kimlong (2016)'!$A$3,"MA_HT","CQP","MA_QH","DTS")</f>
        <v>0</v>
      </c>
      <c r="AU20" s="22">
        <f ca="1">+GETPIVOTDATA("XKL4",'kimlong (2016)'!$A$3,"MA_HT","CQP","MA_QH","DNG")</f>
        <v>0</v>
      </c>
      <c r="AV20" s="22">
        <f ca="1">+GETPIVOTDATA("XKL4",'kimlong (2016)'!$A$3,"MA_HT","CQP","MA_QH","TON")</f>
        <v>0</v>
      </c>
      <c r="AW20" s="22">
        <f ca="1">+GETPIVOTDATA("XKL4",'kimlong (2016)'!$A$3,"MA_HT","CQP","MA_QH","NTD")</f>
        <v>0</v>
      </c>
      <c r="AX20" s="22">
        <f ca="1">+GETPIVOTDATA("XKL4",'kimlong (2016)'!$A$3,"MA_HT","CQP","MA_QH","SKX")</f>
        <v>0</v>
      </c>
      <c r="AY20" s="22">
        <f ca="1">+GETPIVOTDATA("XKL4",'kimlong (2016)'!$A$3,"MA_HT","CQP","MA_QH","DSH")</f>
        <v>0</v>
      </c>
      <c r="AZ20" s="22">
        <f ca="1">+GETPIVOTDATA("XKL4",'kimlong (2016)'!$A$3,"MA_HT","CQP","MA_QH","DKV")</f>
        <v>0</v>
      </c>
      <c r="BA20" s="89">
        <f ca="1">+GETPIVOTDATA("XKL4",'kimlong (2016)'!$A$3,"MA_HT","CQP","MA_QH","TIN")</f>
        <v>0</v>
      </c>
      <c r="BB20" s="50">
        <f ca="1">+GETPIVOTDATA("XKL4",'kimlong (2016)'!$A$3,"MA_HT","CQP","MA_QH","SON")</f>
        <v>0</v>
      </c>
      <c r="BC20" s="50">
        <f ca="1">+GETPIVOTDATA("XKL4",'kimlong (2016)'!$A$3,"MA_HT","CQP","MA_QH","MNC")</f>
        <v>0</v>
      </c>
      <c r="BD20" s="22">
        <f ca="1">+GETPIVOTDATA("XKL4",'kimlong (2016)'!$A$3,"MA_HT","CQP","MA_QH","PNK")</f>
        <v>0</v>
      </c>
      <c r="BE20" s="71">
        <f ca="1">+GETPIVOTDATA("XKL4",'kimlong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+GETPIVOTDATA("XKL4",'kimlong (2016)'!$A$3,"MA_HT","CAN","MA_QH","LUC")</f>
        <v>0</v>
      </c>
      <c r="H21" s="22">
        <f ca="1">+GETPIVOTDATA("XKL4",'kimlong (2016)'!$A$3,"MA_HT","CAN","MA_QH","LUK")</f>
        <v>0</v>
      </c>
      <c r="I21" s="22">
        <f ca="1">+GETPIVOTDATA("XKL4",'kimlong (2016)'!$A$3,"MA_HT","CAN","MA_QH","LUN")</f>
        <v>0</v>
      </c>
      <c r="J21" s="22">
        <f ca="1">+GETPIVOTDATA("XKL4",'kimlong (2016)'!$A$3,"MA_HT","CAN","MA_QH","HNK")</f>
        <v>0</v>
      </c>
      <c r="K21" s="22">
        <f ca="1">+GETPIVOTDATA("XKL4",'kimlong (2016)'!$A$3,"MA_HT","CAN","MA_QH","CLN")</f>
        <v>0</v>
      </c>
      <c r="L21" s="22">
        <f ca="1">+GETPIVOTDATA("XKL4",'kimlong (2016)'!$A$3,"MA_HT","CAN","MA_QH","RSX")</f>
        <v>0</v>
      </c>
      <c r="M21" s="22">
        <f ca="1">+GETPIVOTDATA("XKL4",'kimlong (2016)'!$A$3,"MA_HT","CAN","MA_QH","RPH")</f>
        <v>0</v>
      </c>
      <c r="N21" s="22">
        <f ca="1">+GETPIVOTDATA("XKL4",'kimlong (2016)'!$A$3,"MA_HT","CAN","MA_QH","RDD")</f>
        <v>0</v>
      </c>
      <c r="O21" s="22">
        <f ca="1">+GETPIVOTDATA("XKL4",'kimlong (2016)'!$A$3,"MA_HT","CAN","MA_QH","NTS")</f>
        <v>0</v>
      </c>
      <c r="P21" s="22">
        <f ca="1">+GETPIVOTDATA("XKL4",'kimlong (2016)'!$A$3,"MA_HT","CAN","MA_QH","LMU")</f>
        <v>0</v>
      </c>
      <c r="Q21" s="22">
        <f ca="1">+GETPIVOTDATA("XKL4",'kimlong (2016)'!$A$3,"MA_HT","CAN","MA_QH","NKH")</f>
        <v>0</v>
      </c>
      <c r="R21" s="42">
        <f ca="1">SUM(S21,U21:AA21,AN21:BD21)</f>
        <v>0</v>
      </c>
      <c r="S21" s="22">
        <f ca="1">+GETPIVOTDATA("XKL4",'kimlong (2016)'!$A$3,"MA_HT","CAN","MA_QH","CQP")</f>
        <v>0</v>
      </c>
      <c r="T21" s="43" t="e">
        <f ca="1">$D21-$BF21</f>
        <v>#REF!</v>
      </c>
      <c r="U21" s="22">
        <f ca="1">+GETPIVOTDATA("XKL4",'kimlong (2016)'!$A$3,"MA_HT","CAN","MA_QH","SKK")</f>
        <v>0</v>
      </c>
      <c r="V21" s="22">
        <f ca="1">+GETPIVOTDATA("XKL4",'kimlong (2016)'!$A$3,"MA_HT","CAN","MA_QH","SKT")</f>
        <v>0</v>
      </c>
      <c r="W21" s="22">
        <f ca="1">+GETPIVOTDATA("XKL4",'kimlong (2016)'!$A$3,"MA_HT","CAN","MA_QH","SKN")</f>
        <v>0</v>
      </c>
      <c r="X21" s="22">
        <f ca="1">+GETPIVOTDATA("XKL4",'kimlong (2016)'!$A$3,"MA_HT","CAN","MA_QH","TMD")</f>
        <v>0</v>
      </c>
      <c r="Y21" s="22">
        <f ca="1">+GETPIVOTDATA("XKL4",'kimlong (2016)'!$A$3,"MA_HT","CAN","MA_QH","SKC")</f>
        <v>0</v>
      </c>
      <c r="Z21" s="22">
        <f ca="1">+GETPIVOTDATA("XKL4",'kimlong (2016)'!$A$3,"MA_HT","CAN","MA_QH","SKS")</f>
        <v>0</v>
      </c>
      <c r="AA21" s="52">
        <f ca="1" t="shared" si="12"/>
        <v>0</v>
      </c>
      <c r="AB21" s="22">
        <f ca="1">+GETPIVOTDATA("XKL4",'kimlong (2016)'!$A$3,"MA_HT","CAN","MA_QH","DGT")</f>
        <v>0</v>
      </c>
      <c r="AC21" s="22">
        <f ca="1">+GETPIVOTDATA("XKL4",'kimlong (2016)'!$A$3,"MA_HT","CAN","MA_QH","DTL")</f>
        <v>0</v>
      </c>
      <c r="AD21" s="22">
        <f ca="1">+GETPIVOTDATA("XKL4",'kimlong (2016)'!$A$3,"MA_HT","CAN","MA_QH","DNL")</f>
        <v>0</v>
      </c>
      <c r="AE21" s="22">
        <f ca="1">+GETPIVOTDATA("XKL4",'kimlong (2016)'!$A$3,"MA_HT","CAN","MA_QH","DBV")</f>
        <v>0</v>
      </c>
      <c r="AF21" s="22">
        <f ca="1">+GETPIVOTDATA("XKL4",'kimlong (2016)'!$A$3,"MA_HT","CAN","MA_QH","DVH")</f>
        <v>0</v>
      </c>
      <c r="AG21" s="22">
        <f ca="1">+GETPIVOTDATA("XKL4",'kimlong (2016)'!$A$3,"MA_HT","CAN","MA_QH","DYT")</f>
        <v>0</v>
      </c>
      <c r="AH21" s="22">
        <f ca="1">+GETPIVOTDATA("XKL4",'kimlong (2016)'!$A$3,"MA_HT","CAN","MA_QH","DGD")</f>
        <v>0</v>
      </c>
      <c r="AI21" s="22">
        <f ca="1">+GETPIVOTDATA("XKL4",'kimlong (2016)'!$A$3,"MA_HT","CAN","MA_QH","DTT")</f>
        <v>0</v>
      </c>
      <c r="AJ21" s="22">
        <f ca="1">+GETPIVOTDATA("XKL4",'kimlong (2016)'!$A$3,"MA_HT","CAN","MA_QH","NCK")</f>
        <v>0</v>
      </c>
      <c r="AK21" s="22">
        <f ca="1">+GETPIVOTDATA("XKL4",'kimlong (2016)'!$A$3,"MA_HT","CAN","MA_QH","DXH")</f>
        <v>0</v>
      </c>
      <c r="AL21" s="22">
        <f ca="1">+GETPIVOTDATA("XKL4",'kimlong (2016)'!$A$3,"MA_HT","CAN","MA_QH","DCH")</f>
        <v>0</v>
      </c>
      <c r="AM21" s="22">
        <f ca="1">+GETPIVOTDATA("XKL4",'kimlong (2016)'!$A$3,"MA_HT","CAN","MA_QH","DKG")</f>
        <v>0</v>
      </c>
      <c r="AN21" s="22">
        <f ca="1">+GETPIVOTDATA("XKL4",'kimlong (2016)'!$A$3,"MA_HT","CAN","MA_QH","DDT")</f>
        <v>0</v>
      </c>
      <c r="AO21" s="22">
        <f ca="1">+GETPIVOTDATA("XKL4",'kimlong (2016)'!$A$3,"MA_HT","CAN","MA_QH","DDL")</f>
        <v>0</v>
      </c>
      <c r="AP21" s="22">
        <f ca="1">+GETPIVOTDATA("XKL4",'kimlong (2016)'!$A$3,"MA_HT","CAN","MA_QH","DRA")</f>
        <v>0</v>
      </c>
      <c r="AQ21" s="22">
        <f ca="1">+GETPIVOTDATA("XKL4",'kimlong (2016)'!$A$3,"MA_HT","CAN","MA_QH","ONT")</f>
        <v>0</v>
      </c>
      <c r="AR21" s="22">
        <f ca="1">+GETPIVOTDATA("XKL4",'kimlong (2016)'!$A$3,"MA_HT","CAN","MA_QH","ODT")</f>
        <v>0</v>
      </c>
      <c r="AS21" s="22">
        <f ca="1">+GETPIVOTDATA("XKL4",'kimlong (2016)'!$A$3,"MA_HT","CAN","MA_QH","TSC")</f>
        <v>0</v>
      </c>
      <c r="AT21" s="22">
        <f ca="1">+GETPIVOTDATA("XKL4",'kimlong (2016)'!$A$3,"MA_HT","CAN","MA_QH","DTS")</f>
        <v>0</v>
      </c>
      <c r="AU21" s="22">
        <f ca="1">+GETPIVOTDATA("XKL4",'kimlong (2016)'!$A$3,"MA_HT","CAN","MA_QH","DNG")</f>
        <v>0</v>
      </c>
      <c r="AV21" s="22">
        <f ca="1">+GETPIVOTDATA("XKL4",'kimlong (2016)'!$A$3,"MA_HT","CAN","MA_QH","TON")</f>
        <v>0</v>
      </c>
      <c r="AW21" s="22">
        <f ca="1">+GETPIVOTDATA("XKL4",'kimlong (2016)'!$A$3,"MA_HT","CAN","MA_QH","NTD")</f>
        <v>0</v>
      </c>
      <c r="AX21" s="22">
        <f ca="1">+GETPIVOTDATA("XKL4",'kimlong (2016)'!$A$3,"MA_HT","CAN","MA_QH","SKX")</f>
        <v>0</v>
      </c>
      <c r="AY21" s="22">
        <f ca="1">+GETPIVOTDATA("XKL4",'kimlong (2016)'!$A$3,"MA_HT","CAN","MA_QH","DSH")</f>
        <v>0</v>
      </c>
      <c r="AZ21" s="22">
        <f ca="1">+GETPIVOTDATA("XKL4",'kimlong (2016)'!$A$3,"MA_HT","CAN","MA_QH","DKV")</f>
        <v>0</v>
      </c>
      <c r="BA21" s="89">
        <f ca="1">+GETPIVOTDATA("XKL4",'kimlong (2016)'!$A$3,"MA_HT","CAN","MA_QH","TIN")</f>
        <v>0</v>
      </c>
      <c r="BB21" s="50">
        <f ca="1">+GETPIVOTDATA("XKL4",'kimlong (2016)'!$A$3,"MA_HT","CAN","MA_QH","SON")</f>
        <v>0</v>
      </c>
      <c r="BC21" s="50">
        <f ca="1">+GETPIVOTDATA("XKL4",'kimlong (2016)'!$A$3,"MA_HT","CAN","MA_QH","MNC")</f>
        <v>0</v>
      </c>
      <c r="BD21" s="22">
        <f ca="1">+GETPIVOTDATA("XKL4",'kimlong (2016)'!$A$3,"MA_HT","CAN","MA_QH","PNK")</f>
        <v>0</v>
      </c>
      <c r="BE21" s="71">
        <f ca="1">+GETPIVOTDATA("XKL4",'kimlong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+GETPIVOTDATA("XKL4",'kimlong (2016)'!$A$3,"MA_HT","SKK","MA_QH","LUC")</f>
        <v>0</v>
      </c>
      <c r="H22" s="22">
        <f ca="1">+GETPIVOTDATA("XKL4",'kimlong (2016)'!$A$3,"MA_HT","SKK","MA_QH","LUK")</f>
        <v>0</v>
      </c>
      <c r="I22" s="22">
        <f ca="1">+GETPIVOTDATA("XKL4",'kimlong (2016)'!$A$3,"MA_HT","SKK","MA_QH","LUN")</f>
        <v>0</v>
      </c>
      <c r="J22" s="22">
        <f ca="1">+GETPIVOTDATA("XKL4",'kimlong (2016)'!$A$3,"MA_HT","SKK","MA_QH","HNK")</f>
        <v>0</v>
      </c>
      <c r="K22" s="22">
        <f ca="1">+GETPIVOTDATA("XKL4",'kimlong (2016)'!$A$3,"MA_HT","SKK","MA_QH","CLN")</f>
        <v>0</v>
      </c>
      <c r="L22" s="22">
        <f ca="1">+GETPIVOTDATA("XKL4",'kimlong (2016)'!$A$3,"MA_HT","SKK","MA_QH","RSX")</f>
        <v>0</v>
      </c>
      <c r="M22" s="22">
        <f ca="1">+GETPIVOTDATA("XKL4",'kimlong (2016)'!$A$3,"MA_HT","SKK","MA_QH","RPH")</f>
        <v>0</v>
      </c>
      <c r="N22" s="22">
        <f ca="1">+GETPIVOTDATA("XKL4",'kimlong (2016)'!$A$3,"MA_HT","SKK","MA_QH","RDD")</f>
        <v>0</v>
      </c>
      <c r="O22" s="22">
        <f ca="1">+GETPIVOTDATA("XKL4",'kimlong (2016)'!$A$3,"MA_HT","SKK","MA_QH","NTS")</f>
        <v>0</v>
      </c>
      <c r="P22" s="22">
        <f ca="1">+GETPIVOTDATA("XKL4",'kimlong (2016)'!$A$3,"MA_HT","SKK","MA_QH","LMU")</f>
        <v>0</v>
      </c>
      <c r="Q22" s="22">
        <f ca="1">+GETPIVOTDATA("XKL4",'kimlong (2016)'!$A$3,"MA_HT","SKK","MA_QH","NKH")</f>
        <v>0</v>
      </c>
      <c r="R22" s="42">
        <f ca="1">SUM(S22:T22,V22:AA22,AN22:BD22)</f>
        <v>0</v>
      </c>
      <c r="S22" s="22">
        <f ca="1">+GETPIVOTDATA("XKL4",'kimlong (2016)'!$A$3,"MA_HT","SKK","MA_QH","CQP")</f>
        <v>0</v>
      </c>
      <c r="T22" s="22">
        <f ca="1">+GETPIVOTDATA("XKL4",'kimlong (2016)'!$A$3,"MA_HT","SKK","MA_QH","CAN")</f>
        <v>0</v>
      </c>
      <c r="U22" s="43" t="e">
        <f ca="1">$D22-$BF22</f>
        <v>#REF!</v>
      </c>
      <c r="V22" s="22">
        <f ca="1">+GETPIVOTDATA("XKL4",'kimlong (2016)'!$A$3,"MA_HT","SKK","MA_QH","SKT")</f>
        <v>0</v>
      </c>
      <c r="W22" s="22">
        <f ca="1">+GETPIVOTDATA("XKL4",'kimlong (2016)'!$A$3,"MA_HT","SKK","MA_QH","SKN")</f>
        <v>0</v>
      </c>
      <c r="X22" s="22">
        <f ca="1">+GETPIVOTDATA("XKL4",'kimlong (2016)'!$A$3,"MA_HT","SKK","MA_QH","TMD")</f>
        <v>0</v>
      </c>
      <c r="Y22" s="22">
        <f ca="1">+GETPIVOTDATA("XKL4",'kimlong (2016)'!$A$3,"MA_HT","SKK","MA_QH","SKC")</f>
        <v>0</v>
      </c>
      <c r="Z22" s="22">
        <f ca="1">+GETPIVOTDATA("XKL4",'kimlong (2016)'!$A$3,"MA_HT","SKK","MA_QH","SKS")</f>
        <v>0</v>
      </c>
      <c r="AA22" s="52">
        <f ca="1" t="shared" si="12"/>
        <v>0</v>
      </c>
      <c r="AB22" s="22">
        <f ca="1">+GETPIVOTDATA("XKL4",'kimlong (2016)'!$A$3,"MA_HT","SKK","MA_QH","DGT")</f>
        <v>0</v>
      </c>
      <c r="AC22" s="22">
        <f ca="1">+GETPIVOTDATA("XKL4",'kimlong (2016)'!$A$3,"MA_HT","SKK","MA_QH","DTL")</f>
        <v>0</v>
      </c>
      <c r="AD22" s="22">
        <f ca="1">+GETPIVOTDATA("XKL4",'kimlong (2016)'!$A$3,"MA_HT","SKK","MA_QH","DNL")</f>
        <v>0</v>
      </c>
      <c r="AE22" s="22">
        <f ca="1">+GETPIVOTDATA("XKL4",'kimlong (2016)'!$A$3,"MA_HT","SKK","MA_QH","DBV")</f>
        <v>0</v>
      </c>
      <c r="AF22" s="22">
        <f ca="1">+GETPIVOTDATA("XKL4",'kimlong (2016)'!$A$3,"MA_HT","SKK","MA_QH","DVH")</f>
        <v>0</v>
      </c>
      <c r="AG22" s="22">
        <f ca="1">+GETPIVOTDATA("XKL4",'kimlong (2016)'!$A$3,"MA_HT","SKK","MA_QH","DYT")</f>
        <v>0</v>
      </c>
      <c r="AH22" s="22">
        <f ca="1">+GETPIVOTDATA("XKL4",'kimlong (2016)'!$A$3,"MA_HT","SKK","MA_QH","DGD")</f>
        <v>0</v>
      </c>
      <c r="AI22" s="22">
        <f ca="1">+GETPIVOTDATA("XKL4",'kimlong (2016)'!$A$3,"MA_HT","SKK","MA_QH","DTT")</f>
        <v>0</v>
      </c>
      <c r="AJ22" s="22">
        <f ca="1">+GETPIVOTDATA("XKL4",'kimlong (2016)'!$A$3,"MA_HT","SKK","MA_QH","NCK")</f>
        <v>0</v>
      </c>
      <c r="AK22" s="22">
        <f ca="1">+GETPIVOTDATA("XKL4",'kimlong (2016)'!$A$3,"MA_HT","SKK","MA_QH","DXH")</f>
        <v>0</v>
      </c>
      <c r="AL22" s="22">
        <f ca="1">+GETPIVOTDATA("XKL4",'kimlong (2016)'!$A$3,"MA_HT","SKK","MA_QH","DCH")</f>
        <v>0</v>
      </c>
      <c r="AM22" s="22">
        <f ca="1">+GETPIVOTDATA("XKL4",'kimlong (2016)'!$A$3,"MA_HT","SKK","MA_QH","DKG")</f>
        <v>0</v>
      </c>
      <c r="AN22" s="22">
        <f ca="1">+GETPIVOTDATA("XKL4",'kimlong (2016)'!$A$3,"MA_HT","SKK","MA_QH","DDT")</f>
        <v>0</v>
      </c>
      <c r="AO22" s="22">
        <f ca="1">+GETPIVOTDATA("XKL4",'kimlong (2016)'!$A$3,"MA_HT","SKK","MA_QH","DDL")</f>
        <v>0</v>
      </c>
      <c r="AP22" s="22">
        <f ca="1">+GETPIVOTDATA("XKL4",'kimlong (2016)'!$A$3,"MA_HT","SKK","MA_QH","DRA")</f>
        <v>0</v>
      </c>
      <c r="AQ22" s="22">
        <f ca="1">+GETPIVOTDATA("XKL4",'kimlong (2016)'!$A$3,"MA_HT","SKK","MA_QH","ONT")</f>
        <v>0</v>
      </c>
      <c r="AR22" s="22">
        <f ca="1">+GETPIVOTDATA("XKL4",'kimlong (2016)'!$A$3,"MA_HT","SKK","MA_QH","ODT")</f>
        <v>0</v>
      </c>
      <c r="AS22" s="22">
        <f ca="1">+GETPIVOTDATA("XKL4",'kimlong (2016)'!$A$3,"MA_HT","SKK","MA_QH","TSC")</f>
        <v>0</v>
      </c>
      <c r="AT22" s="22">
        <f ca="1">+GETPIVOTDATA("XKL4",'kimlong (2016)'!$A$3,"MA_HT","SKK","MA_QH","DTS")</f>
        <v>0</v>
      </c>
      <c r="AU22" s="22">
        <f ca="1">+GETPIVOTDATA("XKL4",'kimlong (2016)'!$A$3,"MA_HT","SKK","MA_QH","DNG")</f>
        <v>0</v>
      </c>
      <c r="AV22" s="22">
        <f ca="1">+GETPIVOTDATA("XKL4",'kimlong (2016)'!$A$3,"MA_HT","SKK","MA_QH","TON")</f>
        <v>0</v>
      </c>
      <c r="AW22" s="22">
        <f ca="1">+GETPIVOTDATA("XKL4",'kimlong (2016)'!$A$3,"MA_HT","SKK","MA_QH","NTD")</f>
        <v>0</v>
      </c>
      <c r="AX22" s="22">
        <f ca="1">+GETPIVOTDATA("XKL4",'kimlong (2016)'!$A$3,"MA_HT","SKK","MA_QH","SKX")</f>
        <v>0</v>
      </c>
      <c r="AY22" s="22">
        <f ca="1">+GETPIVOTDATA("XKL4",'kimlong (2016)'!$A$3,"MA_HT","SKK","MA_QH","DSH")</f>
        <v>0</v>
      </c>
      <c r="AZ22" s="22">
        <f ca="1">+GETPIVOTDATA("XKL4",'kimlong (2016)'!$A$3,"MA_HT","SKK","MA_QH","DKV")</f>
        <v>0</v>
      </c>
      <c r="BA22" s="89">
        <f ca="1">+GETPIVOTDATA("XKL4",'kimlong (2016)'!$A$3,"MA_HT","SKK","MA_QH","TIN")</f>
        <v>0</v>
      </c>
      <c r="BB22" s="50">
        <f ca="1">+GETPIVOTDATA("XKL4",'kimlong (2016)'!$A$3,"MA_HT","SKK","MA_QH","SON")</f>
        <v>0</v>
      </c>
      <c r="BC22" s="50">
        <f ca="1">+GETPIVOTDATA("XKL4",'kimlong (2016)'!$A$3,"MA_HT","SKK","MA_QH","MNC")</f>
        <v>0</v>
      </c>
      <c r="BD22" s="22">
        <f ca="1">+GETPIVOTDATA("XKL4",'kimlong (2016)'!$A$3,"MA_HT","SKK","MA_QH","PNK")</f>
        <v>0</v>
      </c>
      <c r="BE22" s="71">
        <f ca="1">+GETPIVOTDATA("XKL4",'kimlong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+GETPIVOTDATA("XKL4",'kimlong (2016)'!$A$3,"MA_HT","SKT","MA_QH","LUC")</f>
        <v>0</v>
      </c>
      <c r="H23" s="22">
        <f ca="1">+GETPIVOTDATA("XKL4",'kimlong (2016)'!$A$3,"MA_HT","SKT","MA_QH","LUK")</f>
        <v>0</v>
      </c>
      <c r="I23" s="22">
        <f ca="1">+GETPIVOTDATA("XKL4",'kimlong (2016)'!$A$3,"MA_HT","SKT","MA_QH","LUN")</f>
        <v>0</v>
      </c>
      <c r="J23" s="22">
        <f ca="1">+GETPIVOTDATA("XKL4",'kimlong (2016)'!$A$3,"MA_HT","SKT","MA_QH","HNK")</f>
        <v>0</v>
      </c>
      <c r="K23" s="22">
        <f ca="1">+GETPIVOTDATA("XKL4",'kimlong (2016)'!$A$3,"MA_HT","SKT","MA_QH","CLN")</f>
        <v>0</v>
      </c>
      <c r="L23" s="22">
        <f ca="1">+GETPIVOTDATA("XKL4",'kimlong (2016)'!$A$3,"MA_HT","SKT","MA_QH","RSX")</f>
        <v>0</v>
      </c>
      <c r="M23" s="22">
        <f ca="1">+GETPIVOTDATA("XKL4",'kimlong (2016)'!$A$3,"MA_HT","SKT","MA_QH","RPH")</f>
        <v>0</v>
      </c>
      <c r="N23" s="22">
        <f ca="1">+GETPIVOTDATA("XKL4",'kimlong (2016)'!$A$3,"MA_HT","SKT","MA_QH","RDD")</f>
        <v>0</v>
      </c>
      <c r="O23" s="22">
        <f ca="1">+GETPIVOTDATA("XKL4",'kimlong (2016)'!$A$3,"MA_HT","SKT","MA_QH","NTS")</f>
        <v>0</v>
      </c>
      <c r="P23" s="22">
        <f ca="1">+GETPIVOTDATA("XKL4",'kimlong (2016)'!$A$3,"MA_HT","SKT","MA_QH","LMU")</f>
        <v>0</v>
      </c>
      <c r="Q23" s="22">
        <f ca="1">+GETPIVOTDATA("XKL4",'kimlong (2016)'!$A$3,"MA_HT","SKT","MA_QH","NKH")</f>
        <v>0</v>
      </c>
      <c r="R23" s="42">
        <f ca="1">SUM(S23:U23,W23:AA23,AN23:BD23)</f>
        <v>0</v>
      </c>
      <c r="S23" s="22">
        <f ca="1">+GETPIVOTDATA("XKL4",'kimlong (2016)'!$A$3,"MA_HT","SKT","MA_QH","CQP")</f>
        <v>0</v>
      </c>
      <c r="T23" s="22">
        <f ca="1">+GETPIVOTDATA("XKL4",'kimlong (2016)'!$A$3,"MA_HT","SKT","MA_QH","CAN")</f>
        <v>0</v>
      </c>
      <c r="U23" s="22">
        <f ca="1">+GETPIVOTDATA("XKL4",'kimlong (2016)'!$A$3,"MA_HT","SKT","MA_QH","SKK")</f>
        <v>0</v>
      </c>
      <c r="V23" s="43" t="e">
        <f ca="1">$D23-$BF23</f>
        <v>#REF!</v>
      </c>
      <c r="W23" s="22">
        <f ca="1">+GETPIVOTDATA("XKL4",'kimlong (2016)'!$A$3,"MA_HT","SKT","MA_QH","SKN")</f>
        <v>0</v>
      </c>
      <c r="X23" s="22">
        <f ca="1">+GETPIVOTDATA("XKL4",'kimlong (2016)'!$A$3,"MA_HT","SKT","MA_QH","TMD")</f>
        <v>0</v>
      </c>
      <c r="Y23" s="22">
        <f ca="1">+GETPIVOTDATA("XKL4",'kimlong (2016)'!$A$3,"MA_HT","SKT","MA_QH","SKC")</f>
        <v>0</v>
      </c>
      <c r="Z23" s="22">
        <f ca="1">+GETPIVOTDATA("XKL4",'kimlong (2016)'!$A$3,"MA_HT","SKT","MA_QH","SKS")</f>
        <v>0</v>
      </c>
      <c r="AA23" s="52">
        <f ca="1" t="shared" si="12"/>
        <v>0</v>
      </c>
      <c r="AB23" s="22">
        <f ca="1">+GETPIVOTDATA("XKL4",'kimlong (2016)'!$A$3,"MA_HT","SKT","MA_QH","DGT")</f>
        <v>0</v>
      </c>
      <c r="AC23" s="22">
        <f ca="1">+GETPIVOTDATA("XKL4",'kimlong (2016)'!$A$3,"MA_HT","SKT","MA_QH","DTL")</f>
        <v>0</v>
      </c>
      <c r="AD23" s="22">
        <f ca="1">+GETPIVOTDATA("XKL4",'kimlong (2016)'!$A$3,"MA_HT","SKT","MA_QH","DNL")</f>
        <v>0</v>
      </c>
      <c r="AE23" s="22">
        <f ca="1">+GETPIVOTDATA("XKL4",'kimlong (2016)'!$A$3,"MA_HT","SKT","MA_QH","DBV")</f>
        <v>0</v>
      </c>
      <c r="AF23" s="22">
        <f ca="1">+GETPIVOTDATA("XKL4",'kimlong (2016)'!$A$3,"MA_HT","SKT","MA_QH","DVH")</f>
        <v>0</v>
      </c>
      <c r="AG23" s="22">
        <f ca="1">+GETPIVOTDATA("XKL4",'kimlong (2016)'!$A$3,"MA_HT","SKT","MA_QH","DYT")</f>
        <v>0</v>
      </c>
      <c r="AH23" s="22">
        <f ca="1">+GETPIVOTDATA("XKL4",'kimlong (2016)'!$A$3,"MA_HT","SKT","MA_QH","DGD")</f>
        <v>0</v>
      </c>
      <c r="AI23" s="22">
        <f ca="1">+GETPIVOTDATA("XKL4",'kimlong (2016)'!$A$3,"MA_HT","SKT","MA_QH","DTT")</f>
        <v>0</v>
      </c>
      <c r="AJ23" s="22">
        <f ca="1">+GETPIVOTDATA("XKL4",'kimlong (2016)'!$A$3,"MA_HT","SKT","MA_QH","NCK")</f>
        <v>0</v>
      </c>
      <c r="AK23" s="22">
        <f ca="1">+GETPIVOTDATA("XKL4",'kimlong (2016)'!$A$3,"MA_HT","SKT","MA_QH","DXH")</f>
        <v>0</v>
      </c>
      <c r="AL23" s="22">
        <f ca="1">+GETPIVOTDATA("XKL4",'kimlong (2016)'!$A$3,"MA_HT","SKT","MA_QH","DCH")</f>
        <v>0</v>
      </c>
      <c r="AM23" s="22">
        <f ca="1">+GETPIVOTDATA("XKL4",'kimlong (2016)'!$A$3,"MA_HT","SKT","MA_QH","DKG")</f>
        <v>0</v>
      </c>
      <c r="AN23" s="22">
        <f ca="1">+GETPIVOTDATA("XKL4",'kimlong (2016)'!$A$3,"MA_HT","SKT","MA_QH","DDT")</f>
        <v>0</v>
      </c>
      <c r="AO23" s="22">
        <f ca="1">+GETPIVOTDATA("XKL4",'kimlong (2016)'!$A$3,"MA_HT","SKT","MA_QH","DDL")</f>
        <v>0</v>
      </c>
      <c r="AP23" s="22">
        <f ca="1">+GETPIVOTDATA("XKL4",'kimlong (2016)'!$A$3,"MA_HT","SKT","MA_QH","DRA")</f>
        <v>0</v>
      </c>
      <c r="AQ23" s="22">
        <f ca="1">+GETPIVOTDATA("XKL4",'kimlong (2016)'!$A$3,"MA_HT","SKT","MA_QH","ONT")</f>
        <v>0</v>
      </c>
      <c r="AR23" s="22">
        <f ca="1">+GETPIVOTDATA("XKL4",'kimlong (2016)'!$A$3,"MA_HT","SKT","MA_QH","ODT")</f>
        <v>0</v>
      </c>
      <c r="AS23" s="22">
        <f ca="1">+GETPIVOTDATA("XKL4",'kimlong (2016)'!$A$3,"MA_HT","SKT","MA_QH","TSC")</f>
        <v>0</v>
      </c>
      <c r="AT23" s="22">
        <f ca="1">+GETPIVOTDATA("XKL4",'kimlong (2016)'!$A$3,"MA_HT","SKT","MA_QH","DTS")</f>
        <v>0</v>
      </c>
      <c r="AU23" s="22">
        <f ca="1">+GETPIVOTDATA("XKL4",'kimlong (2016)'!$A$3,"MA_HT","SKT","MA_QH","DNG")</f>
        <v>0</v>
      </c>
      <c r="AV23" s="22">
        <f ca="1">+GETPIVOTDATA("XKL4",'kimlong (2016)'!$A$3,"MA_HT","SKT","MA_QH","TON")</f>
        <v>0</v>
      </c>
      <c r="AW23" s="22">
        <f ca="1">+GETPIVOTDATA("XKL4",'kimlong (2016)'!$A$3,"MA_HT","SKT","MA_QH","NTD")</f>
        <v>0</v>
      </c>
      <c r="AX23" s="22">
        <f ca="1">+GETPIVOTDATA("XKL4",'kimlong (2016)'!$A$3,"MA_HT","SKT","MA_QH","SKX")</f>
        <v>0</v>
      </c>
      <c r="AY23" s="22">
        <f ca="1">+GETPIVOTDATA("XKL4",'kimlong (2016)'!$A$3,"MA_HT","SKT","MA_QH","DSH")</f>
        <v>0</v>
      </c>
      <c r="AZ23" s="22">
        <f ca="1">+GETPIVOTDATA("XKL4",'kimlong (2016)'!$A$3,"MA_HT","SKT","MA_QH","DKV")</f>
        <v>0</v>
      </c>
      <c r="BA23" s="89">
        <f ca="1">+GETPIVOTDATA("XKL4",'kimlong (2016)'!$A$3,"MA_HT","SKT","MA_QH","TIN")</f>
        <v>0</v>
      </c>
      <c r="BB23" s="50">
        <f ca="1">+GETPIVOTDATA("XKL4",'kimlong (2016)'!$A$3,"MA_HT","SKT","MA_QH","SON")</f>
        <v>0</v>
      </c>
      <c r="BC23" s="50">
        <f ca="1">+GETPIVOTDATA("XKL4",'kimlong (2016)'!$A$3,"MA_HT","SKT","MA_QH","MNC")</f>
        <v>0</v>
      </c>
      <c r="BD23" s="22">
        <f ca="1">+GETPIVOTDATA("XKL4",'kimlong (2016)'!$A$3,"MA_HT","SKT","MA_QH","PNK")</f>
        <v>0</v>
      </c>
      <c r="BE23" s="71">
        <f ca="1">+GETPIVOTDATA("XKL4",'kimlong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+GETPIVOTDATA("XKL4",'kimlong (2016)'!$A$3,"MA_HT","SKN","MA_QH","LUC")</f>
        <v>0</v>
      </c>
      <c r="H24" s="22">
        <f ca="1">+GETPIVOTDATA("XKL4",'kimlong (2016)'!$A$3,"MA_HT","SKN","MA_QH","LUK")</f>
        <v>0</v>
      </c>
      <c r="I24" s="22">
        <f ca="1">+GETPIVOTDATA("XKL4",'kimlong (2016)'!$A$3,"MA_HT","SKN","MA_QH","LUN")</f>
        <v>0</v>
      </c>
      <c r="J24" s="22">
        <f ca="1">+GETPIVOTDATA("XKL4",'kimlong (2016)'!$A$3,"MA_HT","SKN","MA_QH","HNK")</f>
        <v>0</v>
      </c>
      <c r="K24" s="22">
        <f ca="1">+GETPIVOTDATA("XKL4",'kimlong (2016)'!$A$3,"MA_HT","SKN","MA_QH","CLN")</f>
        <v>0</v>
      </c>
      <c r="L24" s="22">
        <f ca="1">+GETPIVOTDATA("XKL4",'kimlong (2016)'!$A$3,"MA_HT","SKN","MA_QH","RSX")</f>
        <v>0</v>
      </c>
      <c r="M24" s="22">
        <f ca="1">+GETPIVOTDATA("XKL4",'kimlong (2016)'!$A$3,"MA_HT","SKN","MA_QH","RPH")</f>
        <v>0</v>
      </c>
      <c r="N24" s="22">
        <f ca="1">+GETPIVOTDATA("XKL4",'kimlong (2016)'!$A$3,"MA_HT","SKN","MA_QH","RDD")</f>
        <v>0</v>
      </c>
      <c r="O24" s="22">
        <f ca="1">+GETPIVOTDATA("XKL4",'kimlong (2016)'!$A$3,"MA_HT","SKN","MA_QH","NTS")</f>
        <v>0</v>
      </c>
      <c r="P24" s="22">
        <f ca="1">+GETPIVOTDATA("XKL4",'kimlong (2016)'!$A$3,"MA_HT","SKN","MA_QH","LMU")</f>
        <v>0</v>
      </c>
      <c r="Q24" s="22">
        <f ca="1">+GETPIVOTDATA("XKL4",'kimlong (2016)'!$A$3,"MA_HT","SKN","MA_QH","NKH")</f>
        <v>0</v>
      </c>
      <c r="R24" s="42">
        <f ca="1">SUM(S24:V24,X24:AA24,AN24:BD24)</f>
        <v>0</v>
      </c>
      <c r="S24" s="22">
        <f ca="1">+GETPIVOTDATA("XKL4",'kimlong (2016)'!$A$3,"MA_HT","SKN","MA_QH","CQP")</f>
        <v>0</v>
      </c>
      <c r="T24" s="22">
        <f ca="1">+GETPIVOTDATA("XKL4",'kimlong (2016)'!$A$3,"MA_HT","SKN","MA_QH","CAN")</f>
        <v>0</v>
      </c>
      <c r="U24" s="22">
        <f ca="1">+GETPIVOTDATA("XKL4",'kimlong (2016)'!$A$3,"MA_HT","SKN","MA_QH","SKK")</f>
        <v>0</v>
      </c>
      <c r="V24" s="22">
        <f ca="1">+GETPIVOTDATA("XKL4",'kimlong (2016)'!$A$3,"MA_HT","SKN","MA_QH","SKT")</f>
        <v>0</v>
      </c>
      <c r="W24" s="43" t="e">
        <f ca="1">$D24-$BF24</f>
        <v>#REF!</v>
      </c>
      <c r="X24" s="22">
        <f ca="1">+GETPIVOTDATA("XKL4",'kimlong (2016)'!$A$3,"MA_HT","SKN","MA_QH","TMD")</f>
        <v>0</v>
      </c>
      <c r="Y24" s="22">
        <f ca="1">+GETPIVOTDATA("XKL4",'kimlong (2016)'!$A$3,"MA_HT","SKN","MA_QH","SKC")</f>
        <v>0</v>
      </c>
      <c r="Z24" s="22">
        <f ca="1">+GETPIVOTDATA("XKL4",'kimlong (2016)'!$A$3,"MA_HT","SKN","MA_QH","SKS")</f>
        <v>0</v>
      </c>
      <c r="AA24" s="52">
        <f ca="1" t="shared" si="12"/>
        <v>0</v>
      </c>
      <c r="AB24" s="22">
        <f ca="1">+GETPIVOTDATA("XKL4",'kimlong (2016)'!$A$3,"MA_HT","SKN","MA_QH","DGT")</f>
        <v>0</v>
      </c>
      <c r="AC24" s="22">
        <f ca="1">+GETPIVOTDATA("XKL4",'kimlong (2016)'!$A$3,"MA_HT","SKN","MA_QH","DTL")</f>
        <v>0</v>
      </c>
      <c r="AD24" s="22">
        <f ca="1">+GETPIVOTDATA("XKL4",'kimlong (2016)'!$A$3,"MA_HT","SKN","MA_QH","DNL")</f>
        <v>0</v>
      </c>
      <c r="AE24" s="22">
        <f ca="1">+GETPIVOTDATA("XKL4",'kimlong (2016)'!$A$3,"MA_HT","SKN","MA_QH","DBV")</f>
        <v>0</v>
      </c>
      <c r="AF24" s="22">
        <f ca="1">+GETPIVOTDATA("XKL4",'kimlong (2016)'!$A$3,"MA_HT","SKN","MA_QH","DVH")</f>
        <v>0</v>
      </c>
      <c r="AG24" s="22">
        <f ca="1">+GETPIVOTDATA("XKL4",'kimlong (2016)'!$A$3,"MA_HT","SKN","MA_QH","DYT")</f>
        <v>0</v>
      </c>
      <c r="AH24" s="22">
        <f ca="1">+GETPIVOTDATA("XKL4",'kimlong (2016)'!$A$3,"MA_HT","SKN","MA_QH","DGD")</f>
        <v>0</v>
      </c>
      <c r="AI24" s="22">
        <f ca="1">+GETPIVOTDATA("XKL4",'kimlong (2016)'!$A$3,"MA_HT","SKN","MA_QH","DTT")</f>
        <v>0</v>
      </c>
      <c r="AJ24" s="22">
        <f ca="1">+GETPIVOTDATA("XKL4",'kimlong (2016)'!$A$3,"MA_HT","SKN","MA_QH","NCK")</f>
        <v>0</v>
      </c>
      <c r="AK24" s="22">
        <f ca="1">+GETPIVOTDATA("XKL4",'kimlong (2016)'!$A$3,"MA_HT","SKN","MA_QH","DXH")</f>
        <v>0</v>
      </c>
      <c r="AL24" s="22">
        <f ca="1">+GETPIVOTDATA("XKL4",'kimlong (2016)'!$A$3,"MA_HT","SKN","MA_QH","DCH")</f>
        <v>0</v>
      </c>
      <c r="AM24" s="22">
        <f ca="1">+GETPIVOTDATA("XKL4",'kimlong (2016)'!$A$3,"MA_HT","SKN","MA_QH","DKG")</f>
        <v>0</v>
      </c>
      <c r="AN24" s="22">
        <f ca="1">+GETPIVOTDATA("XKL4",'kimlong (2016)'!$A$3,"MA_HT","SKN","MA_QH","DDT")</f>
        <v>0</v>
      </c>
      <c r="AO24" s="22">
        <f ca="1">+GETPIVOTDATA("XKL4",'kimlong (2016)'!$A$3,"MA_HT","SKN","MA_QH","DDL")</f>
        <v>0</v>
      </c>
      <c r="AP24" s="22">
        <f ca="1">+GETPIVOTDATA("XKL4",'kimlong (2016)'!$A$3,"MA_HT","SKN","MA_QH","DRA")</f>
        <v>0</v>
      </c>
      <c r="AQ24" s="22">
        <f ca="1">+GETPIVOTDATA("XKL4",'kimlong (2016)'!$A$3,"MA_HT","SKN","MA_QH","ONT")</f>
        <v>0</v>
      </c>
      <c r="AR24" s="22">
        <f ca="1">+GETPIVOTDATA("XKL4",'kimlong (2016)'!$A$3,"MA_HT","SKN","MA_QH","ODT")</f>
        <v>0</v>
      </c>
      <c r="AS24" s="22">
        <f ca="1">+GETPIVOTDATA("XKL4",'kimlong (2016)'!$A$3,"MA_HT","SKN","MA_QH","TSC")</f>
        <v>0</v>
      </c>
      <c r="AT24" s="22">
        <f ca="1">+GETPIVOTDATA("XKL4",'kimlong (2016)'!$A$3,"MA_HT","SKN","MA_QH","DTS")</f>
        <v>0</v>
      </c>
      <c r="AU24" s="22">
        <f ca="1">+GETPIVOTDATA("XKL4",'kimlong (2016)'!$A$3,"MA_HT","SKN","MA_QH","DNG")</f>
        <v>0</v>
      </c>
      <c r="AV24" s="22">
        <f ca="1">+GETPIVOTDATA("XKL4",'kimlong (2016)'!$A$3,"MA_HT","SKN","MA_QH","TON")</f>
        <v>0</v>
      </c>
      <c r="AW24" s="22">
        <f ca="1">+GETPIVOTDATA("XKL4",'kimlong (2016)'!$A$3,"MA_HT","SKN","MA_QH","NTD")</f>
        <v>0</v>
      </c>
      <c r="AX24" s="22">
        <f ca="1">+GETPIVOTDATA("XKL4",'kimlong (2016)'!$A$3,"MA_HT","SKN","MA_QH","SKX")</f>
        <v>0</v>
      </c>
      <c r="AY24" s="22">
        <f ca="1">+GETPIVOTDATA("XKL4",'kimlong (2016)'!$A$3,"MA_HT","SKN","MA_QH","DSH")</f>
        <v>0</v>
      </c>
      <c r="AZ24" s="22">
        <f ca="1">+GETPIVOTDATA("XKL4",'kimlong (2016)'!$A$3,"MA_HT","SKN","MA_QH","DKV")</f>
        <v>0</v>
      </c>
      <c r="BA24" s="89">
        <f ca="1">+GETPIVOTDATA("XKL4",'kimlong (2016)'!$A$3,"MA_HT","SKN","MA_QH","TIN")</f>
        <v>0</v>
      </c>
      <c r="BB24" s="50">
        <f ca="1">+GETPIVOTDATA("XKL4",'kimlong (2016)'!$A$3,"MA_HT","SKN","MA_QH","SON")</f>
        <v>0</v>
      </c>
      <c r="BC24" s="50">
        <f ca="1">+GETPIVOTDATA("XKL4",'kimlong (2016)'!$A$3,"MA_HT","SKN","MA_QH","MNC")</f>
        <v>0</v>
      </c>
      <c r="BD24" s="22">
        <f ca="1">+GETPIVOTDATA("XKL4",'kimlong (2016)'!$A$3,"MA_HT","SKN","MA_QH","PNK")</f>
        <v>0</v>
      </c>
      <c r="BE24" s="71">
        <f ca="1">+GETPIVOTDATA("XKL4",'kimlong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+GETPIVOTDATA("XKL4",'kimlong (2016)'!$A$3,"MA_HT","TMD","MA_QH","LUC")</f>
        <v>0</v>
      </c>
      <c r="H25" s="22">
        <f ca="1">+GETPIVOTDATA("XKL4",'kimlong (2016)'!$A$3,"MA_HT","TMD","MA_QH","LUK")</f>
        <v>0</v>
      </c>
      <c r="I25" s="22">
        <f ca="1">+GETPIVOTDATA("XKL4",'kimlong (2016)'!$A$3,"MA_HT","TMD","MA_QH","LUN")</f>
        <v>0</v>
      </c>
      <c r="J25" s="22">
        <f ca="1">+GETPIVOTDATA("XKL4",'kimlong (2016)'!$A$3,"MA_HT","TMD","MA_QH","HNK")</f>
        <v>0</v>
      </c>
      <c r="K25" s="22">
        <f ca="1">+GETPIVOTDATA("XKL4",'kimlong (2016)'!$A$3,"MA_HT","TMD","MA_QH","CLN")</f>
        <v>0</v>
      </c>
      <c r="L25" s="22">
        <f ca="1">+GETPIVOTDATA("XKL4",'kimlong (2016)'!$A$3,"MA_HT","TMD","MA_QH","RSX")</f>
        <v>0</v>
      </c>
      <c r="M25" s="22">
        <f ca="1">+GETPIVOTDATA("XKL4",'kimlong (2016)'!$A$3,"MA_HT","TMD","MA_QH","RPH")</f>
        <v>0</v>
      </c>
      <c r="N25" s="22">
        <f ca="1">+GETPIVOTDATA("XKL4",'kimlong (2016)'!$A$3,"MA_HT","TMD","MA_QH","RDD")</f>
        <v>0</v>
      </c>
      <c r="O25" s="22">
        <f ca="1">+GETPIVOTDATA("XKL4",'kimlong (2016)'!$A$3,"MA_HT","TMD","MA_QH","NTS")</f>
        <v>0</v>
      </c>
      <c r="P25" s="22">
        <f ca="1">+GETPIVOTDATA("XKL4",'kimlong (2016)'!$A$3,"MA_HT","TMD","MA_QH","LMU")</f>
        <v>0</v>
      </c>
      <c r="Q25" s="22">
        <f ca="1">+GETPIVOTDATA("XKL4",'kimlong (2016)'!$A$3,"MA_HT","TMD","MA_QH","NKH")</f>
        <v>0</v>
      </c>
      <c r="R25" s="42">
        <f ca="1">SUM(S25:W25,Y25:AA25,AN25:BD25)</f>
        <v>0</v>
      </c>
      <c r="S25" s="22">
        <f ca="1">+GETPIVOTDATA("XKL4",'kimlong (2016)'!$A$3,"MA_HT","TMD","MA_QH","CQP")</f>
        <v>0</v>
      </c>
      <c r="T25" s="22">
        <f ca="1">+GETPIVOTDATA("XKL4",'kimlong (2016)'!$A$3,"MA_HT","TMD","MA_QH","CAN")</f>
        <v>0</v>
      </c>
      <c r="U25" s="22">
        <f ca="1">+GETPIVOTDATA("XKL4",'kimlong (2016)'!$A$3,"MA_HT","TMD","MA_QH","SKK")</f>
        <v>0</v>
      </c>
      <c r="V25" s="22">
        <f ca="1">+GETPIVOTDATA("XKL4",'kimlong (2016)'!$A$3,"MA_HT","TMD","MA_QH","SKT")</f>
        <v>0</v>
      </c>
      <c r="W25" s="22">
        <f ca="1">+GETPIVOTDATA("XKL4",'kimlong (2016)'!$A$3,"MA_HT","TMD","MA_QH","SKN")</f>
        <v>0</v>
      </c>
      <c r="X25" s="43" t="e">
        <f ca="1">$D25-$BF25</f>
        <v>#REF!</v>
      </c>
      <c r="Y25" s="22">
        <f ca="1">+GETPIVOTDATA("XKL4",'kimlong (2016)'!$A$3,"MA_HT","TMD","MA_QH","SKC")</f>
        <v>0</v>
      </c>
      <c r="Z25" s="22">
        <f ca="1">+GETPIVOTDATA("XKL4",'kimlong (2016)'!$A$3,"MA_HT","TMD","MA_QH","SKS")</f>
        <v>0</v>
      </c>
      <c r="AA25" s="52">
        <f ca="1" t="shared" si="12"/>
        <v>0</v>
      </c>
      <c r="AB25" s="22">
        <f ca="1">+GETPIVOTDATA("XKL4",'kimlong (2016)'!$A$3,"MA_HT","TMD","MA_QH","DGT")</f>
        <v>0</v>
      </c>
      <c r="AC25" s="22">
        <f ca="1">+GETPIVOTDATA("XKL4",'kimlong (2016)'!$A$3,"MA_HT","TMD","MA_QH","DTL")</f>
        <v>0</v>
      </c>
      <c r="AD25" s="22">
        <f ca="1">+GETPIVOTDATA("XKL4",'kimlong (2016)'!$A$3,"MA_HT","TMD","MA_QH","DNL")</f>
        <v>0</v>
      </c>
      <c r="AE25" s="22">
        <f ca="1">+GETPIVOTDATA("XKL4",'kimlong (2016)'!$A$3,"MA_HT","TMD","MA_QH","DBV")</f>
        <v>0</v>
      </c>
      <c r="AF25" s="22">
        <f ca="1">+GETPIVOTDATA("XKL4",'kimlong (2016)'!$A$3,"MA_HT","TMD","MA_QH","DVH")</f>
        <v>0</v>
      </c>
      <c r="AG25" s="22">
        <f ca="1">+GETPIVOTDATA("XKL4",'kimlong (2016)'!$A$3,"MA_HT","TMD","MA_QH","DYT")</f>
        <v>0</v>
      </c>
      <c r="AH25" s="22">
        <f ca="1">+GETPIVOTDATA("XKL4",'kimlong (2016)'!$A$3,"MA_HT","TMD","MA_QH","DGD")</f>
        <v>0</v>
      </c>
      <c r="AI25" s="22">
        <f ca="1">+GETPIVOTDATA("XKL4",'kimlong (2016)'!$A$3,"MA_HT","TMD","MA_QH","DTT")</f>
        <v>0</v>
      </c>
      <c r="AJ25" s="22">
        <f ca="1">+GETPIVOTDATA("XKL4",'kimlong (2016)'!$A$3,"MA_HT","TMD","MA_QH","NCK")</f>
        <v>0</v>
      </c>
      <c r="AK25" s="22">
        <f ca="1">+GETPIVOTDATA("XKL4",'kimlong (2016)'!$A$3,"MA_HT","TMD","MA_QH","DXH")</f>
        <v>0</v>
      </c>
      <c r="AL25" s="22">
        <f ca="1">+GETPIVOTDATA("XKL4",'kimlong (2016)'!$A$3,"MA_HT","TMD","MA_QH","DCH")</f>
        <v>0</v>
      </c>
      <c r="AM25" s="22">
        <f ca="1">+GETPIVOTDATA("XKL4",'kimlong (2016)'!$A$3,"MA_HT","TMD","MA_QH","DKG")</f>
        <v>0</v>
      </c>
      <c r="AN25" s="22">
        <f ca="1">+GETPIVOTDATA("XKL4",'kimlong (2016)'!$A$3,"MA_HT","TMD","MA_QH","DDT")</f>
        <v>0</v>
      </c>
      <c r="AO25" s="22">
        <f ca="1">+GETPIVOTDATA("XKL4",'kimlong (2016)'!$A$3,"MA_HT","TMD","MA_QH","DDL")</f>
        <v>0</v>
      </c>
      <c r="AP25" s="22">
        <f ca="1">+GETPIVOTDATA("XKL4",'kimlong (2016)'!$A$3,"MA_HT","TMD","MA_QH","DRA")</f>
        <v>0</v>
      </c>
      <c r="AQ25" s="22">
        <f ca="1">+GETPIVOTDATA("XKL4",'kimlong (2016)'!$A$3,"MA_HT","TMD","MA_QH","ONT")</f>
        <v>0</v>
      </c>
      <c r="AR25" s="22">
        <f ca="1">+GETPIVOTDATA("XKL4",'kimlong (2016)'!$A$3,"MA_HT","TMD","MA_QH","ODT")</f>
        <v>0</v>
      </c>
      <c r="AS25" s="22">
        <f ca="1">+GETPIVOTDATA("XKL4",'kimlong (2016)'!$A$3,"MA_HT","TMD","MA_QH","TSC")</f>
        <v>0</v>
      </c>
      <c r="AT25" s="22">
        <f ca="1">+GETPIVOTDATA("XKL4",'kimlong (2016)'!$A$3,"MA_HT","TMD","MA_QH","DTS")</f>
        <v>0</v>
      </c>
      <c r="AU25" s="22">
        <f ca="1">+GETPIVOTDATA("XKL4",'kimlong (2016)'!$A$3,"MA_HT","TMD","MA_QH","DNG")</f>
        <v>0</v>
      </c>
      <c r="AV25" s="22">
        <f ca="1">+GETPIVOTDATA("XKL4",'kimlong (2016)'!$A$3,"MA_HT","TMD","MA_QH","TON")</f>
        <v>0</v>
      </c>
      <c r="AW25" s="22">
        <f ca="1">+GETPIVOTDATA("XKL4",'kimlong (2016)'!$A$3,"MA_HT","TMD","MA_QH","NTD")</f>
        <v>0</v>
      </c>
      <c r="AX25" s="22">
        <f ca="1">+GETPIVOTDATA("XKL4",'kimlong (2016)'!$A$3,"MA_HT","TMD","MA_QH","SKX")</f>
        <v>0</v>
      </c>
      <c r="AY25" s="22">
        <f ca="1">+GETPIVOTDATA("XKL4",'kimlong (2016)'!$A$3,"MA_HT","TMD","MA_QH","DSH")</f>
        <v>0</v>
      </c>
      <c r="AZ25" s="22">
        <f ca="1">+GETPIVOTDATA("XKL4",'kimlong (2016)'!$A$3,"MA_HT","TMD","MA_QH","DKV")</f>
        <v>0</v>
      </c>
      <c r="BA25" s="89">
        <f ca="1">+GETPIVOTDATA("XKL4",'kimlong (2016)'!$A$3,"MA_HT","TMD","MA_QH","TIN")</f>
        <v>0</v>
      </c>
      <c r="BB25" s="50">
        <f ca="1">+GETPIVOTDATA("XKL4",'kimlong (2016)'!$A$3,"MA_HT","TMD","MA_QH","SON")</f>
        <v>0</v>
      </c>
      <c r="BC25" s="50">
        <f ca="1">+GETPIVOTDATA("XKL4",'kimlong (2016)'!$A$3,"MA_HT","TMD","MA_QH","MNC")</f>
        <v>0</v>
      </c>
      <c r="BD25" s="22">
        <f ca="1">+GETPIVOTDATA("XKL4",'kimlong (2016)'!$A$3,"MA_HT","TMD","MA_QH","PNK")</f>
        <v>0</v>
      </c>
      <c r="BE25" s="71">
        <f ca="1">+GETPIVOTDATA("XKL4",'kimlong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+GETPIVOTDATA("XKL4",'kimlong (2016)'!$A$3,"MA_HT","SKC","MA_QH","LUC")</f>
        <v>0</v>
      </c>
      <c r="H26" s="22">
        <f ca="1">+GETPIVOTDATA("XKL4",'kimlong (2016)'!$A$3,"MA_HT","SKC","MA_QH","LUK")</f>
        <v>0</v>
      </c>
      <c r="I26" s="22">
        <f ca="1">+GETPIVOTDATA("XKL4",'kimlong (2016)'!$A$3,"MA_HT","SKC","MA_QH","LUN")</f>
        <v>0</v>
      </c>
      <c r="J26" s="22">
        <f ca="1">+GETPIVOTDATA("XKL4",'kimlong (2016)'!$A$3,"MA_HT","SKC","MA_QH","HNK")</f>
        <v>0</v>
      </c>
      <c r="K26" s="22">
        <f ca="1">+GETPIVOTDATA("XKL4",'kimlong (2016)'!$A$3,"MA_HT","SKC","MA_QH","CLN")</f>
        <v>0</v>
      </c>
      <c r="L26" s="22">
        <f ca="1">+GETPIVOTDATA("XKL4",'kimlong (2016)'!$A$3,"MA_HT","SKC","MA_QH","RSX")</f>
        <v>0</v>
      </c>
      <c r="M26" s="22">
        <f ca="1">+GETPIVOTDATA("XKL4",'kimlong (2016)'!$A$3,"MA_HT","SKC","MA_QH","RPH")</f>
        <v>0</v>
      </c>
      <c r="N26" s="22">
        <f ca="1">+GETPIVOTDATA("XKL4",'kimlong (2016)'!$A$3,"MA_HT","SKC","MA_QH","RDD")</f>
        <v>0</v>
      </c>
      <c r="O26" s="22">
        <f ca="1">+GETPIVOTDATA("XKL4",'kimlong (2016)'!$A$3,"MA_HT","SKC","MA_QH","NTS")</f>
        <v>0</v>
      </c>
      <c r="P26" s="22">
        <f ca="1">+GETPIVOTDATA("XKL4",'kimlong (2016)'!$A$3,"MA_HT","SKC","MA_QH","LMU")</f>
        <v>0</v>
      </c>
      <c r="Q26" s="22">
        <f ca="1">+GETPIVOTDATA("XKL4",'kimlong (2016)'!$A$3,"MA_HT","SKC","MA_QH","NKH")</f>
        <v>0</v>
      </c>
      <c r="R26" s="42">
        <f ca="1">SUM(S26:X26,Z26,AN26:BD26)</f>
        <v>0</v>
      </c>
      <c r="S26" s="22">
        <f ca="1">+GETPIVOTDATA("XKL4",'kimlong (2016)'!$A$3,"MA_HT","SKC","MA_QH","CQP")</f>
        <v>0</v>
      </c>
      <c r="T26" s="22">
        <f ca="1">+GETPIVOTDATA("XKL4",'kimlong (2016)'!$A$3,"MA_HT","SKC","MA_QH","CAN")</f>
        <v>0</v>
      </c>
      <c r="U26" s="22">
        <f ca="1">+GETPIVOTDATA("XKL4",'kimlong (2016)'!$A$3,"MA_HT","SKC","MA_QH","SKK")</f>
        <v>0</v>
      </c>
      <c r="V26" s="22">
        <f ca="1">+GETPIVOTDATA("XKL4",'kimlong (2016)'!$A$3,"MA_HT","SKC","MA_QH","SKT")</f>
        <v>0</v>
      </c>
      <c r="W26" s="22">
        <f ca="1">+GETPIVOTDATA("XKL4",'kimlong (2016)'!$A$3,"MA_HT","SKC","MA_QH","SKN")</f>
        <v>0</v>
      </c>
      <c r="X26" s="22">
        <f ca="1">+GETPIVOTDATA("XKL4",'kimlong (2016)'!$A$3,"MA_HT","SKC","MA_QH","TMD")</f>
        <v>0</v>
      </c>
      <c r="Y26" s="43" t="e">
        <f ca="1">$D26-$BF26</f>
        <v>#REF!</v>
      </c>
      <c r="Z26" s="22">
        <f ca="1">+GETPIVOTDATA("XKL4",'kimlong (2016)'!$A$3,"MA_HT","SKC","MA_QH","SKS")</f>
        <v>0</v>
      </c>
      <c r="AA26" s="52">
        <f ca="1" t="shared" si="12"/>
        <v>0</v>
      </c>
      <c r="AB26" s="22">
        <f ca="1">+GETPIVOTDATA("XKL4",'kimlong (2016)'!$A$3,"MA_HT","SKC","MA_QH","DGT")</f>
        <v>0</v>
      </c>
      <c r="AC26" s="22">
        <f ca="1">+GETPIVOTDATA("XKL4",'kimlong (2016)'!$A$3,"MA_HT","SKC","MA_QH","DTL")</f>
        <v>0</v>
      </c>
      <c r="AD26" s="22">
        <f ca="1">+GETPIVOTDATA("XKL4",'kimlong (2016)'!$A$3,"MA_HT","SKC","MA_QH","DNL")</f>
        <v>0</v>
      </c>
      <c r="AE26" s="22">
        <f ca="1">+GETPIVOTDATA("XKL4",'kimlong (2016)'!$A$3,"MA_HT","SKC","MA_QH","DBV")</f>
        <v>0</v>
      </c>
      <c r="AF26" s="22">
        <f ca="1">+GETPIVOTDATA("XKL4",'kimlong (2016)'!$A$3,"MA_HT","SKC","MA_QH","DVH")</f>
        <v>0</v>
      </c>
      <c r="AG26" s="22">
        <f ca="1">+GETPIVOTDATA("XKL4",'kimlong (2016)'!$A$3,"MA_HT","SKC","MA_QH","DYT")</f>
        <v>0</v>
      </c>
      <c r="AH26" s="22">
        <f ca="1">+GETPIVOTDATA("XKL4",'kimlong (2016)'!$A$3,"MA_HT","SKC","MA_QH","DGD")</f>
        <v>0</v>
      </c>
      <c r="AI26" s="22">
        <f ca="1">+GETPIVOTDATA("XKL4",'kimlong (2016)'!$A$3,"MA_HT","SKC","MA_QH","DTT")</f>
        <v>0</v>
      </c>
      <c r="AJ26" s="22">
        <f ca="1">+GETPIVOTDATA("XKL4",'kimlong (2016)'!$A$3,"MA_HT","SKC","MA_QH","NCK")</f>
        <v>0</v>
      </c>
      <c r="AK26" s="22">
        <f ca="1">+GETPIVOTDATA("XKL4",'kimlong (2016)'!$A$3,"MA_HT","SKC","MA_QH","DXH")</f>
        <v>0</v>
      </c>
      <c r="AL26" s="22">
        <f ca="1">+GETPIVOTDATA("XKL4",'kimlong (2016)'!$A$3,"MA_HT","SKC","MA_QH","DCH")</f>
        <v>0</v>
      </c>
      <c r="AM26" s="22">
        <f ca="1">+GETPIVOTDATA("XKL4",'kimlong (2016)'!$A$3,"MA_HT","SKC","MA_QH","DKG")</f>
        <v>0</v>
      </c>
      <c r="AN26" s="22">
        <f ca="1">+GETPIVOTDATA("XKL4",'kimlong (2016)'!$A$3,"MA_HT","SKC","MA_QH","DDT")</f>
        <v>0</v>
      </c>
      <c r="AO26" s="22">
        <f ca="1">+GETPIVOTDATA("XKL4",'kimlong (2016)'!$A$3,"MA_HT","SKC","MA_QH","DDL")</f>
        <v>0</v>
      </c>
      <c r="AP26" s="22">
        <f ca="1">+GETPIVOTDATA("XKL4",'kimlong (2016)'!$A$3,"MA_HT","SKC","MA_QH","DRA")</f>
        <v>0</v>
      </c>
      <c r="AQ26" s="22">
        <f ca="1">+GETPIVOTDATA("XKL4",'kimlong (2016)'!$A$3,"MA_HT","SKC","MA_QH","ONT")</f>
        <v>0</v>
      </c>
      <c r="AR26" s="22">
        <f ca="1">+GETPIVOTDATA("XKL4",'kimlong (2016)'!$A$3,"MA_HT","SKC","MA_QH","ODT")</f>
        <v>0</v>
      </c>
      <c r="AS26" s="22">
        <f ca="1">+GETPIVOTDATA("XKL4",'kimlong (2016)'!$A$3,"MA_HT","SKC","MA_QH","TSC")</f>
        <v>0</v>
      </c>
      <c r="AT26" s="22">
        <f ca="1">+GETPIVOTDATA("XKL4",'kimlong (2016)'!$A$3,"MA_HT","SKC","MA_QH","DTS")</f>
        <v>0</v>
      </c>
      <c r="AU26" s="22">
        <f ca="1">+GETPIVOTDATA("XKL4",'kimlong (2016)'!$A$3,"MA_HT","SKC","MA_QH","DNG")</f>
        <v>0</v>
      </c>
      <c r="AV26" s="22">
        <f ca="1">+GETPIVOTDATA("XKL4",'kimlong (2016)'!$A$3,"MA_HT","SKC","MA_QH","TON")</f>
        <v>0</v>
      </c>
      <c r="AW26" s="22">
        <f ca="1">+GETPIVOTDATA("XKL4",'kimlong (2016)'!$A$3,"MA_HT","SKC","MA_QH","NTD")</f>
        <v>0</v>
      </c>
      <c r="AX26" s="22">
        <f ca="1">+GETPIVOTDATA("XKL4",'kimlong (2016)'!$A$3,"MA_HT","SKC","MA_QH","SKX")</f>
        <v>0</v>
      </c>
      <c r="AY26" s="22">
        <f ca="1">+GETPIVOTDATA("XKL4",'kimlong (2016)'!$A$3,"MA_HT","SKC","MA_QH","DSH")</f>
        <v>0</v>
      </c>
      <c r="AZ26" s="22">
        <f ca="1">+GETPIVOTDATA("XKL4",'kimlong (2016)'!$A$3,"MA_HT","SKC","MA_QH","DKV")</f>
        <v>0</v>
      </c>
      <c r="BA26" s="89">
        <f ca="1">+GETPIVOTDATA("XKL4",'kimlong (2016)'!$A$3,"MA_HT","SKC","MA_QH","TIN")</f>
        <v>0</v>
      </c>
      <c r="BB26" s="50">
        <f ca="1">+GETPIVOTDATA("XKL4",'kimlong (2016)'!$A$3,"MA_HT","SKC","MA_QH","SON")</f>
        <v>0</v>
      </c>
      <c r="BC26" s="50">
        <f ca="1">+GETPIVOTDATA("XKL4",'kimlong (2016)'!$A$3,"MA_HT","SKC","MA_QH","MNC")</f>
        <v>0</v>
      </c>
      <c r="BD26" s="22">
        <f ca="1">+GETPIVOTDATA("XKL4",'kimlong (2016)'!$A$3,"MA_HT","SKC","MA_QH","PNK")</f>
        <v>0</v>
      </c>
      <c r="BE26" s="71">
        <f ca="1">+GETPIVOTDATA("XKL4",'kimlong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+GETPIVOTDATA("XKL4",'kimlong (2016)'!$A$3,"MA_HT","SKS","MA_QH","LUC")</f>
        <v>0</v>
      </c>
      <c r="H27" s="22">
        <f ca="1">+GETPIVOTDATA("XKL4",'kimlong (2016)'!$A$3,"MA_HT","SKS","MA_QH","LUK")</f>
        <v>0</v>
      </c>
      <c r="I27" s="22">
        <f ca="1">+GETPIVOTDATA("XKL4",'kimlong (2016)'!$A$3,"MA_HT","SKS","MA_QH","LUN")</f>
        <v>0</v>
      </c>
      <c r="J27" s="22">
        <f ca="1">+GETPIVOTDATA("XKL4",'kimlong (2016)'!$A$3,"MA_HT","SKS","MA_QH","HNK")</f>
        <v>0</v>
      </c>
      <c r="K27" s="22">
        <f ca="1">+GETPIVOTDATA("XKL4",'kimlong (2016)'!$A$3,"MA_HT","SKS","MA_QH","CLN")</f>
        <v>0</v>
      </c>
      <c r="L27" s="22">
        <f ca="1">+GETPIVOTDATA("XKL4",'kimlong (2016)'!$A$3,"MA_HT","SKS","MA_QH","RSX")</f>
        <v>0</v>
      </c>
      <c r="M27" s="22">
        <f ca="1">+GETPIVOTDATA("XKL4",'kimlong (2016)'!$A$3,"MA_HT","SKS","MA_QH","RPH")</f>
        <v>0</v>
      </c>
      <c r="N27" s="22">
        <f ca="1">+GETPIVOTDATA("XKL4",'kimlong (2016)'!$A$3,"MA_HT","SKS","MA_QH","RDD")</f>
        <v>0</v>
      </c>
      <c r="O27" s="22">
        <f ca="1">+GETPIVOTDATA("XKL4",'kimlong (2016)'!$A$3,"MA_HT","SKS","MA_QH","NTS")</f>
        <v>0</v>
      </c>
      <c r="P27" s="22">
        <f ca="1">+GETPIVOTDATA("XKL4",'kimlong (2016)'!$A$3,"MA_HT","SKS","MA_QH","LMU")</f>
        <v>0</v>
      </c>
      <c r="Q27" s="22">
        <f ca="1">+GETPIVOTDATA("XKL4",'kimlong (2016)'!$A$3,"MA_HT","SKS","MA_QH","NKH")</f>
        <v>0</v>
      </c>
      <c r="R27" s="42">
        <f ca="1">SUM(S27:Y27,AA27,AN27:BD27)</f>
        <v>0</v>
      </c>
      <c r="S27" s="22">
        <f ca="1">+GETPIVOTDATA("XKL4",'kimlong (2016)'!$A$3,"MA_HT","SKS","MA_QH","CQP")</f>
        <v>0</v>
      </c>
      <c r="T27" s="22">
        <f ca="1">+GETPIVOTDATA("XKL4",'kimlong (2016)'!$A$3,"MA_HT","SKS","MA_QH","CAN")</f>
        <v>0</v>
      </c>
      <c r="U27" s="22">
        <f ca="1">+GETPIVOTDATA("XKL4",'kimlong (2016)'!$A$3,"MA_HT","SKS","MA_QH","SKK")</f>
        <v>0</v>
      </c>
      <c r="V27" s="22">
        <f ca="1">+GETPIVOTDATA("XKL4",'kimlong (2016)'!$A$3,"MA_HT","SKS","MA_QH","SKT")</f>
        <v>0</v>
      </c>
      <c r="W27" s="22">
        <f ca="1">+GETPIVOTDATA("XKL4",'kimlong (2016)'!$A$3,"MA_HT","SKS","MA_QH","SKN")</f>
        <v>0</v>
      </c>
      <c r="X27" s="22">
        <f ca="1">+GETPIVOTDATA("XKL4",'kimlong (2016)'!$A$3,"MA_HT","SKS","MA_QH","TMD")</f>
        <v>0</v>
      </c>
      <c r="Y27" s="22">
        <f ca="1">+GETPIVOTDATA("XKL4",'kimlong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+GETPIVOTDATA("XKL4",'kimlong (2016)'!$A$3,"MA_HT","SKS","MA_QH","DGT")</f>
        <v>0</v>
      </c>
      <c r="AC27" s="22">
        <f ca="1">+GETPIVOTDATA("XKL4",'kimlong (2016)'!$A$3,"MA_HT","SKS","MA_QH","DTL")</f>
        <v>0</v>
      </c>
      <c r="AD27" s="22">
        <f ca="1">+GETPIVOTDATA("XKL4",'kimlong (2016)'!$A$3,"MA_HT","SKS","MA_QH","DNL")</f>
        <v>0</v>
      </c>
      <c r="AE27" s="22">
        <f ca="1">+GETPIVOTDATA("XKL4",'kimlong (2016)'!$A$3,"MA_HT","SKS","MA_QH","DBV")</f>
        <v>0</v>
      </c>
      <c r="AF27" s="22">
        <f ca="1">+GETPIVOTDATA("XKL4",'kimlong (2016)'!$A$3,"MA_HT","SKS","MA_QH","DVH")</f>
        <v>0</v>
      </c>
      <c r="AG27" s="22">
        <f ca="1">+GETPIVOTDATA("XKL4",'kimlong (2016)'!$A$3,"MA_HT","SKS","MA_QH","DYT")</f>
        <v>0</v>
      </c>
      <c r="AH27" s="22">
        <f ca="1">+GETPIVOTDATA("XKL4",'kimlong (2016)'!$A$3,"MA_HT","SKS","MA_QH","DGD")</f>
        <v>0</v>
      </c>
      <c r="AI27" s="22">
        <f ca="1">+GETPIVOTDATA("XKL4",'kimlong (2016)'!$A$3,"MA_HT","SKS","MA_QH","DTT")</f>
        <v>0</v>
      </c>
      <c r="AJ27" s="22">
        <f ca="1">+GETPIVOTDATA("XKL4",'kimlong (2016)'!$A$3,"MA_HT","SKS","MA_QH","NCK")</f>
        <v>0</v>
      </c>
      <c r="AK27" s="22">
        <f ca="1">+GETPIVOTDATA("XKL4",'kimlong (2016)'!$A$3,"MA_HT","SKS","MA_QH","DXH")</f>
        <v>0</v>
      </c>
      <c r="AL27" s="22">
        <f ca="1">+GETPIVOTDATA("XKL4",'kimlong (2016)'!$A$3,"MA_HT","SKS","MA_QH","DCH")</f>
        <v>0</v>
      </c>
      <c r="AM27" s="22">
        <f ca="1">+GETPIVOTDATA("XKL4",'kimlong (2016)'!$A$3,"MA_HT","SKS","MA_QH","DKG")</f>
        <v>0</v>
      </c>
      <c r="AN27" s="22">
        <f ca="1">+GETPIVOTDATA("XKL4",'kimlong (2016)'!$A$3,"MA_HT","SKS","MA_QH","DDT")</f>
        <v>0</v>
      </c>
      <c r="AO27" s="22">
        <f ca="1">+GETPIVOTDATA("XKL4",'kimlong (2016)'!$A$3,"MA_HT","SKS","MA_QH","DDL")</f>
        <v>0</v>
      </c>
      <c r="AP27" s="22">
        <f ca="1">+GETPIVOTDATA("XKL4",'kimlong (2016)'!$A$3,"MA_HT","SKS","MA_QH","DRA")</f>
        <v>0</v>
      </c>
      <c r="AQ27" s="22">
        <f ca="1">+GETPIVOTDATA("XKL4",'kimlong (2016)'!$A$3,"MA_HT","SKS","MA_QH","ONT")</f>
        <v>0</v>
      </c>
      <c r="AR27" s="22">
        <f ca="1">+GETPIVOTDATA("XKL4",'kimlong (2016)'!$A$3,"MA_HT","SKS","MA_QH","ODT")</f>
        <v>0</v>
      </c>
      <c r="AS27" s="22">
        <f ca="1">+GETPIVOTDATA("XKL4",'kimlong (2016)'!$A$3,"MA_HT","SKS","MA_QH","TSC")</f>
        <v>0</v>
      </c>
      <c r="AT27" s="22">
        <f ca="1">+GETPIVOTDATA("XKL4",'kimlong (2016)'!$A$3,"MA_HT","SKS","MA_QH","DTS")</f>
        <v>0</v>
      </c>
      <c r="AU27" s="22">
        <f ca="1">+GETPIVOTDATA("XKL4",'kimlong (2016)'!$A$3,"MA_HT","SKS","MA_QH","DNG")</f>
        <v>0</v>
      </c>
      <c r="AV27" s="22">
        <f ca="1">+GETPIVOTDATA("XKL4",'kimlong (2016)'!$A$3,"MA_HT","SKS","MA_QH","TON")</f>
        <v>0</v>
      </c>
      <c r="AW27" s="22">
        <f ca="1">+GETPIVOTDATA("XKL4",'kimlong (2016)'!$A$3,"MA_HT","SKS","MA_QH","NTD")</f>
        <v>0</v>
      </c>
      <c r="AX27" s="22">
        <f ca="1">+GETPIVOTDATA("XKL4",'kimlong (2016)'!$A$3,"MA_HT","SKS","MA_QH","SKX")</f>
        <v>0</v>
      </c>
      <c r="AY27" s="22">
        <f ca="1">+GETPIVOTDATA("XKL4",'kimlong (2016)'!$A$3,"MA_HT","SKS","MA_QH","DSH")</f>
        <v>0</v>
      </c>
      <c r="AZ27" s="22">
        <f ca="1">+GETPIVOTDATA("XKL4",'kimlong (2016)'!$A$3,"MA_HT","SKS","MA_QH","DKV")</f>
        <v>0</v>
      </c>
      <c r="BA27" s="89">
        <f ca="1">+GETPIVOTDATA("XKL4",'kimlong (2016)'!$A$3,"MA_HT","SKS","MA_QH","TIN")</f>
        <v>0</v>
      </c>
      <c r="BB27" s="50">
        <f ca="1">+GETPIVOTDATA("XKL4",'kimlong (2016)'!$A$3,"MA_HT","SKS","MA_QH","SON")</f>
        <v>0</v>
      </c>
      <c r="BC27" s="50">
        <f ca="1">+GETPIVOTDATA("XKL4",'kimlong (2016)'!$A$3,"MA_HT","SKS","MA_QH","MNC")</f>
        <v>0</v>
      </c>
      <c r="BD27" s="22">
        <f ca="1">+GETPIVOTDATA("XKL4",'kimlong (2016)'!$A$3,"MA_HT","SKS","MA_QH","PNK")</f>
        <v>0</v>
      </c>
      <c r="BE27" s="71">
        <f ca="1">+GETPIVOTDATA("XKL4",'kimlong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+GETPIVOTDATA("XKL4",'kimlong (2016)'!$A$3,"MA_HT","DGT","MA_QH","LUC")</f>
        <v>0</v>
      </c>
      <c r="H29" s="50">
        <f ca="1">+GETPIVOTDATA("XKL4",'kimlong (2016)'!$A$3,"MA_HT","DGT","MA_QH","LUK")</f>
        <v>0</v>
      </c>
      <c r="I29" s="50">
        <f ca="1">+GETPIVOTDATA("XKL4",'kimlong (2016)'!$A$3,"MA_HT","DGT","MA_QH","LUN")</f>
        <v>0</v>
      </c>
      <c r="J29" s="50">
        <f ca="1">+GETPIVOTDATA("XKL4",'kimlong (2016)'!$A$3,"MA_HT","DGT","MA_QH","HNK")</f>
        <v>0</v>
      </c>
      <c r="K29" s="50">
        <f ca="1">+GETPIVOTDATA("XKL4",'kimlong (2016)'!$A$3,"MA_HT","DGT","MA_QH","CLN")</f>
        <v>0</v>
      </c>
      <c r="L29" s="50">
        <f ca="1">+GETPIVOTDATA("XKL4",'kimlong (2016)'!$A$3,"MA_HT","DGT","MA_QH","RSX")</f>
        <v>0</v>
      </c>
      <c r="M29" s="50">
        <f ca="1">+GETPIVOTDATA("XKL4",'kimlong (2016)'!$A$3,"MA_HT","DGT","MA_QH","RPH")</f>
        <v>0</v>
      </c>
      <c r="N29" s="50">
        <f ca="1">+GETPIVOTDATA("XKL4",'kimlong (2016)'!$A$3,"MA_HT","DGT","MA_QH","RDD")</f>
        <v>0</v>
      </c>
      <c r="O29" s="50">
        <f ca="1">+GETPIVOTDATA("XKL4",'kimlong (2016)'!$A$3,"MA_HT","DGT","MA_QH","NTS")</f>
        <v>0</v>
      </c>
      <c r="P29" s="50">
        <f ca="1">+GETPIVOTDATA("XKL4",'kimlong (2016)'!$A$3,"MA_HT","DGT","MA_QH","LMU")</f>
        <v>0</v>
      </c>
      <c r="Q29" s="50">
        <f ca="1">+GETPIVOTDATA("XKL4",'kimlong (2016)'!$A$3,"MA_HT","DGT","MA_QH","NKH")</f>
        <v>0</v>
      </c>
      <c r="R29" s="48">
        <f ca="1">SUM(S29:AA29,AN29:BD29)</f>
        <v>0</v>
      </c>
      <c r="S29" s="50">
        <f ca="1">+GETPIVOTDATA("XKL4",'kimlong (2016)'!$A$3,"MA_HT","DGT","MA_QH","CQP")</f>
        <v>0</v>
      </c>
      <c r="T29" s="50">
        <f ca="1">+GETPIVOTDATA("XKL4",'kimlong (2016)'!$A$3,"MA_HT","DGT","MA_QH","CAN")</f>
        <v>0</v>
      </c>
      <c r="U29" s="50">
        <f ca="1">+GETPIVOTDATA("XKL4",'kimlong (2016)'!$A$3,"MA_HT","DGT","MA_QH","SKK")</f>
        <v>0</v>
      </c>
      <c r="V29" s="50">
        <f ca="1">+GETPIVOTDATA("XKL4",'kimlong (2016)'!$A$3,"MA_HT","DGT","MA_QH","SKT")</f>
        <v>0</v>
      </c>
      <c r="W29" s="50">
        <f ca="1">+GETPIVOTDATA("XKL4",'kimlong (2016)'!$A$3,"MA_HT","DGT","MA_QH","SKN")</f>
        <v>0</v>
      </c>
      <c r="X29" s="50">
        <f ca="1">+GETPIVOTDATA("XKL4",'kimlong (2016)'!$A$3,"MA_HT","DGT","MA_QH","TMD")</f>
        <v>0</v>
      </c>
      <c r="Y29" s="50">
        <f ca="1">+GETPIVOTDATA("XKL4",'kimlong (2016)'!$A$3,"MA_HT","DGT","MA_QH","SKC")</f>
        <v>0</v>
      </c>
      <c r="Z29" s="50">
        <f ca="1">+GETPIVOTDATA("XKL4",'kimlong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+GETPIVOTDATA("XKL4",'kimlong (2016)'!$A$3,"MA_HT","DGT","MA_QH","DTL")</f>
        <v>0</v>
      </c>
      <c r="AD29" s="50">
        <f ca="1">+GETPIVOTDATA("XKL4",'kimlong (2016)'!$A$3,"MA_HT","DGT","MA_QH","DNL")</f>
        <v>0</v>
      </c>
      <c r="AE29" s="50">
        <f ca="1">+GETPIVOTDATA("XKL4",'kimlong (2016)'!$A$3,"MA_HT","DGT","MA_QH","DBV")</f>
        <v>0</v>
      </c>
      <c r="AF29" s="50">
        <f ca="1">+GETPIVOTDATA("XKL4",'kimlong (2016)'!$A$3,"MA_HT","DGT","MA_QH","DVH")</f>
        <v>0</v>
      </c>
      <c r="AG29" s="50">
        <f ca="1">+GETPIVOTDATA("XKL4",'kimlong (2016)'!$A$3,"MA_HT","DGT","MA_QH","DYT")</f>
        <v>0</v>
      </c>
      <c r="AH29" s="50">
        <f ca="1">+GETPIVOTDATA("XKL4",'kimlong (2016)'!$A$3,"MA_HT","DGT","MA_QH","DGD")</f>
        <v>0</v>
      </c>
      <c r="AI29" s="50">
        <f ca="1">+GETPIVOTDATA("XKL4",'kimlong (2016)'!$A$3,"MA_HT","DGT","MA_QH","DTT")</f>
        <v>0</v>
      </c>
      <c r="AJ29" s="50">
        <f ca="1">+GETPIVOTDATA("XKL4",'kimlong (2016)'!$A$3,"MA_HT","DGT","MA_QH","NCK")</f>
        <v>0</v>
      </c>
      <c r="AK29" s="50">
        <f ca="1">+GETPIVOTDATA("XKL4",'kimlong (2016)'!$A$3,"MA_HT","DGT","MA_QH","DXH")</f>
        <v>0</v>
      </c>
      <c r="AL29" s="50">
        <f ca="1">+GETPIVOTDATA("XKL4",'kimlong (2016)'!$A$3,"MA_HT","DGT","MA_QH","DCH")</f>
        <v>0</v>
      </c>
      <c r="AM29" s="50">
        <f ca="1">+GETPIVOTDATA("XKL4",'kimlong (2016)'!$A$3,"MA_HT","DGT","MA_QH","DKG")</f>
        <v>0</v>
      </c>
      <c r="AN29" s="50">
        <f ca="1">+GETPIVOTDATA("XKL4",'kimlong (2016)'!$A$3,"MA_HT","DGT","MA_QH","DDT")</f>
        <v>0</v>
      </c>
      <c r="AO29" s="50">
        <f ca="1">+GETPIVOTDATA("XKL4",'kimlong (2016)'!$A$3,"MA_HT","DGT","MA_QH","DDL")</f>
        <v>0</v>
      </c>
      <c r="AP29" s="50">
        <f ca="1">+GETPIVOTDATA("XKL4",'kimlong (2016)'!$A$3,"MA_HT","DGT","MA_QH","DRA")</f>
        <v>0</v>
      </c>
      <c r="AQ29" s="50">
        <f ca="1">+GETPIVOTDATA("XKL4",'kimlong (2016)'!$A$3,"MA_HT","DGT","MA_QH","ONT")</f>
        <v>0</v>
      </c>
      <c r="AR29" s="50">
        <f ca="1">+GETPIVOTDATA("XKL4",'kimlong (2016)'!$A$3,"MA_HT","DGT","MA_QH","ODT")</f>
        <v>0</v>
      </c>
      <c r="AS29" s="50">
        <f ca="1">+GETPIVOTDATA("XKL4",'kimlong (2016)'!$A$3,"MA_HT","DGT","MA_QH","TSC")</f>
        <v>0</v>
      </c>
      <c r="AT29" s="50">
        <f ca="1">+GETPIVOTDATA("XKL4",'kimlong (2016)'!$A$3,"MA_HT","DGT","MA_QH","DTS")</f>
        <v>0</v>
      </c>
      <c r="AU29" s="50">
        <f ca="1">+GETPIVOTDATA("XKL4",'kimlong (2016)'!$A$3,"MA_HT","DGT","MA_QH","DNG")</f>
        <v>0</v>
      </c>
      <c r="AV29" s="50">
        <f ca="1">+GETPIVOTDATA("XKL4",'kimlong (2016)'!$A$3,"MA_HT","DGT","MA_QH","TON")</f>
        <v>0</v>
      </c>
      <c r="AW29" s="50">
        <f ca="1">+GETPIVOTDATA("XKL4",'kimlong (2016)'!$A$3,"MA_HT","DGT","MA_QH","NTD")</f>
        <v>0</v>
      </c>
      <c r="AX29" s="50">
        <f ca="1">+GETPIVOTDATA("XKL4",'kimlong (2016)'!$A$3,"MA_HT","DGT","MA_QH","SKX")</f>
        <v>0</v>
      </c>
      <c r="AY29" s="50">
        <f ca="1">+GETPIVOTDATA("XKL4",'kimlong (2016)'!$A$3,"MA_HT","DGT","MA_QH","DSH")</f>
        <v>0</v>
      </c>
      <c r="AZ29" s="50">
        <f ca="1">+GETPIVOTDATA("XKL4",'kimlong (2016)'!$A$3,"MA_HT","DGT","MA_QH","DKV")</f>
        <v>0</v>
      </c>
      <c r="BA29" s="88">
        <f ca="1">+GETPIVOTDATA("XKL4",'kimlong (2016)'!$A$3,"MA_HT","DGT","MA_QH","TIN")</f>
        <v>0</v>
      </c>
      <c r="BB29" s="50">
        <f ca="1">+GETPIVOTDATA("XKL4",'kimlong (2016)'!$A$3,"MA_HT","DGT","MA_QH","SON")</f>
        <v>0</v>
      </c>
      <c r="BC29" s="50">
        <f ca="1">+GETPIVOTDATA("XKL4",'kimlong (2016)'!$A$3,"MA_HT","DGT","MA_QH","MNC")</f>
        <v>0</v>
      </c>
      <c r="BD29" s="50">
        <f ca="1">+GETPIVOTDATA("XKL4",'kimlong (2016)'!$A$3,"MA_HT","DGT","MA_QH","PNK")</f>
        <v>0</v>
      </c>
      <c r="BE29" s="80">
        <f ca="1">+GETPIVOTDATA("XKL4",'kimlong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+GETPIVOTDATA("XKL4",'kimlong (2016)'!$A$3,"MA_HT","DTL","MA_QH","LUC")</f>
        <v>0</v>
      </c>
      <c r="H30" s="50">
        <f ca="1">+GETPIVOTDATA("XKL4",'kimlong (2016)'!$A$3,"MA_HT","DTL","MA_QH","LUK")</f>
        <v>0</v>
      </c>
      <c r="I30" s="50">
        <f ca="1">+GETPIVOTDATA("XKL4",'kimlong (2016)'!$A$3,"MA_HT","DTL","MA_QH","LUN")</f>
        <v>0</v>
      </c>
      <c r="J30" s="50">
        <f ca="1">+GETPIVOTDATA("XKL4",'kimlong (2016)'!$A$3,"MA_HT","DTL","MA_QH","HNK")</f>
        <v>0</v>
      </c>
      <c r="K30" s="50">
        <f ca="1">+GETPIVOTDATA("XKL4",'kimlong (2016)'!$A$3,"MA_HT","DTL","MA_QH","CLN")</f>
        <v>0</v>
      </c>
      <c r="L30" s="50">
        <f ca="1">+GETPIVOTDATA("XKL4",'kimlong (2016)'!$A$3,"MA_HT","DTL","MA_QH","RSX")</f>
        <v>0</v>
      </c>
      <c r="M30" s="50">
        <f ca="1">+GETPIVOTDATA("XKL4",'kimlong (2016)'!$A$3,"MA_HT","DTL","MA_QH","RPH")</f>
        <v>0</v>
      </c>
      <c r="N30" s="50">
        <f ca="1">+GETPIVOTDATA("XKL4",'kimlong (2016)'!$A$3,"MA_HT","DTL","MA_QH","RDD")</f>
        <v>0</v>
      </c>
      <c r="O30" s="50">
        <f ca="1">+GETPIVOTDATA("XKL4",'kimlong (2016)'!$A$3,"MA_HT","DTL","MA_QH","NTS")</f>
        <v>0</v>
      </c>
      <c r="P30" s="50">
        <f ca="1">+GETPIVOTDATA("XKL4",'kimlong (2016)'!$A$3,"MA_HT","DTL","MA_QH","LMU")</f>
        <v>0</v>
      </c>
      <c r="Q30" s="50">
        <f ca="1">+GETPIVOTDATA("XKL4",'kimlong (2016)'!$A$3,"MA_HT","DTL","MA_QH","NKH")</f>
        <v>0</v>
      </c>
      <c r="R30" s="48">
        <f ca="1" t="shared" ref="R30:R40" si="20">SUM(S30:AA30,AN30:BD30)</f>
        <v>0</v>
      </c>
      <c r="S30" s="50">
        <f ca="1">+GETPIVOTDATA("XKL4",'kimlong (2016)'!$A$3,"MA_HT","DTL","MA_QH","CQP")</f>
        <v>0</v>
      </c>
      <c r="T30" s="50">
        <f ca="1">+GETPIVOTDATA("XKL4",'kimlong (2016)'!$A$3,"MA_HT","DTL","MA_QH","CAN")</f>
        <v>0</v>
      </c>
      <c r="U30" s="50">
        <f ca="1">+GETPIVOTDATA("XKL4",'kimlong (2016)'!$A$3,"MA_HT","DTL","MA_QH","SKK")</f>
        <v>0</v>
      </c>
      <c r="V30" s="50">
        <f ca="1">+GETPIVOTDATA("XKL4",'kimlong (2016)'!$A$3,"MA_HT","DTL","MA_QH","SKT")</f>
        <v>0</v>
      </c>
      <c r="W30" s="50">
        <f ca="1">+GETPIVOTDATA("XKL4",'kimlong (2016)'!$A$3,"MA_HT","DTL","MA_QH","SKN")</f>
        <v>0</v>
      </c>
      <c r="X30" s="50">
        <f ca="1">+GETPIVOTDATA("XKL4",'kimlong (2016)'!$A$3,"MA_HT","DTL","MA_QH","TMD")</f>
        <v>0</v>
      </c>
      <c r="Y30" s="50">
        <f ca="1">+GETPIVOTDATA("XKL4",'kimlong (2016)'!$A$3,"MA_HT","DTL","MA_QH","SKC")</f>
        <v>0</v>
      </c>
      <c r="Z30" s="50">
        <f ca="1">+GETPIVOTDATA("XKL4",'kimlong (2016)'!$A$3,"MA_HT","DTL","MA_QH","SKS")</f>
        <v>0</v>
      </c>
      <c r="AA30" s="52">
        <f ca="1">+SUM(AB30,AD30:AM30)</f>
        <v>0</v>
      </c>
      <c r="AB30" s="50">
        <f ca="1">+GETPIVOTDATA("XKL4",'kimlong (2016)'!$A$3,"MA_HT","DTL","MA_QH","DGT")</f>
        <v>0</v>
      </c>
      <c r="AC30" s="49" t="e">
        <f ca="1">$D30-$BF30</f>
        <v>#REF!</v>
      </c>
      <c r="AD30" s="50">
        <f ca="1">+GETPIVOTDATA("XKL4",'kimlong (2016)'!$A$3,"MA_HT","DTL","MA_QH","DNL")</f>
        <v>0</v>
      </c>
      <c r="AE30" s="50">
        <f ca="1">+GETPIVOTDATA("XKL4",'kimlong (2016)'!$A$3,"MA_HT","DTL","MA_QH","DBV")</f>
        <v>0</v>
      </c>
      <c r="AF30" s="50">
        <f ca="1">+GETPIVOTDATA("XKL4",'kimlong (2016)'!$A$3,"MA_HT","DTL","MA_QH","DVH")</f>
        <v>0</v>
      </c>
      <c r="AG30" s="50">
        <f ca="1">+GETPIVOTDATA("XKL4",'kimlong (2016)'!$A$3,"MA_HT","DTL","MA_QH","DYT")</f>
        <v>0</v>
      </c>
      <c r="AH30" s="50">
        <f ca="1">+GETPIVOTDATA("XKL4",'kimlong (2016)'!$A$3,"MA_HT","DTL","MA_QH","DGD")</f>
        <v>0</v>
      </c>
      <c r="AI30" s="50">
        <f ca="1">+GETPIVOTDATA("XKL4",'kimlong (2016)'!$A$3,"MA_HT","DTL","MA_QH","DTT")</f>
        <v>0</v>
      </c>
      <c r="AJ30" s="50">
        <f ca="1">+GETPIVOTDATA("XKL4",'kimlong (2016)'!$A$3,"MA_HT","DTL","MA_QH","NCK")</f>
        <v>0</v>
      </c>
      <c r="AK30" s="50">
        <f ca="1">+GETPIVOTDATA("XKL4",'kimlong (2016)'!$A$3,"MA_HT","DTL","MA_QH","DXH")</f>
        <v>0</v>
      </c>
      <c r="AL30" s="50">
        <f ca="1">+GETPIVOTDATA("XKL4",'kimlong (2016)'!$A$3,"MA_HT","DTL","MA_QH","DCH")</f>
        <v>0</v>
      </c>
      <c r="AM30" s="50">
        <f ca="1">+GETPIVOTDATA("XKL4",'kimlong (2016)'!$A$3,"MA_HT","DTL","MA_QH","DKG")</f>
        <v>0</v>
      </c>
      <c r="AN30" s="50">
        <f ca="1">+GETPIVOTDATA("XKL4",'kimlong (2016)'!$A$3,"MA_HT","DTL","MA_QH","DDT")</f>
        <v>0</v>
      </c>
      <c r="AO30" s="50">
        <f ca="1">+GETPIVOTDATA("XKL4",'kimlong (2016)'!$A$3,"MA_HT","DTL","MA_QH","DDL")</f>
        <v>0</v>
      </c>
      <c r="AP30" s="50">
        <f ca="1">+GETPIVOTDATA("XKL4",'kimlong (2016)'!$A$3,"MA_HT","DTL","MA_QH","DRA")</f>
        <v>0</v>
      </c>
      <c r="AQ30" s="50">
        <f ca="1">+GETPIVOTDATA("XKL4",'kimlong (2016)'!$A$3,"MA_HT","DTL","MA_QH","ONT")</f>
        <v>0</v>
      </c>
      <c r="AR30" s="50">
        <f ca="1">+GETPIVOTDATA("XKL4",'kimlong (2016)'!$A$3,"MA_HT","DTL","MA_QH","ODT")</f>
        <v>0</v>
      </c>
      <c r="AS30" s="50">
        <f ca="1">+GETPIVOTDATA("XKL4",'kimlong (2016)'!$A$3,"MA_HT","DTL","MA_QH","TSC")</f>
        <v>0</v>
      </c>
      <c r="AT30" s="50">
        <f ca="1">+GETPIVOTDATA("XKL4",'kimlong (2016)'!$A$3,"MA_HT","DTL","MA_QH","DTS")</f>
        <v>0</v>
      </c>
      <c r="AU30" s="50">
        <f ca="1">+GETPIVOTDATA("XKL4",'kimlong (2016)'!$A$3,"MA_HT","DTL","MA_QH","DNG")</f>
        <v>0</v>
      </c>
      <c r="AV30" s="50">
        <f ca="1">+GETPIVOTDATA("XKL4",'kimlong (2016)'!$A$3,"MA_HT","DTL","MA_QH","TON")</f>
        <v>0</v>
      </c>
      <c r="AW30" s="50">
        <f ca="1">+GETPIVOTDATA("XKL4",'kimlong (2016)'!$A$3,"MA_HT","DTL","MA_QH","NTD")</f>
        <v>0</v>
      </c>
      <c r="AX30" s="50">
        <f ca="1">+GETPIVOTDATA("XKL4",'kimlong (2016)'!$A$3,"MA_HT","DTL","MA_QH","SKX")</f>
        <v>0</v>
      </c>
      <c r="AY30" s="50">
        <f ca="1">+GETPIVOTDATA("XKL4",'kimlong (2016)'!$A$3,"MA_HT","DTL","MA_QH","DSH")</f>
        <v>0</v>
      </c>
      <c r="AZ30" s="50">
        <f ca="1">+GETPIVOTDATA("XKL4",'kimlong (2016)'!$A$3,"MA_HT","DTL","MA_QH","DKV")</f>
        <v>0</v>
      </c>
      <c r="BA30" s="88">
        <f ca="1">+GETPIVOTDATA("XKL4",'kimlong (2016)'!$A$3,"MA_HT","DTL","MA_QH","TIN")</f>
        <v>0</v>
      </c>
      <c r="BB30" s="50">
        <f ca="1">+GETPIVOTDATA("XKL4",'kimlong (2016)'!$A$3,"MA_HT","DTL","MA_QH","SON")</f>
        <v>0</v>
      </c>
      <c r="BC30" s="50">
        <f ca="1">+GETPIVOTDATA("XKL4",'kimlong (2016)'!$A$3,"MA_HT","DTL","MA_QH","MNC")</f>
        <v>0</v>
      </c>
      <c r="BD30" s="50">
        <f ca="1">+GETPIVOTDATA("XKL4",'kimlong (2016)'!$A$3,"MA_HT","DTL","MA_QH","PNK")</f>
        <v>0</v>
      </c>
      <c r="BE30" s="80">
        <f ca="1">+GETPIVOTDATA("XKL4",'kimlong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+GETPIVOTDATA("XKL4",'kimlong (2016)'!$A$3,"MA_HT","DNL","MA_QH","LUC")</f>
        <v>0</v>
      </c>
      <c r="H31" s="50">
        <f ca="1">+GETPIVOTDATA("XKL4",'kimlong (2016)'!$A$3,"MA_HT","DNL","MA_QH","LUK")</f>
        <v>0</v>
      </c>
      <c r="I31" s="50">
        <f ca="1">+GETPIVOTDATA("XKL4",'kimlong (2016)'!$A$3,"MA_HT","DNL","MA_QH","LUN")</f>
        <v>0</v>
      </c>
      <c r="J31" s="50">
        <f ca="1">+GETPIVOTDATA("XKL4",'kimlong (2016)'!$A$3,"MA_HT","DNL","MA_QH","HNK")</f>
        <v>0</v>
      </c>
      <c r="K31" s="50">
        <f ca="1">+GETPIVOTDATA("XKL4",'kimlong (2016)'!$A$3,"MA_HT","DNL","MA_QH","CLN")</f>
        <v>0</v>
      </c>
      <c r="L31" s="50">
        <f ca="1">+GETPIVOTDATA("XKL4",'kimlong (2016)'!$A$3,"MA_HT","DNL","MA_QH","RSX")</f>
        <v>0</v>
      </c>
      <c r="M31" s="50">
        <f ca="1">+GETPIVOTDATA("XKL4",'kimlong (2016)'!$A$3,"MA_HT","DNL","MA_QH","RPH")</f>
        <v>0</v>
      </c>
      <c r="N31" s="50">
        <f ca="1">+GETPIVOTDATA("XKL4",'kimlong (2016)'!$A$3,"MA_HT","DNL","MA_QH","RDD")</f>
        <v>0</v>
      </c>
      <c r="O31" s="50">
        <f ca="1">+GETPIVOTDATA("XKL4",'kimlong (2016)'!$A$3,"MA_HT","DNL","MA_QH","NTS")</f>
        <v>0</v>
      </c>
      <c r="P31" s="50">
        <f ca="1">+GETPIVOTDATA("XKL4",'kimlong (2016)'!$A$3,"MA_HT","DNL","MA_QH","LMU")</f>
        <v>0</v>
      </c>
      <c r="Q31" s="50">
        <f ca="1">+GETPIVOTDATA("XKL4",'kimlong (2016)'!$A$3,"MA_HT","DNL","MA_QH","NKH")</f>
        <v>0</v>
      </c>
      <c r="R31" s="48">
        <f ca="1" t="shared" si="20"/>
        <v>0</v>
      </c>
      <c r="S31" s="50">
        <f ca="1">+GETPIVOTDATA("XKL4",'kimlong (2016)'!$A$3,"MA_HT","DNL","MA_QH","CQP")</f>
        <v>0</v>
      </c>
      <c r="T31" s="50">
        <f ca="1">+GETPIVOTDATA("XKL4",'kimlong (2016)'!$A$3,"MA_HT","DNL","MA_QH","CAN")</f>
        <v>0</v>
      </c>
      <c r="U31" s="50">
        <f ca="1">+GETPIVOTDATA("XKL4",'kimlong (2016)'!$A$3,"MA_HT","DNL","MA_QH","SKK")</f>
        <v>0</v>
      </c>
      <c r="V31" s="50">
        <f ca="1">+GETPIVOTDATA("XKL4",'kimlong (2016)'!$A$3,"MA_HT","DNL","MA_QH","SKT")</f>
        <v>0</v>
      </c>
      <c r="W31" s="50">
        <f ca="1">+GETPIVOTDATA("XKL4",'kimlong (2016)'!$A$3,"MA_HT","DNL","MA_QH","SKN")</f>
        <v>0</v>
      </c>
      <c r="X31" s="50">
        <f ca="1">+GETPIVOTDATA("XKL4",'kimlong (2016)'!$A$3,"MA_HT","DNL","MA_QH","TMD")</f>
        <v>0</v>
      </c>
      <c r="Y31" s="50">
        <f ca="1">+GETPIVOTDATA("XKL4",'kimlong (2016)'!$A$3,"MA_HT","DNL","MA_QH","SKC")</f>
        <v>0</v>
      </c>
      <c r="Z31" s="50">
        <f ca="1">+GETPIVOTDATA("XKL4",'kimlong (2016)'!$A$3,"MA_HT","DNL","MA_QH","SKS")</f>
        <v>0</v>
      </c>
      <c r="AA31" s="52">
        <f ca="1">+SUM(AB31:AC31,AE31:AM31)</f>
        <v>0</v>
      </c>
      <c r="AB31" s="50">
        <f ca="1">+GETPIVOTDATA("XKL4",'kimlong (2016)'!$A$3,"MA_HT","DNL","MA_QH","DGT")</f>
        <v>0</v>
      </c>
      <c r="AC31" s="50">
        <f ca="1">+GETPIVOTDATA("XKL4",'kimlong (2016)'!$A$3,"MA_HT","DNL","MA_QH","DTL")</f>
        <v>0</v>
      </c>
      <c r="AD31" s="49" t="e">
        <f ca="1">$D31-$BF31</f>
        <v>#REF!</v>
      </c>
      <c r="AE31" s="50">
        <f ca="1">+GETPIVOTDATA("XKL4",'kimlong (2016)'!$A$3,"MA_HT","DNL","MA_QH","DBV")</f>
        <v>0</v>
      </c>
      <c r="AF31" s="50">
        <f ca="1">+GETPIVOTDATA("XKL4",'kimlong (2016)'!$A$3,"MA_HT","DNL","MA_QH","DVH")</f>
        <v>0</v>
      </c>
      <c r="AG31" s="50">
        <f ca="1">+GETPIVOTDATA("XKL4",'kimlong (2016)'!$A$3,"MA_HT","DNL","MA_QH","DYT")</f>
        <v>0</v>
      </c>
      <c r="AH31" s="50">
        <f ca="1">+GETPIVOTDATA("XKL4",'kimlong (2016)'!$A$3,"MA_HT","DNL","MA_QH","DGD")</f>
        <v>0</v>
      </c>
      <c r="AI31" s="50">
        <f ca="1">+GETPIVOTDATA("XKL4",'kimlong (2016)'!$A$3,"MA_HT","DNL","MA_QH","DTT")</f>
        <v>0</v>
      </c>
      <c r="AJ31" s="50">
        <f ca="1">+GETPIVOTDATA("XKL4",'kimlong (2016)'!$A$3,"MA_HT","DNL","MA_QH","NCK")</f>
        <v>0</v>
      </c>
      <c r="AK31" s="50">
        <f ca="1">+GETPIVOTDATA("XKL4",'kimlong (2016)'!$A$3,"MA_HT","DNL","MA_QH","DXH")</f>
        <v>0</v>
      </c>
      <c r="AL31" s="50">
        <f ca="1">+GETPIVOTDATA("XKL4",'kimlong (2016)'!$A$3,"MA_HT","DNL","MA_QH","DCH")</f>
        <v>0</v>
      </c>
      <c r="AM31" s="50">
        <f ca="1">+GETPIVOTDATA("XKL4",'kimlong (2016)'!$A$3,"MA_HT","DNL","MA_QH","DKG")</f>
        <v>0</v>
      </c>
      <c r="AN31" s="50">
        <f ca="1">+GETPIVOTDATA("XKL4",'kimlong (2016)'!$A$3,"MA_HT","DNL","MA_QH","DDT")</f>
        <v>0</v>
      </c>
      <c r="AO31" s="50">
        <f ca="1">+GETPIVOTDATA("XKL4",'kimlong (2016)'!$A$3,"MA_HT","DNL","MA_QH","DDL")</f>
        <v>0</v>
      </c>
      <c r="AP31" s="50">
        <f ca="1">+GETPIVOTDATA("XKL4",'kimlong (2016)'!$A$3,"MA_HT","DNL","MA_QH","DRA")</f>
        <v>0</v>
      </c>
      <c r="AQ31" s="50">
        <f ca="1">+GETPIVOTDATA("XKL4",'kimlong (2016)'!$A$3,"MA_HT","DNL","MA_QH","ONT")</f>
        <v>0</v>
      </c>
      <c r="AR31" s="50">
        <f ca="1">+GETPIVOTDATA("XKL4",'kimlong (2016)'!$A$3,"MA_HT","DNL","MA_QH","ODT")</f>
        <v>0</v>
      </c>
      <c r="AS31" s="50">
        <f ca="1">+GETPIVOTDATA("XKL4",'kimlong (2016)'!$A$3,"MA_HT","DNL","MA_QH","TSC")</f>
        <v>0</v>
      </c>
      <c r="AT31" s="50">
        <f ca="1">+GETPIVOTDATA("XKL4",'kimlong (2016)'!$A$3,"MA_HT","DNL","MA_QH","DTS")</f>
        <v>0</v>
      </c>
      <c r="AU31" s="50">
        <f ca="1">+GETPIVOTDATA("XKL4",'kimlong (2016)'!$A$3,"MA_HT","DNL","MA_QH","DNG")</f>
        <v>0</v>
      </c>
      <c r="AV31" s="50">
        <f ca="1">+GETPIVOTDATA("XKL4",'kimlong (2016)'!$A$3,"MA_HT","DNL","MA_QH","TON")</f>
        <v>0</v>
      </c>
      <c r="AW31" s="50">
        <f ca="1">+GETPIVOTDATA("XKL4",'kimlong (2016)'!$A$3,"MA_HT","DNL","MA_QH","NTD")</f>
        <v>0</v>
      </c>
      <c r="AX31" s="50">
        <f ca="1">+GETPIVOTDATA("XKL4",'kimlong (2016)'!$A$3,"MA_HT","DNL","MA_QH","SKX")</f>
        <v>0</v>
      </c>
      <c r="AY31" s="50">
        <f ca="1">+GETPIVOTDATA("XKL4",'kimlong (2016)'!$A$3,"MA_HT","DNL","MA_QH","DSH")</f>
        <v>0</v>
      </c>
      <c r="AZ31" s="50">
        <f ca="1">+GETPIVOTDATA("XKL4",'kimlong (2016)'!$A$3,"MA_HT","DNL","MA_QH","DKV")</f>
        <v>0</v>
      </c>
      <c r="BA31" s="88">
        <f ca="1">+GETPIVOTDATA("XKL4",'kimlong (2016)'!$A$3,"MA_HT","DNL","MA_QH","TIN")</f>
        <v>0</v>
      </c>
      <c r="BB31" s="50">
        <f ca="1">+GETPIVOTDATA("XKL4",'kimlong (2016)'!$A$3,"MA_HT","DNL","MA_QH","SON")</f>
        <v>0</v>
      </c>
      <c r="BC31" s="50">
        <f ca="1">+GETPIVOTDATA("XKL4",'kimlong (2016)'!$A$3,"MA_HT","DNL","MA_QH","MNC")</f>
        <v>0</v>
      </c>
      <c r="BD31" s="50">
        <f ca="1">+GETPIVOTDATA("XKL4",'kimlong (2016)'!$A$3,"MA_HT","DNL","MA_QH","PNK")</f>
        <v>0</v>
      </c>
      <c r="BE31" s="80">
        <f ca="1">+GETPIVOTDATA("XKL4",'kimlong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+GETPIVOTDATA("XKL4",'kimlong (2016)'!$A$3,"MA_HT","DBV","MA_QH","LUC")</f>
        <v>0</v>
      </c>
      <c r="H32" s="50">
        <f ca="1">+GETPIVOTDATA("XKL4",'kimlong (2016)'!$A$3,"MA_HT","DBV","MA_QH","LUK")</f>
        <v>0</v>
      </c>
      <c r="I32" s="50">
        <f ca="1">+GETPIVOTDATA("XKL4",'kimlong (2016)'!$A$3,"MA_HT","DBV","MA_QH","LUN")</f>
        <v>0</v>
      </c>
      <c r="J32" s="50">
        <f ca="1">+GETPIVOTDATA("XKL4",'kimlong (2016)'!$A$3,"MA_HT","DBV","MA_QH","HNK")</f>
        <v>0</v>
      </c>
      <c r="K32" s="50">
        <f ca="1">+GETPIVOTDATA("XKL4",'kimlong (2016)'!$A$3,"MA_HT","DBV","MA_QH","CLN")</f>
        <v>0</v>
      </c>
      <c r="L32" s="50">
        <f ca="1">+GETPIVOTDATA("XKL4",'kimlong (2016)'!$A$3,"MA_HT","DBV","MA_QH","RSX")</f>
        <v>0</v>
      </c>
      <c r="M32" s="50">
        <f ca="1">+GETPIVOTDATA("XKL4",'kimlong (2016)'!$A$3,"MA_HT","DBV","MA_QH","RPH")</f>
        <v>0</v>
      </c>
      <c r="N32" s="50">
        <f ca="1">+GETPIVOTDATA("XKL4",'kimlong (2016)'!$A$3,"MA_HT","DBV","MA_QH","RDD")</f>
        <v>0</v>
      </c>
      <c r="O32" s="50">
        <f ca="1">+GETPIVOTDATA("XKL4",'kimlong (2016)'!$A$3,"MA_HT","DBV","MA_QH","NTS")</f>
        <v>0</v>
      </c>
      <c r="P32" s="50">
        <f ca="1">+GETPIVOTDATA("XKL4",'kimlong (2016)'!$A$3,"MA_HT","DBV","MA_QH","LMU")</f>
        <v>0</v>
      </c>
      <c r="Q32" s="50">
        <f ca="1">+GETPIVOTDATA("XKL4",'kimlong (2016)'!$A$3,"MA_HT","DBV","MA_QH","NKH")</f>
        <v>0</v>
      </c>
      <c r="R32" s="48">
        <f ca="1" t="shared" si="20"/>
        <v>0</v>
      </c>
      <c r="S32" s="50">
        <f ca="1">+GETPIVOTDATA("XKL4",'kimlong (2016)'!$A$3,"MA_HT","DBV","MA_QH","CQP")</f>
        <v>0</v>
      </c>
      <c r="T32" s="50">
        <f ca="1">+GETPIVOTDATA("XKL4",'kimlong (2016)'!$A$3,"MA_HT","DBV","MA_QH","CAN")</f>
        <v>0</v>
      </c>
      <c r="U32" s="50">
        <f ca="1">+GETPIVOTDATA("XKL4",'kimlong (2016)'!$A$3,"MA_HT","DBV","MA_QH","SKK")</f>
        <v>0</v>
      </c>
      <c r="V32" s="50">
        <f ca="1">+GETPIVOTDATA("XKL4",'kimlong (2016)'!$A$3,"MA_HT","DBV","MA_QH","SKT")</f>
        <v>0</v>
      </c>
      <c r="W32" s="50">
        <f ca="1">+GETPIVOTDATA("XKL4",'kimlong (2016)'!$A$3,"MA_HT","DBV","MA_QH","SKN")</f>
        <v>0</v>
      </c>
      <c r="X32" s="50">
        <f ca="1">+GETPIVOTDATA("XKL4",'kimlong (2016)'!$A$3,"MA_HT","DBV","MA_QH","TMD")</f>
        <v>0</v>
      </c>
      <c r="Y32" s="50">
        <f ca="1">+GETPIVOTDATA("XKL4",'kimlong (2016)'!$A$3,"MA_HT","DBV","MA_QH","SKC")</f>
        <v>0</v>
      </c>
      <c r="Z32" s="50">
        <f ca="1">+GETPIVOTDATA("XKL4",'kimlong (2016)'!$A$3,"MA_HT","DBV","MA_QH","SKS")</f>
        <v>0</v>
      </c>
      <c r="AA32" s="52">
        <f ca="1">+SUM(AB32:AD32,AF32:AM32)</f>
        <v>0</v>
      </c>
      <c r="AB32" s="50">
        <f ca="1">+GETPIVOTDATA("XKL4",'kimlong (2016)'!$A$3,"MA_HT","DBV","MA_QH","DGT")</f>
        <v>0</v>
      </c>
      <c r="AC32" s="50">
        <f ca="1">+GETPIVOTDATA("XKL4",'kimlong (2016)'!$A$3,"MA_HT","DBV","MA_QH","DTL")</f>
        <v>0</v>
      </c>
      <c r="AD32" s="50">
        <f ca="1">+GETPIVOTDATA("XKL4",'kimlong (2016)'!$A$3,"MA_HT","DBV","MA_QH","DNL")</f>
        <v>0</v>
      </c>
      <c r="AE32" s="49" t="e">
        <f ca="1">$D32-$BF32</f>
        <v>#REF!</v>
      </c>
      <c r="AF32" s="50">
        <f ca="1">+GETPIVOTDATA("XKL4",'kimlong (2016)'!$A$3,"MA_HT","DBV","MA_QH","DVH")</f>
        <v>0</v>
      </c>
      <c r="AG32" s="50">
        <f ca="1">+GETPIVOTDATA("XKL4",'kimlong (2016)'!$A$3,"MA_HT","DBV","MA_QH","DYT")</f>
        <v>0</v>
      </c>
      <c r="AH32" s="50">
        <f ca="1">+GETPIVOTDATA("XKL4",'kimlong (2016)'!$A$3,"MA_HT","DBV","MA_QH","DGD")</f>
        <v>0</v>
      </c>
      <c r="AI32" s="50">
        <f ca="1">+GETPIVOTDATA("XKL4",'kimlong (2016)'!$A$3,"MA_HT","DBV","MA_QH","DTT")</f>
        <v>0</v>
      </c>
      <c r="AJ32" s="50">
        <f ca="1">+GETPIVOTDATA("XKL4",'kimlong (2016)'!$A$3,"MA_HT","DBV","MA_QH","NCK")</f>
        <v>0</v>
      </c>
      <c r="AK32" s="50">
        <f ca="1">+GETPIVOTDATA("XKL4",'kimlong (2016)'!$A$3,"MA_HT","DBV","MA_QH","DXH")</f>
        <v>0</v>
      </c>
      <c r="AL32" s="50">
        <f ca="1">+GETPIVOTDATA("XKL4",'kimlong (2016)'!$A$3,"MA_HT","DBV","MA_QH","DCH")</f>
        <v>0</v>
      </c>
      <c r="AM32" s="50">
        <f ca="1">+GETPIVOTDATA("XKL4",'kimlong (2016)'!$A$3,"MA_HT","DBV","MA_QH","DKG")</f>
        <v>0</v>
      </c>
      <c r="AN32" s="50">
        <f ca="1">+GETPIVOTDATA("XKL4",'kimlong (2016)'!$A$3,"MA_HT","DBV","MA_QH","DDT")</f>
        <v>0</v>
      </c>
      <c r="AO32" s="50">
        <f ca="1">+GETPIVOTDATA("XKL4",'kimlong (2016)'!$A$3,"MA_HT","DBV","MA_QH","DDL")</f>
        <v>0</v>
      </c>
      <c r="AP32" s="50">
        <f ca="1">+GETPIVOTDATA("XKL4",'kimlong (2016)'!$A$3,"MA_HT","DBV","MA_QH","DRA")</f>
        <v>0</v>
      </c>
      <c r="AQ32" s="50">
        <f ca="1">+GETPIVOTDATA("XKL4",'kimlong (2016)'!$A$3,"MA_HT","DBV","MA_QH","ONT")</f>
        <v>0</v>
      </c>
      <c r="AR32" s="50">
        <f ca="1">+GETPIVOTDATA("XKL4",'kimlong (2016)'!$A$3,"MA_HT","DBV","MA_QH","ODT")</f>
        <v>0</v>
      </c>
      <c r="AS32" s="50">
        <f ca="1">+GETPIVOTDATA("XKL4",'kimlong (2016)'!$A$3,"MA_HT","DBV","MA_QH","TSC")</f>
        <v>0</v>
      </c>
      <c r="AT32" s="50">
        <f ca="1">+GETPIVOTDATA("XKL4",'kimlong (2016)'!$A$3,"MA_HT","DBV","MA_QH","DTS")</f>
        <v>0</v>
      </c>
      <c r="AU32" s="50">
        <f ca="1">+GETPIVOTDATA("XKL4",'kimlong (2016)'!$A$3,"MA_HT","DBV","MA_QH","DNG")</f>
        <v>0</v>
      </c>
      <c r="AV32" s="50">
        <f ca="1">+GETPIVOTDATA("XKL4",'kimlong (2016)'!$A$3,"MA_HT","DBV","MA_QH","TON")</f>
        <v>0</v>
      </c>
      <c r="AW32" s="50">
        <f ca="1">+GETPIVOTDATA("XKL4",'kimlong (2016)'!$A$3,"MA_HT","DBV","MA_QH","NTD")</f>
        <v>0</v>
      </c>
      <c r="AX32" s="50">
        <f ca="1">+GETPIVOTDATA("XKL4",'kimlong (2016)'!$A$3,"MA_HT","DBV","MA_QH","SKX")</f>
        <v>0</v>
      </c>
      <c r="AY32" s="50">
        <f ca="1">+GETPIVOTDATA("XKL4",'kimlong (2016)'!$A$3,"MA_HT","DBV","MA_QH","DSH")</f>
        <v>0</v>
      </c>
      <c r="AZ32" s="50">
        <f ca="1">+GETPIVOTDATA("XKL4",'kimlong (2016)'!$A$3,"MA_HT","DBV","MA_QH","DKV")</f>
        <v>0</v>
      </c>
      <c r="BA32" s="88">
        <f ca="1">+GETPIVOTDATA("XKL4",'kimlong (2016)'!$A$3,"MA_HT","DBV","MA_QH","TIN")</f>
        <v>0</v>
      </c>
      <c r="BB32" s="50">
        <f ca="1">+GETPIVOTDATA("XKL4",'kimlong (2016)'!$A$3,"MA_HT","DBV","MA_QH","SON")</f>
        <v>0</v>
      </c>
      <c r="BC32" s="50">
        <f ca="1">+GETPIVOTDATA("XKL4",'kimlong (2016)'!$A$3,"MA_HT","DBV","MA_QH","MNC")</f>
        <v>0</v>
      </c>
      <c r="BD32" s="50">
        <f ca="1">+GETPIVOTDATA("XKL4",'kimlong (2016)'!$A$3,"MA_HT","DBV","MA_QH","PNK")</f>
        <v>0</v>
      </c>
      <c r="BE32" s="80">
        <f ca="1">+GETPIVOTDATA("XKL4",'kimlong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+GETPIVOTDATA("XKL4",'kimlong (2016)'!$A$3,"MA_HT","DVH","MA_QH","LUC")</f>
        <v>0</v>
      </c>
      <c r="H33" s="50">
        <f ca="1">+GETPIVOTDATA("XKL4",'kimlong (2016)'!$A$3,"MA_HT","DVH","MA_QH","LUK")</f>
        <v>0</v>
      </c>
      <c r="I33" s="50">
        <f ca="1">+GETPIVOTDATA("XKL4",'kimlong (2016)'!$A$3,"MA_HT","DVH","MA_QH","LUN")</f>
        <v>0</v>
      </c>
      <c r="J33" s="50">
        <f ca="1">+GETPIVOTDATA("XKL4",'kimlong (2016)'!$A$3,"MA_HT","DVH","MA_QH","HNK")</f>
        <v>0</v>
      </c>
      <c r="K33" s="50">
        <f ca="1">+GETPIVOTDATA("XKL4",'kimlong (2016)'!$A$3,"MA_HT","DVH","MA_QH","CLN")</f>
        <v>0</v>
      </c>
      <c r="L33" s="50">
        <f ca="1">+GETPIVOTDATA("XKL4",'kimlong (2016)'!$A$3,"MA_HT","DVH","MA_QH","RSX")</f>
        <v>0</v>
      </c>
      <c r="M33" s="50">
        <f ca="1">+GETPIVOTDATA("XKL4",'kimlong (2016)'!$A$3,"MA_HT","DVH","MA_QH","RPH")</f>
        <v>0</v>
      </c>
      <c r="N33" s="50">
        <f ca="1">+GETPIVOTDATA("XKL4",'kimlong (2016)'!$A$3,"MA_HT","DVH","MA_QH","RDD")</f>
        <v>0</v>
      </c>
      <c r="O33" s="50">
        <f ca="1">+GETPIVOTDATA("XKL4",'kimlong (2016)'!$A$3,"MA_HT","DVH","MA_QH","NTS")</f>
        <v>0</v>
      </c>
      <c r="P33" s="50">
        <f ca="1">+GETPIVOTDATA("XKL4",'kimlong (2016)'!$A$3,"MA_HT","DVH","MA_QH","LMU")</f>
        <v>0</v>
      </c>
      <c r="Q33" s="50">
        <f ca="1">+GETPIVOTDATA("XKL4",'kimlong (2016)'!$A$3,"MA_HT","DVH","MA_QH","NKH")</f>
        <v>0</v>
      </c>
      <c r="R33" s="48">
        <f ca="1" t="shared" si="20"/>
        <v>0</v>
      </c>
      <c r="S33" s="50">
        <f ca="1">+GETPIVOTDATA("XKL4",'kimlong (2016)'!$A$3,"MA_HT","DVH","MA_QH","CQP")</f>
        <v>0</v>
      </c>
      <c r="T33" s="50">
        <f ca="1">+GETPIVOTDATA("XKL4",'kimlong (2016)'!$A$3,"MA_HT","DVH","MA_QH","CAN")</f>
        <v>0</v>
      </c>
      <c r="U33" s="50">
        <f ca="1">+GETPIVOTDATA("XKL4",'kimlong (2016)'!$A$3,"MA_HT","DVH","MA_QH","SKK")</f>
        <v>0</v>
      </c>
      <c r="V33" s="50">
        <f ca="1">+GETPIVOTDATA("XKL4",'kimlong (2016)'!$A$3,"MA_HT","DVH","MA_QH","SKT")</f>
        <v>0</v>
      </c>
      <c r="W33" s="50">
        <f ca="1">+GETPIVOTDATA("XKL4",'kimlong (2016)'!$A$3,"MA_HT","DVH","MA_QH","SKN")</f>
        <v>0</v>
      </c>
      <c r="X33" s="50">
        <f ca="1">+GETPIVOTDATA("XKL4",'kimlong (2016)'!$A$3,"MA_HT","DVH","MA_QH","TMD")</f>
        <v>0</v>
      </c>
      <c r="Y33" s="50">
        <f ca="1">+GETPIVOTDATA("XKL4",'kimlong (2016)'!$A$3,"MA_HT","DVH","MA_QH","SKC")</f>
        <v>0</v>
      </c>
      <c r="Z33" s="50">
        <f ca="1">+GETPIVOTDATA("XKL4",'kimlong (2016)'!$A$3,"MA_HT","DVH","MA_QH","SKS")</f>
        <v>0</v>
      </c>
      <c r="AA33" s="52">
        <f ca="1">+SUM(AB33:AE33,AG33:AM33)</f>
        <v>0</v>
      </c>
      <c r="AB33" s="50">
        <f ca="1">+GETPIVOTDATA("XKL4",'kimlong (2016)'!$A$3,"MA_HT","DVH","MA_QH","DGT")</f>
        <v>0</v>
      </c>
      <c r="AC33" s="50">
        <f ca="1">+GETPIVOTDATA("XKL4",'kimlong (2016)'!$A$3,"MA_HT","DVH","MA_QH","DTL")</f>
        <v>0</v>
      </c>
      <c r="AD33" s="50">
        <f ca="1">+GETPIVOTDATA("XKL4",'kimlong (2016)'!$A$3,"MA_HT","DVH","MA_QH","DNL")</f>
        <v>0</v>
      </c>
      <c r="AE33" s="50">
        <f ca="1">+GETPIVOTDATA("XKL4",'kimlong (2016)'!$A$3,"MA_HT","DVH","MA_QH","DBV")</f>
        <v>0</v>
      </c>
      <c r="AF33" s="49" t="e">
        <f ca="1">$D33-$BF33</f>
        <v>#REF!</v>
      </c>
      <c r="AG33" s="50">
        <f ca="1">+GETPIVOTDATA("XKL4",'kimlong (2016)'!$A$3,"MA_HT","DVH","MA_QH","DYT")</f>
        <v>0</v>
      </c>
      <c r="AH33" s="50">
        <f ca="1">+GETPIVOTDATA("XKL4",'kimlong (2016)'!$A$3,"MA_HT","DVH","MA_QH","DGD")</f>
        <v>0</v>
      </c>
      <c r="AI33" s="50">
        <f ca="1">+GETPIVOTDATA("XKL4",'kimlong (2016)'!$A$3,"MA_HT","DVH","MA_QH","DTT")</f>
        <v>0</v>
      </c>
      <c r="AJ33" s="50">
        <f ca="1">+GETPIVOTDATA("XKL4",'kimlong (2016)'!$A$3,"MA_HT","DVH","MA_QH","NCK")</f>
        <v>0</v>
      </c>
      <c r="AK33" s="50">
        <f ca="1">+GETPIVOTDATA("XKL4",'kimlong (2016)'!$A$3,"MA_HT","DVH","MA_QH","DXH")</f>
        <v>0</v>
      </c>
      <c r="AL33" s="50">
        <f ca="1">+GETPIVOTDATA("XKL4",'kimlong (2016)'!$A$3,"MA_HT","DVH","MA_QH","DCH")</f>
        <v>0</v>
      </c>
      <c r="AM33" s="50">
        <f ca="1">+GETPIVOTDATA("XKL4",'kimlong (2016)'!$A$3,"MA_HT","DVH","MA_QH","DKG")</f>
        <v>0</v>
      </c>
      <c r="AN33" s="50">
        <f ca="1">+GETPIVOTDATA("XKL4",'kimlong (2016)'!$A$3,"MA_HT","DVH","MA_QH","DDT")</f>
        <v>0</v>
      </c>
      <c r="AO33" s="50">
        <f ca="1">+GETPIVOTDATA("XKL4",'kimlong (2016)'!$A$3,"MA_HT","DVH","MA_QH","DDL")</f>
        <v>0</v>
      </c>
      <c r="AP33" s="50">
        <f ca="1">+GETPIVOTDATA("XKL4",'kimlong (2016)'!$A$3,"MA_HT","DVH","MA_QH","DRA")</f>
        <v>0</v>
      </c>
      <c r="AQ33" s="50">
        <f ca="1">+GETPIVOTDATA("XKL4",'kimlong (2016)'!$A$3,"MA_HT","DVH","MA_QH","ONT")</f>
        <v>0</v>
      </c>
      <c r="AR33" s="50">
        <f ca="1">+GETPIVOTDATA("XKL4",'kimlong (2016)'!$A$3,"MA_HT","DVH","MA_QH","ODT")</f>
        <v>0</v>
      </c>
      <c r="AS33" s="50">
        <f ca="1">+GETPIVOTDATA("XKL4",'kimlong (2016)'!$A$3,"MA_HT","DVH","MA_QH","TSC")</f>
        <v>0</v>
      </c>
      <c r="AT33" s="50">
        <f ca="1">+GETPIVOTDATA("XKL4",'kimlong (2016)'!$A$3,"MA_HT","DVH","MA_QH","DTS")</f>
        <v>0</v>
      </c>
      <c r="AU33" s="50">
        <f ca="1">+GETPIVOTDATA("XKL4",'kimlong (2016)'!$A$3,"MA_HT","DVH","MA_QH","DNG")</f>
        <v>0</v>
      </c>
      <c r="AV33" s="50">
        <f ca="1">+GETPIVOTDATA("XKL4",'kimlong (2016)'!$A$3,"MA_HT","DVH","MA_QH","TON")</f>
        <v>0</v>
      </c>
      <c r="AW33" s="50">
        <f ca="1">+GETPIVOTDATA("XKL4",'kimlong (2016)'!$A$3,"MA_HT","DVH","MA_QH","NTD")</f>
        <v>0</v>
      </c>
      <c r="AX33" s="50">
        <f ca="1">+GETPIVOTDATA("XKL4",'kimlong (2016)'!$A$3,"MA_HT","DVH","MA_QH","SKX")</f>
        <v>0</v>
      </c>
      <c r="AY33" s="50">
        <f ca="1">+GETPIVOTDATA("XKL4",'kimlong (2016)'!$A$3,"MA_HT","DVH","MA_QH","DSH")</f>
        <v>0</v>
      </c>
      <c r="AZ33" s="50">
        <f ca="1">+GETPIVOTDATA("XKL4",'kimlong (2016)'!$A$3,"MA_HT","DVH","MA_QH","DKV")</f>
        <v>0</v>
      </c>
      <c r="BA33" s="88">
        <f ca="1">+GETPIVOTDATA("XKL4",'kimlong (2016)'!$A$3,"MA_HT","DVH","MA_QH","TIN")</f>
        <v>0</v>
      </c>
      <c r="BB33" s="50">
        <f ca="1">+GETPIVOTDATA("XKL4",'kimlong (2016)'!$A$3,"MA_HT","DVH","MA_QH","SON")</f>
        <v>0</v>
      </c>
      <c r="BC33" s="50">
        <f ca="1">+GETPIVOTDATA("XKL4",'kimlong (2016)'!$A$3,"MA_HT","DVH","MA_QH","MNC")</f>
        <v>0</v>
      </c>
      <c r="BD33" s="50">
        <f ca="1">+GETPIVOTDATA("XKL4",'kimlong (2016)'!$A$3,"MA_HT","DVH","MA_QH","PNK")</f>
        <v>0</v>
      </c>
      <c r="BE33" s="80">
        <f ca="1">+GETPIVOTDATA("XKL4",'kimlong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+GETPIVOTDATA("XKL4",'kimlong (2016)'!$A$3,"MA_HT","DYT","MA_QH","LUC")</f>
        <v>0</v>
      </c>
      <c r="H34" s="50">
        <f ca="1">+GETPIVOTDATA("XKL4",'kimlong (2016)'!$A$3,"MA_HT","DYT","MA_QH","LUK")</f>
        <v>0</v>
      </c>
      <c r="I34" s="50">
        <f ca="1">+GETPIVOTDATA("XKL4",'kimlong (2016)'!$A$3,"MA_HT","DYT","MA_QH","LUN")</f>
        <v>0</v>
      </c>
      <c r="J34" s="50">
        <f ca="1">+GETPIVOTDATA("XKL4",'kimlong (2016)'!$A$3,"MA_HT","DYT","MA_QH","HNK")</f>
        <v>0</v>
      </c>
      <c r="K34" s="50">
        <f ca="1">+GETPIVOTDATA("XKL4",'kimlong (2016)'!$A$3,"MA_HT","DYT","MA_QH","CLN")</f>
        <v>0</v>
      </c>
      <c r="L34" s="50">
        <f ca="1">+GETPIVOTDATA("XKL4",'kimlong (2016)'!$A$3,"MA_HT","DYT","MA_QH","RSX")</f>
        <v>0</v>
      </c>
      <c r="M34" s="50">
        <f ca="1">+GETPIVOTDATA("XKL4",'kimlong (2016)'!$A$3,"MA_HT","DYT","MA_QH","RPH")</f>
        <v>0</v>
      </c>
      <c r="N34" s="50">
        <f ca="1">+GETPIVOTDATA("XKL4",'kimlong (2016)'!$A$3,"MA_HT","DYT","MA_QH","RDD")</f>
        <v>0</v>
      </c>
      <c r="O34" s="50">
        <f ca="1">+GETPIVOTDATA("XKL4",'kimlong (2016)'!$A$3,"MA_HT","DYT","MA_QH","NTS")</f>
        <v>0</v>
      </c>
      <c r="P34" s="50">
        <f ca="1">+GETPIVOTDATA("XKL4",'kimlong (2016)'!$A$3,"MA_HT","DYT","MA_QH","LMU")</f>
        <v>0</v>
      </c>
      <c r="Q34" s="50">
        <f ca="1">+GETPIVOTDATA("XKL4",'kimlong (2016)'!$A$3,"MA_HT","DYT","MA_QH","NKH")</f>
        <v>0</v>
      </c>
      <c r="R34" s="48">
        <f ca="1" t="shared" si="20"/>
        <v>0</v>
      </c>
      <c r="S34" s="50">
        <f ca="1">+GETPIVOTDATA("XKL4",'kimlong (2016)'!$A$3,"MA_HT","DYT","MA_QH","CQP")</f>
        <v>0</v>
      </c>
      <c r="T34" s="50">
        <f ca="1">+GETPIVOTDATA("XKL4",'kimlong (2016)'!$A$3,"MA_HT","DYT","MA_QH","CAN")</f>
        <v>0</v>
      </c>
      <c r="U34" s="50">
        <f ca="1">+GETPIVOTDATA("XKL4",'kimlong (2016)'!$A$3,"MA_HT","DYT","MA_QH","SKK")</f>
        <v>0</v>
      </c>
      <c r="V34" s="50">
        <f ca="1">+GETPIVOTDATA("XKL4",'kimlong (2016)'!$A$3,"MA_HT","DYT","MA_QH","SKT")</f>
        <v>0</v>
      </c>
      <c r="W34" s="50">
        <f ca="1">+GETPIVOTDATA("XKL4",'kimlong (2016)'!$A$3,"MA_HT","DYT","MA_QH","SKN")</f>
        <v>0</v>
      </c>
      <c r="X34" s="50">
        <f ca="1">+GETPIVOTDATA("XKL4",'kimlong (2016)'!$A$3,"MA_HT","DYT","MA_QH","TMD")</f>
        <v>0</v>
      </c>
      <c r="Y34" s="50">
        <f ca="1">+GETPIVOTDATA("XKL4",'kimlong (2016)'!$A$3,"MA_HT","DYT","MA_QH","SKC")</f>
        <v>0</v>
      </c>
      <c r="Z34" s="50">
        <f ca="1">+GETPIVOTDATA("XKL4",'kimlong (2016)'!$A$3,"MA_HT","DYT","MA_QH","SKS")</f>
        <v>0</v>
      </c>
      <c r="AA34" s="52">
        <f ca="1">+SUM(AB34:AF34,AH34:AM34)</f>
        <v>0</v>
      </c>
      <c r="AB34" s="50">
        <f ca="1">+GETPIVOTDATA("XKL4",'kimlong (2016)'!$A$3,"MA_HT","DYT","MA_QH","DGT")</f>
        <v>0</v>
      </c>
      <c r="AC34" s="50">
        <f ca="1">+GETPIVOTDATA("XKL4",'kimlong (2016)'!$A$3,"MA_HT","DYT","MA_QH","DTL")</f>
        <v>0</v>
      </c>
      <c r="AD34" s="50">
        <f ca="1">+GETPIVOTDATA("XKL4",'kimlong (2016)'!$A$3,"MA_HT","DYT","MA_QH","DNL")</f>
        <v>0</v>
      </c>
      <c r="AE34" s="50">
        <f ca="1">+GETPIVOTDATA("XKL4",'kimlong (2016)'!$A$3,"MA_HT","DYT","MA_QH","DBV")</f>
        <v>0</v>
      </c>
      <c r="AF34" s="50">
        <f ca="1">+GETPIVOTDATA("XKL4",'kimlong (2016)'!$A$3,"MA_HT","DYT","MA_QH","DVH")</f>
        <v>0</v>
      </c>
      <c r="AG34" s="49" t="e">
        <f ca="1">$D34-$BF34</f>
        <v>#REF!</v>
      </c>
      <c r="AH34" s="50">
        <f ca="1">+GETPIVOTDATA("XKL4",'kimlong (2016)'!$A$3,"MA_HT","DYT","MA_QH","DGD")</f>
        <v>0</v>
      </c>
      <c r="AI34" s="50">
        <f ca="1">+GETPIVOTDATA("XKL4",'kimlong (2016)'!$A$3,"MA_HT","DYT","MA_QH","DTT")</f>
        <v>0</v>
      </c>
      <c r="AJ34" s="50">
        <f ca="1">+GETPIVOTDATA("XKL4",'kimlong (2016)'!$A$3,"MA_HT","DYT","MA_QH","NCK")</f>
        <v>0</v>
      </c>
      <c r="AK34" s="50">
        <f ca="1">+GETPIVOTDATA("XKL4",'kimlong (2016)'!$A$3,"MA_HT","DYT","MA_QH","DXH")</f>
        <v>0</v>
      </c>
      <c r="AL34" s="50">
        <f ca="1">+GETPIVOTDATA("XKL4",'kimlong (2016)'!$A$3,"MA_HT","DYT","MA_QH","DCH")</f>
        <v>0</v>
      </c>
      <c r="AM34" s="50">
        <f ca="1">+GETPIVOTDATA("XKL4",'kimlong (2016)'!$A$3,"MA_HT","DYT","MA_QH","DKG")</f>
        <v>0</v>
      </c>
      <c r="AN34" s="50">
        <f ca="1">+GETPIVOTDATA("XKL4",'kimlong (2016)'!$A$3,"MA_HT","DYT","MA_QH","DDT")</f>
        <v>0</v>
      </c>
      <c r="AO34" s="50">
        <f ca="1">+GETPIVOTDATA("XKL4",'kimlong (2016)'!$A$3,"MA_HT","DYT","MA_QH","DDL")</f>
        <v>0</v>
      </c>
      <c r="AP34" s="50">
        <f ca="1">+GETPIVOTDATA("XKL4",'kimlong (2016)'!$A$3,"MA_HT","DYT","MA_QH","DRA")</f>
        <v>0</v>
      </c>
      <c r="AQ34" s="50">
        <f ca="1">+GETPIVOTDATA("XKL4",'kimlong (2016)'!$A$3,"MA_HT","DYT","MA_QH","ONT")</f>
        <v>0</v>
      </c>
      <c r="AR34" s="50">
        <f ca="1">+GETPIVOTDATA("XKL4",'kimlong (2016)'!$A$3,"MA_HT","DYT","MA_QH","ODT")</f>
        <v>0</v>
      </c>
      <c r="AS34" s="50">
        <f ca="1">+GETPIVOTDATA("XKL4",'kimlong (2016)'!$A$3,"MA_HT","DYT","MA_QH","TSC")</f>
        <v>0</v>
      </c>
      <c r="AT34" s="50">
        <f ca="1">+GETPIVOTDATA("XKL4",'kimlong (2016)'!$A$3,"MA_HT","DYT","MA_QH","DTS")</f>
        <v>0</v>
      </c>
      <c r="AU34" s="50">
        <f ca="1">+GETPIVOTDATA("XKL4",'kimlong (2016)'!$A$3,"MA_HT","DYT","MA_QH","DNG")</f>
        <v>0</v>
      </c>
      <c r="AV34" s="50">
        <f ca="1">+GETPIVOTDATA("XKL4",'kimlong (2016)'!$A$3,"MA_HT","DYT","MA_QH","TON")</f>
        <v>0</v>
      </c>
      <c r="AW34" s="50">
        <f ca="1">+GETPIVOTDATA("XKL4",'kimlong (2016)'!$A$3,"MA_HT","DYT","MA_QH","NTD")</f>
        <v>0</v>
      </c>
      <c r="AX34" s="50">
        <f ca="1">+GETPIVOTDATA("XKL4",'kimlong (2016)'!$A$3,"MA_HT","DYT","MA_QH","SKX")</f>
        <v>0</v>
      </c>
      <c r="AY34" s="50">
        <f ca="1">+GETPIVOTDATA("XKL4",'kimlong (2016)'!$A$3,"MA_HT","DYT","MA_QH","DSH")</f>
        <v>0</v>
      </c>
      <c r="AZ34" s="50">
        <f ca="1">+GETPIVOTDATA("XKL4",'kimlong (2016)'!$A$3,"MA_HT","DYT","MA_QH","DKV")</f>
        <v>0</v>
      </c>
      <c r="BA34" s="88">
        <f ca="1">+GETPIVOTDATA("XKL4",'kimlong (2016)'!$A$3,"MA_HT","DYT","MA_QH","TIN")</f>
        <v>0</v>
      </c>
      <c r="BB34" s="50">
        <f ca="1">+GETPIVOTDATA("XKL4",'kimlong (2016)'!$A$3,"MA_HT","DYT","MA_QH","SON")</f>
        <v>0</v>
      </c>
      <c r="BC34" s="50">
        <f ca="1">+GETPIVOTDATA("XKL4",'kimlong (2016)'!$A$3,"MA_HT","DYT","MA_QH","MNC")</f>
        <v>0</v>
      </c>
      <c r="BD34" s="50">
        <f ca="1">+GETPIVOTDATA("XKL4",'kimlong (2016)'!$A$3,"MA_HT","DYT","MA_QH","PNK")</f>
        <v>0</v>
      </c>
      <c r="BE34" s="80">
        <f ca="1">+GETPIVOTDATA("XKL4",'kimlong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+GETPIVOTDATA("XKL4",'kimlong (2016)'!$A$3,"MA_HT","DGD","MA_QH","LUC")</f>
        <v>0</v>
      </c>
      <c r="H35" s="50">
        <f ca="1">+GETPIVOTDATA("XKL4",'kimlong (2016)'!$A$3,"MA_HT","DGD","MA_QH","LUK")</f>
        <v>0</v>
      </c>
      <c r="I35" s="50">
        <f ca="1">+GETPIVOTDATA("XKL4",'kimlong (2016)'!$A$3,"MA_HT","DGD","MA_QH","LUN")</f>
        <v>0</v>
      </c>
      <c r="J35" s="50">
        <f ca="1">+GETPIVOTDATA("XKL4",'kimlong (2016)'!$A$3,"MA_HT","DGD","MA_QH","HNK")</f>
        <v>0</v>
      </c>
      <c r="K35" s="50">
        <f ca="1">+GETPIVOTDATA("XKL4",'kimlong (2016)'!$A$3,"MA_HT","DGD","MA_QH","CLN")</f>
        <v>0</v>
      </c>
      <c r="L35" s="50">
        <f ca="1">+GETPIVOTDATA("XKL4",'kimlong (2016)'!$A$3,"MA_HT","DGD","MA_QH","RSX")</f>
        <v>0</v>
      </c>
      <c r="M35" s="50">
        <f ca="1">+GETPIVOTDATA("XKL4",'kimlong (2016)'!$A$3,"MA_HT","DGD","MA_QH","RPH")</f>
        <v>0</v>
      </c>
      <c r="N35" s="50">
        <f ca="1">+GETPIVOTDATA("XKL4",'kimlong (2016)'!$A$3,"MA_HT","DGD","MA_QH","RDD")</f>
        <v>0</v>
      </c>
      <c r="O35" s="50">
        <f ca="1">+GETPIVOTDATA("XKL4",'kimlong (2016)'!$A$3,"MA_HT","DGD","MA_QH","NTS")</f>
        <v>0</v>
      </c>
      <c r="P35" s="50">
        <f ca="1">+GETPIVOTDATA("XKL4",'kimlong (2016)'!$A$3,"MA_HT","DGD","MA_QH","LMU")</f>
        <v>0</v>
      </c>
      <c r="Q35" s="50">
        <f ca="1">+GETPIVOTDATA("XKL4",'kimlong (2016)'!$A$3,"MA_HT","DGD","MA_QH","NKH")</f>
        <v>0</v>
      </c>
      <c r="R35" s="48">
        <f ca="1" t="shared" si="20"/>
        <v>0</v>
      </c>
      <c r="S35" s="50">
        <f ca="1">+GETPIVOTDATA("XKL4",'kimlong (2016)'!$A$3,"MA_HT","DGD","MA_QH","CQP")</f>
        <v>0</v>
      </c>
      <c r="T35" s="50">
        <f ca="1">+GETPIVOTDATA("XKL4",'kimlong (2016)'!$A$3,"MA_HT","DGD","MA_QH","CAN")</f>
        <v>0</v>
      </c>
      <c r="U35" s="50">
        <f ca="1">+GETPIVOTDATA("XKL4",'kimlong (2016)'!$A$3,"MA_HT","DGD","MA_QH","SKK")</f>
        <v>0</v>
      </c>
      <c r="V35" s="50">
        <f ca="1">+GETPIVOTDATA("XKL4",'kimlong (2016)'!$A$3,"MA_HT","DGD","MA_QH","SKT")</f>
        <v>0</v>
      </c>
      <c r="W35" s="50">
        <f ca="1">+GETPIVOTDATA("XKL4",'kimlong (2016)'!$A$3,"MA_HT","DGD","MA_QH","SKN")</f>
        <v>0</v>
      </c>
      <c r="X35" s="50">
        <f ca="1">+GETPIVOTDATA("XKL4",'kimlong (2016)'!$A$3,"MA_HT","DGD","MA_QH","TMD")</f>
        <v>0</v>
      </c>
      <c r="Y35" s="50">
        <f ca="1">+GETPIVOTDATA("XKL4",'kimlong (2016)'!$A$3,"MA_HT","DGD","MA_QH","SKC")</f>
        <v>0</v>
      </c>
      <c r="Z35" s="50">
        <f ca="1">+GETPIVOTDATA("XKL4",'kimlong (2016)'!$A$3,"MA_HT","DGD","MA_QH","SKS")</f>
        <v>0</v>
      </c>
      <c r="AA35" s="52">
        <f ca="1">+SUM(AB35:AG35,AI35:AM35)</f>
        <v>0</v>
      </c>
      <c r="AB35" s="50">
        <f ca="1">+GETPIVOTDATA("XKL4",'kimlong (2016)'!$A$3,"MA_HT","DGD","MA_QH","DGT")</f>
        <v>0</v>
      </c>
      <c r="AC35" s="50">
        <f ca="1">+GETPIVOTDATA("XKL4",'kimlong (2016)'!$A$3,"MA_HT","DGD","MA_QH","DTL")</f>
        <v>0</v>
      </c>
      <c r="AD35" s="50">
        <f ca="1">+GETPIVOTDATA("XKL4",'kimlong (2016)'!$A$3,"MA_HT","DGD","MA_QH","DNL")</f>
        <v>0</v>
      </c>
      <c r="AE35" s="50">
        <f ca="1">+GETPIVOTDATA("XKL4",'kimlong (2016)'!$A$3,"MA_HT","DGD","MA_QH","DBV")</f>
        <v>0</v>
      </c>
      <c r="AF35" s="50">
        <f ca="1">+GETPIVOTDATA("XKL4",'kimlong (2016)'!$A$3,"MA_HT","DGD","MA_QH","DVH")</f>
        <v>0</v>
      </c>
      <c r="AG35" s="50">
        <f ca="1">+GETPIVOTDATA("XKL4",'kimlong (2016)'!$A$3,"MA_HT","DGD","MA_QH","DYT")</f>
        <v>0</v>
      </c>
      <c r="AH35" s="49" t="e">
        <f ca="1">$D35-$BF35</f>
        <v>#REF!</v>
      </c>
      <c r="AI35" s="50">
        <f ca="1">+GETPIVOTDATA("XKL4",'kimlong (2016)'!$A$3,"MA_HT","DGD","MA_QH","DTT")</f>
        <v>0</v>
      </c>
      <c r="AJ35" s="50">
        <f ca="1">+GETPIVOTDATA("XKL4",'kimlong (2016)'!$A$3,"MA_HT","DGD","MA_QH","NCK")</f>
        <v>0</v>
      </c>
      <c r="AK35" s="50">
        <f ca="1">+GETPIVOTDATA("XKL4",'kimlong (2016)'!$A$3,"MA_HT","DGD","MA_QH","DXH")</f>
        <v>0</v>
      </c>
      <c r="AL35" s="50">
        <f ca="1">+GETPIVOTDATA("XKL4",'kimlong (2016)'!$A$3,"MA_HT","DGD","MA_QH","DCH")</f>
        <v>0</v>
      </c>
      <c r="AM35" s="50">
        <f ca="1">+GETPIVOTDATA("XKL4",'kimlong (2016)'!$A$3,"MA_HT","DGD","MA_QH","DKG")</f>
        <v>0</v>
      </c>
      <c r="AN35" s="50">
        <f ca="1">+GETPIVOTDATA("XKL4",'kimlong (2016)'!$A$3,"MA_HT","DGD","MA_QH","DDT")</f>
        <v>0</v>
      </c>
      <c r="AO35" s="50">
        <f ca="1">+GETPIVOTDATA("XKL4",'kimlong (2016)'!$A$3,"MA_HT","DGD","MA_QH","DDL")</f>
        <v>0</v>
      </c>
      <c r="AP35" s="50">
        <f ca="1">+GETPIVOTDATA("XKL4",'kimlong (2016)'!$A$3,"MA_HT","DGD","MA_QH","DRA")</f>
        <v>0</v>
      </c>
      <c r="AQ35" s="50">
        <f ca="1">+GETPIVOTDATA("XKL4",'kimlong (2016)'!$A$3,"MA_HT","DGD","MA_QH","ONT")</f>
        <v>0</v>
      </c>
      <c r="AR35" s="50">
        <f ca="1">+GETPIVOTDATA("XKL4",'kimlong (2016)'!$A$3,"MA_HT","DGD","MA_QH","ODT")</f>
        <v>0</v>
      </c>
      <c r="AS35" s="50">
        <f ca="1">+GETPIVOTDATA("XKL4",'kimlong (2016)'!$A$3,"MA_HT","DGD","MA_QH","TSC")</f>
        <v>0</v>
      </c>
      <c r="AT35" s="50">
        <f ca="1">+GETPIVOTDATA("XKL4",'kimlong (2016)'!$A$3,"MA_HT","DGD","MA_QH","DTS")</f>
        <v>0</v>
      </c>
      <c r="AU35" s="50">
        <f ca="1">+GETPIVOTDATA("XKL4",'kimlong (2016)'!$A$3,"MA_HT","DGD","MA_QH","DNG")</f>
        <v>0</v>
      </c>
      <c r="AV35" s="50">
        <f ca="1">+GETPIVOTDATA("XKL4",'kimlong (2016)'!$A$3,"MA_HT","DGD","MA_QH","TON")</f>
        <v>0</v>
      </c>
      <c r="AW35" s="50">
        <f ca="1">+GETPIVOTDATA("XKL4",'kimlong (2016)'!$A$3,"MA_HT","DGD","MA_QH","NTD")</f>
        <v>0</v>
      </c>
      <c r="AX35" s="50">
        <f ca="1">+GETPIVOTDATA("XKL4",'kimlong (2016)'!$A$3,"MA_HT","DGD","MA_QH","SKX")</f>
        <v>0</v>
      </c>
      <c r="AY35" s="50">
        <f ca="1">+GETPIVOTDATA("XKL4",'kimlong (2016)'!$A$3,"MA_HT","DGD","MA_QH","DSH")</f>
        <v>0</v>
      </c>
      <c r="AZ35" s="50">
        <f ca="1">+GETPIVOTDATA("XKL4",'kimlong (2016)'!$A$3,"MA_HT","DGD","MA_QH","DKV")</f>
        <v>0</v>
      </c>
      <c r="BA35" s="88">
        <f ca="1">+GETPIVOTDATA("XKL4",'kimlong (2016)'!$A$3,"MA_HT","DGD","MA_QH","TIN")</f>
        <v>0</v>
      </c>
      <c r="BB35" s="50">
        <f ca="1">+GETPIVOTDATA("XKL4",'kimlong (2016)'!$A$3,"MA_HT","DGD","MA_QH","SON")</f>
        <v>0</v>
      </c>
      <c r="BC35" s="50">
        <f ca="1">+GETPIVOTDATA("XKL4",'kimlong (2016)'!$A$3,"MA_HT","DGD","MA_QH","MNC")</f>
        <v>0</v>
      </c>
      <c r="BD35" s="50">
        <f ca="1">+GETPIVOTDATA("XKL4",'kimlong (2016)'!$A$3,"MA_HT","DGD","MA_QH","PNK")</f>
        <v>0</v>
      </c>
      <c r="BE35" s="80">
        <f ca="1">+GETPIVOTDATA("XKL4",'kimlong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+GETPIVOTDATA("XKL4",'kimlong (2016)'!$A$3,"MA_HT","DTT","MA_QH","LUC")</f>
        <v>0</v>
      </c>
      <c r="H36" s="50">
        <f ca="1">+GETPIVOTDATA("XKL4",'kimlong (2016)'!$A$3,"MA_HT","DTT","MA_QH","LUK")</f>
        <v>0</v>
      </c>
      <c r="I36" s="50">
        <f ca="1">+GETPIVOTDATA("XKL4",'kimlong (2016)'!$A$3,"MA_HT","DTT","MA_QH","LUN")</f>
        <v>0</v>
      </c>
      <c r="J36" s="50">
        <f ca="1">+GETPIVOTDATA("XKL4",'kimlong (2016)'!$A$3,"MA_HT","DTT","MA_QH","HNK")</f>
        <v>0</v>
      </c>
      <c r="K36" s="50">
        <f ca="1">+GETPIVOTDATA("XKL4",'kimlong (2016)'!$A$3,"MA_HT","DTT","MA_QH","CLN")</f>
        <v>0</v>
      </c>
      <c r="L36" s="50">
        <f ca="1">+GETPIVOTDATA("XKL4",'kimlong (2016)'!$A$3,"MA_HT","DTT","MA_QH","RSX")</f>
        <v>0</v>
      </c>
      <c r="M36" s="50">
        <f ca="1">+GETPIVOTDATA("XKL4",'kimlong (2016)'!$A$3,"MA_HT","DTT","MA_QH","RPH")</f>
        <v>0</v>
      </c>
      <c r="N36" s="50">
        <f ca="1">+GETPIVOTDATA("XKL4",'kimlong (2016)'!$A$3,"MA_HT","DTT","MA_QH","RDD")</f>
        <v>0</v>
      </c>
      <c r="O36" s="50">
        <f ca="1">+GETPIVOTDATA("XKL4",'kimlong (2016)'!$A$3,"MA_HT","DTT","MA_QH","NTS")</f>
        <v>0</v>
      </c>
      <c r="P36" s="50">
        <f ca="1">+GETPIVOTDATA("XKL4",'kimlong (2016)'!$A$3,"MA_HT","DTT","MA_QH","LMU")</f>
        <v>0</v>
      </c>
      <c r="Q36" s="50">
        <f ca="1">+GETPIVOTDATA("XKL4",'kimlong (2016)'!$A$3,"MA_HT","DTT","MA_QH","NKH")</f>
        <v>0</v>
      </c>
      <c r="R36" s="48">
        <f ca="1" t="shared" si="20"/>
        <v>0</v>
      </c>
      <c r="S36" s="50">
        <f ca="1">+GETPIVOTDATA("XKL4",'kimlong (2016)'!$A$3,"MA_HT","DTT","MA_QH","CQP")</f>
        <v>0</v>
      </c>
      <c r="T36" s="50">
        <f ca="1">+GETPIVOTDATA("XKL4",'kimlong (2016)'!$A$3,"MA_HT","DTT","MA_QH","CAN")</f>
        <v>0</v>
      </c>
      <c r="U36" s="50">
        <f ca="1">+GETPIVOTDATA("XKL4",'kimlong (2016)'!$A$3,"MA_HT","DTT","MA_QH","SKK")</f>
        <v>0</v>
      </c>
      <c r="V36" s="50">
        <f ca="1">+GETPIVOTDATA("XKL4",'kimlong (2016)'!$A$3,"MA_HT","DTT","MA_QH","SKT")</f>
        <v>0</v>
      </c>
      <c r="W36" s="50">
        <f ca="1">+GETPIVOTDATA("XKL4",'kimlong (2016)'!$A$3,"MA_HT","DTT","MA_QH","SKN")</f>
        <v>0</v>
      </c>
      <c r="X36" s="50">
        <f ca="1">+GETPIVOTDATA("XKL4",'kimlong (2016)'!$A$3,"MA_HT","DTT","MA_QH","TMD")</f>
        <v>0</v>
      </c>
      <c r="Y36" s="50">
        <f ca="1">+GETPIVOTDATA("XKL4",'kimlong (2016)'!$A$3,"MA_HT","DTT","MA_QH","SKC")</f>
        <v>0</v>
      </c>
      <c r="Z36" s="50">
        <f ca="1">+GETPIVOTDATA("XKL4",'kimlong (2016)'!$A$3,"MA_HT","DTT","MA_QH","SKS")</f>
        <v>0</v>
      </c>
      <c r="AA36" s="52">
        <f ca="1">+SUM(AB36:AH36,AJ36:AM36)</f>
        <v>0</v>
      </c>
      <c r="AB36" s="50">
        <f ca="1">+GETPIVOTDATA("XKL4",'kimlong (2016)'!$A$3,"MA_HT","DTT","MA_QH","DGT")</f>
        <v>0</v>
      </c>
      <c r="AC36" s="50">
        <f ca="1">+GETPIVOTDATA("XKL4",'kimlong (2016)'!$A$3,"MA_HT","DTT","MA_QH","DTL")</f>
        <v>0</v>
      </c>
      <c r="AD36" s="50">
        <f ca="1">+GETPIVOTDATA("XKL4",'kimlong (2016)'!$A$3,"MA_HT","DTT","MA_QH","DNL")</f>
        <v>0</v>
      </c>
      <c r="AE36" s="50">
        <f ca="1">+GETPIVOTDATA("XKL4",'kimlong (2016)'!$A$3,"MA_HT","DTT","MA_QH","DBV")</f>
        <v>0</v>
      </c>
      <c r="AF36" s="50">
        <f ca="1">+GETPIVOTDATA("XKL4",'kimlong (2016)'!$A$3,"MA_HT","DTT","MA_QH","DVH")</f>
        <v>0</v>
      </c>
      <c r="AG36" s="50">
        <f ca="1">+GETPIVOTDATA("XKL4",'kimlong (2016)'!$A$3,"MA_HT","DTT","MA_QH","DYT")</f>
        <v>0</v>
      </c>
      <c r="AH36" s="50">
        <f ca="1">+GETPIVOTDATA("XKL4",'kimlong (2016)'!$A$3,"MA_HT","DTT","MA_QH","DGD")</f>
        <v>0</v>
      </c>
      <c r="AI36" s="49" t="e">
        <f ca="1">$D36-$BF36</f>
        <v>#REF!</v>
      </c>
      <c r="AJ36" s="50">
        <f ca="1">+GETPIVOTDATA("XKL4",'kimlong (2016)'!$A$3,"MA_HT","DTT","MA_QH","NCK")</f>
        <v>0</v>
      </c>
      <c r="AK36" s="50">
        <f ca="1">+GETPIVOTDATA("XKL4",'kimlong (2016)'!$A$3,"MA_HT","DTT","MA_QH","DXH")</f>
        <v>0</v>
      </c>
      <c r="AL36" s="50">
        <f ca="1">+GETPIVOTDATA("XKL4",'kimlong (2016)'!$A$3,"MA_HT","DTT","MA_QH","DCH")</f>
        <v>0</v>
      </c>
      <c r="AM36" s="50">
        <f ca="1">+GETPIVOTDATA("XKL4",'kimlong (2016)'!$A$3,"MA_HT","DTT","MA_QH","DKG")</f>
        <v>0</v>
      </c>
      <c r="AN36" s="50">
        <f ca="1">+GETPIVOTDATA("XKL4",'kimlong (2016)'!$A$3,"MA_HT","DTT","MA_QH","DDT")</f>
        <v>0</v>
      </c>
      <c r="AO36" s="50">
        <f ca="1">+GETPIVOTDATA("XKL4",'kimlong (2016)'!$A$3,"MA_HT","DTT","MA_QH","DDL")</f>
        <v>0</v>
      </c>
      <c r="AP36" s="50">
        <f ca="1">+GETPIVOTDATA("XKL4",'kimlong (2016)'!$A$3,"MA_HT","DTT","MA_QH","DRA")</f>
        <v>0</v>
      </c>
      <c r="AQ36" s="50">
        <f ca="1">+GETPIVOTDATA("XKL4",'kimlong (2016)'!$A$3,"MA_HT","DTT","MA_QH","ONT")</f>
        <v>0</v>
      </c>
      <c r="AR36" s="50">
        <f ca="1">+GETPIVOTDATA("XKL4",'kimlong (2016)'!$A$3,"MA_HT","DTT","MA_QH","ODT")</f>
        <v>0</v>
      </c>
      <c r="AS36" s="50">
        <f ca="1">+GETPIVOTDATA("XKL4",'kimlong (2016)'!$A$3,"MA_HT","DTT","MA_QH","TSC")</f>
        <v>0</v>
      </c>
      <c r="AT36" s="50">
        <f ca="1">+GETPIVOTDATA("XKL4",'kimlong (2016)'!$A$3,"MA_HT","DTT","MA_QH","DTS")</f>
        <v>0</v>
      </c>
      <c r="AU36" s="50">
        <f ca="1">+GETPIVOTDATA("XKL4",'kimlong (2016)'!$A$3,"MA_HT","DTT","MA_QH","DNG")</f>
        <v>0</v>
      </c>
      <c r="AV36" s="50">
        <f ca="1">+GETPIVOTDATA("XKL4",'kimlong (2016)'!$A$3,"MA_HT","DTT","MA_QH","TON")</f>
        <v>0</v>
      </c>
      <c r="AW36" s="50">
        <f ca="1">+GETPIVOTDATA("XKL4",'kimlong (2016)'!$A$3,"MA_HT","DTT","MA_QH","NTD")</f>
        <v>0</v>
      </c>
      <c r="AX36" s="50">
        <f ca="1">+GETPIVOTDATA("XKL4",'kimlong (2016)'!$A$3,"MA_HT","DTT","MA_QH","SKX")</f>
        <v>0</v>
      </c>
      <c r="AY36" s="50">
        <f ca="1">+GETPIVOTDATA("XKL4",'kimlong (2016)'!$A$3,"MA_HT","DTT","MA_QH","DSH")</f>
        <v>0</v>
      </c>
      <c r="AZ36" s="50">
        <f ca="1">+GETPIVOTDATA("XKL4",'kimlong (2016)'!$A$3,"MA_HT","DTT","MA_QH","DKV")</f>
        <v>0</v>
      </c>
      <c r="BA36" s="88">
        <f ca="1">+GETPIVOTDATA("XKL4",'kimlong (2016)'!$A$3,"MA_HT","DTT","MA_QH","TIN")</f>
        <v>0</v>
      </c>
      <c r="BB36" s="50">
        <f ca="1">+GETPIVOTDATA("XKL4",'kimlong (2016)'!$A$3,"MA_HT","DTT","MA_QH","SON")</f>
        <v>0</v>
      </c>
      <c r="BC36" s="50">
        <f ca="1">+GETPIVOTDATA("XKL4",'kimlong (2016)'!$A$3,"MA_HT","DTT","MA_QH","MNC")</f>
        <v>0</v>
      </c>
      <c r="BD36" s="50">
        <f ca="1">+GETPIVOTDATA("XKL4",'kimlong (2016)'!$A$3,"MA_HT","DTT","MA_QH","PNK")</f>
        <v>0</v>
      </c>
      <c r="BE36" s="80">
        <f ca="1">+GETPIVOTDATA("XKL4",'kimlong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+GETPIVOTDATA("XKL4",'kimlong (2016)'!$A$3,"MA_HT","NCK","MA_QH","LUC")</f>
        <v>0</v>
      </c>
      <c r="H37" s="50">
        <f ca="1">+GETPIVOTDATA("XKL4",'kimlong (2016)'!$A$3,"MA_HT","NCK","MA_QH","LUK")</f>
        <v>0</v>
      </c>
      <c r="I37" s="50">
        <f ca="1">+GETPIVOTDATA("XKL4",'kimlong (2016)'!$A$3,"MA_HT","NCK","MA_QH","LUN")</f>
        <v>0</v>
      </c>
      <c r="J37" s="50">
        <f ca="1">+GETPIVOTDATA("XKL4",'kimlong (2016)'!$A$3,"MA_HT","NCK","MA_QH","HNK")</f>
        <v>0</v>
      </c>
      <c r="K37" s="50">
        <f ca="1">+GETPIVOTDATA("XKL4",'kimlong (2016)'!$A$3,"MA_HT","NCK","MA_QH","CLN")</f>
        <v>0</v>
      </c>
      <c r="L37" s="50">
        <f ca="1">+GETPIVOTDATA("XKL4",'kimlong (2016)'!$A$3,"MA_HT","NCK","MA_QH","RSX")</f>
        <v>0</v>
      </c>
      <c r="M37" s="50">
        <f ca="1">+GETPIVOTDATA("XKL4",'kimlong (2016)'!$A$3,"MA_HT","NCK","MA_QH","RPH")</f>
        <v>0</v>
      </c>
      <c r="N37" s="50">
        <f ca="1">+GETPIVOTDATA("XKL4",'kimlong (2016)'!$A$3,"MA_HT","NCK","MA_QH","RDD")</f>
        <v>0</v>
      </c>
      <c r="O37" s="50">
        <f ca="1">+GETPIVOTDATA("XKL4",'kimlong (2016)'!$A$3,"MA_HT","NCK","MA_QH","NTS")</f>
        <v>0</v>
      </c>
      <c r="P37" s="50">
        <f ca="1">+GETPIVOTDATA("XKL4",'kimlong (2016)'!$A$3,"MA_HT","NCK","MA_QH","LMU")</f>
        <v>0</v>
      </c>
      <c r="Q37" s="50">
        <f ca="1">+GETPIVOTDATA("XKL4",'kimlong (2016)'!$A$3,"MA_HT","NCK","MA_QH","NKH")</f>
        <v>0</v>
      </c>
      <c r="R37" s="48">
        <f ca="1" t="shared" si="20"/>
        <v>0</v>
      </c>
      <c r="S37" s="50">
        <f ca="1">+GETPIVOTDATA("XKL4",'kimlong (2016)'!$A$3,"MA_HT","NCK","MA_QH","CQP")</f>
        <v>0</v>
      </c>
      <c r="T37" s="50">
        <f ca="1">+GETPIVOTDATA("XKL4",'kimlong (2016)'!$A$3,"MA_HT","NCK","MA_QH","CAN")</f>
        <v>0</v>
      </c>
      <c r="U37" s="50">
        <f ca="1">+GETPIVOTDATA("XKL4",'kimlong (2016)'!$A$3,"MA_HT","NCK","MA_QH","SKK")</f>
        <v>0</v>
      </c>
      <c r="V37" s="50">
        <f ca="1">+GETPIVOTDATA("XKL4",'kimlong (2016)'!$A$3,"MA_HT","NCK","MA_QH","SKT")</f>
        <v>0</v>
      </c>
      <c r="W37" s="50">
        <f ca="1">+GETPIVOTDATA("XKL4",'kimlong (2016)'!$A$3,"MA_HT","NCK","MA_QH","SKN")</f>
        <v>0</v>
      </c>
      <c r="X37" s="50">
        <f ca="1">+GETPIVOTDATA("XKL4",'kimlong (2016)'!$A$3,"MA_HT","NCK","MA_QH","TMD")</f>
        <v>0</v>
      </c>
      <c r="Y37" s="50">
        <f ca="1">+GETPIVOTDATA("XKL4",'kimlong (2016)'!$A$3,"MA_HT","NCK","MA_QH","SKC")</f>
        <v>0</v>
      </c>
      <c r="Z37" s="50">
        <f ca="1">+GETPIVOTDATA("XKL4",'kimlong (2016)'!$A$3,"MA_HT","NCK","MA_QH","SKS")</f>
        <v>0</v>
      </c>
      <c r="AA37" s="52">
        <f ca="1">+SUM(AB37:AI37,AK37:AM37)</f>
        <v>0</v>
      </c>
      <c r="AB37" s="50">
        <f ca="1">+GETPIVOTDATA("XKL4",'kimlong (2016)'!$A$3,"MA_HT","NCK","MA_QH","DGT")</f>
        <v>0</v>
      </c>
      <c r="AC37" s="50">
        <f ca="1">+GETPIVOTDATA("XKL4",'kimlong (2016)'!$A$3,"MA_HT","NCK","MA_QH","DTL")</f>
        <v>0</v>
      </c>
      <c r="AD37" s="50">
        <f ca="1">+GETPIVOTDATA("XKL4",'kimlong (2016)'!$A$3,"MA_HT","NCK","MA_QH","DNL")</f>
        <v>0</v>
      </c>
      <c r="AE37" s="50">
        <f ca="1">+GETPIVOTDATA("XKL4",'kimlong (2016)'!$A$3,"MA_HT","NCK","MA_QH","DBV")</f>
        <v>0</v>
      </c>
      <c r="AF37" s="50">
        <f ca="1">+GETPIVOTDATA("XKL4",'kimlong (2016)'!$A$3,"MA_HT","NCK","MA_QH","DVH")</f>
        <v>0</v>
      </c>
      <c r="AG37" s="50">
        <f ca="1">+GETPIVOTDATA("XKL4",'kimlong (2016)'!$A$3,"MA_HT","NCK","MA_QH","DYT")</f>
        <v>0</v>
      </c>
      <c r="AH37" s="50">
        <f ca="1">+GETPIVOTDATA("XKL4",'kimlong (2016)'!$A$3,"MA_HT","NCK","MA_QH","DGD")</f>
        <v>0</v>
      </c>
      <c r="AI37" s="50">
        <f ca="1">+GETPIVOTDATA("XKL4",'kimlong (2016)'!$A$3,"MA_HT","NCK","MA_QH","DTT")</f>
        <v>0</v>
      </c>
      <c r="AJ37" s="49" t="e">
        <f ca="1">$D37-$BF37</f>
        <v>#REF!</v>
      </c>
      <c r="AK37" s="50">
        <f ca="1">+GETPIVOTDATA("XKL4",'kimlong (2016)'!$A$3,"MA_HT","NCK","MA_QH","DXH")</f>
        <v>0</v>
      </c>
      <c r="AL37" s="50">
        <f ca="1">+GETPIVOTDATA("XKL4",'kimlong (2016)'!$A$3,"MA_HT","NCK","MA_QH","DCH")</f>
        <v>0</v>
      </c>
      <c r="AM37" s="50">
        <f ca="1">+GETPIVOTDATA("XKL4",'kimlong (2016)'!$A$3,"MA_HT","NCK","MA_QH","DKG")</f>
        <v>0</v>
      </c>
      <c r="AN37" s="50">
        <f ca="1">+GETPIVOTDATA("XKL4",'kimlong (2016)'!$A$3,"MA_HT","NCK","MA_QH","DDT")</f>
        <v>0</v>
      </c>
      <c r="AO37" s="50">
        <f ca="1">+GETPIVOTDATA("XKL4",'kimlong (2016)'!$A$3,"MA_HT","NCK","MA_QH","DDL")</f>
        <v>0</v>
      </c>
      <c r="AP37" s="50">
        <f ca="1">+GETPIVOTDATA("XKL4",'kimlong (2016)'!$A$3,"MA_HT","NCK","MA_QH","DRA")</f>
        <v>0</v>
      </c>
      <c r="AQ37" s="50">
        <f ca="1">+GETPIVOTDATA("XKL4",'kimlong (2016)'!$A$3,"MA_HT","NCK","MA_QH","ONT")</f>
        <v>0</v>
      </c>
      <c r="AR37" s="50">
        <f ca="1">+GETPIVOTDATA("XKL4",'kimlong (2016)'!$A$3,"MA_HT","NCK","MA_QH","ODT")</f>
        <v>0</v>
      </c>
      <c r="AS37" s="50">
        <f ca="1">+GETPIVOTDATA("XKL4",'kimlong (2016)'!$A$3,"MA_HT","NCK","MA_QH","TSC")</f>
        <v>0</v>
      </c>
      <c r="AT37" s="50">
        <f ca="1">+GETPIVOTDATA("XKL4",'kimlong (2016)'!$A$3,"MA_HT","NCK","MA_QH","DTS")</f>
        <v>0</v>
      </c>
      <c r="AU37" s="50">
        <f ca="1">+GETPIVOTDATA("XKL4",'kimlong (2016)'!$A$3,"MA_HT","NCK","MA_QH","DNG")</f>
        <v>0</v>
      </c>
      <c r="AV37" s="50">
        <f ca="1">+GETPIVOTDATA("XKL4",'kimlong (2016)'!$A$3,"MA_HT","NCK","MA_QH","TON")</f>
        <v>0</v>
      </c>
      <c r="AW37" s="50">
        <f ca="1">+GETPIVOTDATA("XKL4",'kimlong (2016)'!$A$3,"MA_HT","NCK","MA_QH","NTD")</f>
        <v>0</v>
      </c>
      <c r="AX37" s="50">
        <f ca="1">+GETPIVOTDATA("XKL4",'kimlong (2016)'!$A$3,"MA_HT","NCK","MA_QH","SKX")</f>
        <v>0</v>
      </c>
      <c r="AY37" s="50">
        <f ca="1">+GETPIVOTDATA("XKL4",'kimlong (2016)'!$A$3,"MA_HT","NCK","MA_QH","DSH")</f>
        <v>0</v>
      </c>
      <c r="AZ37" s="50">
        <f ca="1">+GETPIVOTDATA("XKL4",'kimlong (2016)'!$A$3,"MA_HT","NCK","MA_QH","DKV")</f>
        <v>0</v>
      </c>
      <c r="BA37" s="88">
        <f ca="1">+GETPIVOTDATA("XKL4",'kimlong (2016)'!$A$3,"MA_HT","NCK","MA_QH","TIN")</f>
        <v>0</v>
      </c>
      <c r="BB37" s="50">
        <f ca="1">+GETPIVOTDATA("XKL4",'kimlong (2016)'!$A$3,"MA_HT","NCK","MA_QH","SON")</f>
        <v>0</v>
      </c>
      <c r="BC37" s="50">
        <f ca="1">+GETPIVOTDATA("XKL4",'kimlong (2016)'!$A$3,"MA_HT","NCK","MA_QH","MNC")</f>
        <v>0</v>
      </c>
      <c r="BD37" s="50">
        <f ca="1">+GETPIVOTDATA("XKL4",'kimlong (2016)'!$A$3,"MA_HT","NCK","MA_QH","PNK")</f>
        <v>0</v>
      </c>
      <c r="BE37" s="80">
        <f ca="1">+GETPIVOTDATA("XKL4",'kimlong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+GETPIVOTDATA("XKL4",'kimlong (2016)'!$A$3,"MA_HT","DXH","MA_QH","LUC")</f>
        <v>0</v>
      </c>
      <c r="H38" s="50">
        <f ca="1">+GETPIVOTDATA("XKL4",'kimlong (2016)'!$A$3,"MA_HT","DXH","MA_QH","LUK")</f>
        <v>0</v>
      </c>
      <c r="I38" s="50">
        <f ca="1">+GETPIVOTDATA("XKL4",'kimlong (2016)'!$A$3,"MA_HT","DXH","MA_QH","LUN")</f>
        <v>0</v>
      </c>
      <c r="J38" s="50">
        <f ca="1">+GETPIVOTDATA("XKL4",'kimlong (2016)'!$A$3,"MA_HT","DXH","MA_QH","HNK")</f>
        <v>0</v>
      </c>
      <c r="K38" s="50">
        <f ca="1">+GETPIVOTDATA("XKL4",'kimlong (2016)'!$A$3,"MA_HT","DXH","MA_QH","CLN")</f>
        <v>0</v>
      </c>
      <c r="L38" s="50">
        <f ca="1">+GETPIVOTDATA("XKL4",'kimlong (2016)'!$A$3,"MA_HT","DXH","MA_QH","RSX")</f>
        <v>0</v>
      </c>
      <c r="M38" s="50">
        <f ca="1">+GETPIVOTDATA("XKL4",'kimlong (2016)'!$A$3,"MA_HT","DXH","MA_QH","RPH")</f>
        <v>0</v>
      </c>
      <c r="N38" s="50">
        <f ca="1">+GETPIVOTDATA("XKL4",'kimlong (2016)'!$A$3,"MA_HT","DXH","MA_QH","RDD")</f>
        <v>0</v>
      </c>
      <c r="O38" s="50">
        <f ca="1">+GETPIVOTDATA("XKL4",'kimlong (2016)'!$A$3,"MA_HT","DXH","MA_QH","NTS")</f>
        <v>0</v>
      </c>
      <c r="P38" s="50">
        <f ca="1">+GETPIVOTDATA("XKL4",'kimlong (2016)'!$A$3,"MA_HT","DXH","MA_QH","LMU")</f>
        <v>0</v>
      </c>
      <c r="Q38" s="50">
        <f ca="1">+GETPIVOTDATA("XKL4",'kimlong (2016)'!$A$3,"MA_HT","DXH","MA_QH","NKH")</f>
        <v>0</v>
      </c>
      <c r="R38" s="48">
        <f ca="1" t="shared" si="20"/>
        <v>0</v>
      </c>
      <c r="S38" s="50">
        <f ca="1">+GETPIVOTDATA("XKL4",'kimlong (2016)'!$A$3,"MA_HT","DXH","MA_QH","CQP")</f>
        <v>0</v>
      </c>
      <c r="T38" s="50">
        <f ca="1">+GETPIVOTDATA("XKL4",'kimlong (2016)'!$A$3,"MA_HT","DXH","MA_QH","CAN")</f>
        <v>0</v>
      </c>
      <c r="U38" s="50">
        <f ca="1">+GETPIVOTDATA("XKL4",'kimlong (2016)'!$A$3,"MA_HT","DXH","MA_QH","SKK")</f>
        <v>0</v>
      </c>
      <c r="V38" s="50">
        <f ca="1">+GETPIVOTDATA("XKL4",'kimlong (2016)'!$A$3,"MA_HT","DXH","MA_QH","SKT")</f>
        <v>0</v>
      </c>
      <c r="W38" s="50">
        <f ca="1">+GETPIVOTDATA("XKL4",'kimlong (2016)'!$A$3,"MA_HT","DXH","MA_QH","SKN")</f>
        <v>0</v>
      </c>
      <c r="X38" s="50">
        <f ca="1">+GETPIVOTDATA("XKL4",'kimlong (2016)'!$A$3,"MA_HT","DXH","MA_QH","TMD")</f>
        <v>0</v>
      </c>
      <c r="Y38" s="50">
        <f ca="1">+GETPIVOTDATA("XKL4",'kimlong (2016)'!$A$3,"MA_HT","DXH","MA_QH","SKC")</f>
        <v>0</v>
      </c>
      <c r="Z38" s="50">
        <f ca="1">+GETPIVOTDATA("XKL4",'kimlong (2016)'!$A$3,"MA_HT","DXH","MA_QH","SKS")</f>
        <v>0</v>
      </c>
      <c r="AA38" s="52">
        <f ca="1">+SUM(AB38:AJ38,AL38:AM38)</f>
        <v>0</v>
      </c>
      <c r="AB38" s="50">
        <f ca="1">+GETPIVOTDATA("XKL4",'kimlong (2016)'!$A$3,"MA_HT","DXH","MA_QH","DGT")</f>
        <v>0</v>
      </c>
      <c r="AC38" s="50">
        <f ca="1">+GETPIVOTDATA("XKL4",'kimlong (2016)'!$A$3,"MA_HT","DXH","MA_QH","DTL")</f>
        <v>0</v>
      </c>
      <c r="AD38" s="50">
        <f ca="1">+GETPIVOTDATA("XKL4",'kimlong (2016)'!$A$3,"MA_HT","DXH","MA_QH","DNL")</f>
        <v>0</v>
      </c>
      <c r="AE38" s="50">
        <f ca="1">+GETPIVOTDATA("XKL4",'kimlong (2016)'!$A$3,"MA_HT","DXH","MA_QH","DBV")</f>
        <v>0</v>
      </c>
      <c r="AF38" s="50">
        <f ca="1">+GETPIVOTDATA("XKL4",'kimlong (2016)'!$A$3,"MA_HT","DXH","MA_QH","DVH")</f>
        <v>0</v>
      </c>
      <c r="AG38" s="50">
        <f ca="1">+GETPIVOTDATA("XKL4",'kimlong (2016)'!$A$3,"MA_HT","DXH","MA_QH","DYT")</f>
        <v>0</v>
      </c>
      <c r="AH38" s="50">
        <f ca="1">+GETPIVOTDATA("XKL4",'kimlong (2016)'!$A$3,"MA_HT","DXH","MA_QH","DGD")</f>
        <v>0</v>
      </c>
      <c r="AI38" s="50">
        <f ca="1">+GETPIVOTDATA("XKL4",'kimlong (2016)'!$A$3,"MA_HT","DXH","MA_QH","DTT")</f>
        <v>0</v>
      </c>
      <c r="AJ38" s="50">
        <f ca="1">+GETPIVOTDATA("XKL4",'kimlong (2016)'!$A$3,"MA_HT","DXH","MA_QH","NCK")</f>
        <v>0</v>
      </c>
      <c r="AK38" s="49" t="e">
        <f ca="1">$D38-$BF38</f>
        <v>#REF!</v>
      </c>
      <c r="AL38" s="50">
        <f ca="1">+GETPIVOTDATA("XKL4",'kimlong (2016)'!$A$3,"MA_HT","DXH","MA_QH","DCH")</f>
        <v>0</v>
      </c>
      <c r="AM38" s="50">
        <f ca="1">+GETPIVOTDATA("XKL4",'kimlong (2016)'!$A$3,"MA_HT","DXH","MA_QH","DKG")</f>
        <v>0</v>
      </c>
      <c r="AN38" s="50">
        <f ca="1">+GETPIVOTDATA("XKL4",'kimlong (2016)'!$A$3,"MA_HT","DXH","MA_QH","DDT")</f>
        <v>0</v>
      </c>
      <c r="AO38" s="50">
        <f ca="1">+GETPIVOTDATA("XKL4",'kimlong (2016)'!$A$3,"MA_HT","DXH","MA_QH","DDL")</f>
        <v>0</v>
      </c>
      <c r="AP38" s="50">
        <f ca="1">+GETPIVOTDATA("XKL4",'kimlong (2016)'!$A$3,"MA_HT","DXH","MA_QH","DRA")</f>
        <v>0</v>
      </c>
      <c r="AQ38" s="50">
        <f ca="1">+GETPIVOTDATA("XKL4",'kimlong (2016)'!$A$3,"MA_HT","DXH","MA_QH","ONT")</f>
        <v>0</v>
      </c>
      <c r="AR38" s="50">
        <f ca="1">+GETPIVOTDATA("XKL4",'kimlong (2016)'!$A$3,"MA_HT","DXH","MA_QH","ODT")</f>
        <v>0</v>
      </c>
      <c r="AS38" s="50">
        <f ca="1">+GETPIVOTDATA("XKL4",'kimlong (2016)'!$A$3,"MA_HT","DXH","MA_QH","TSC")</f>
        <v>0</v>
      </c>
      <c r="AT38" s="50">
        <f ca="1">+GETPIVOTDATA("XKL4",'kimlong (2016)'!$A$3,"MA_HT","DXH","MA_QH","DTS")</f>
        <v>0</v>
      </c>
      <c r="AU38" s="50">
        <f ca="1">+GETPIVOTDATA("XKL4",'kimlong (2016)'!$A$3,"MA_HT","DXH","MA_QH","DNG")</f>
        <v>0</v>
      </c>
      <c r="AV38" s="50">
        <f ca="1">+GETPIVOTDATA("XKL4",'kimlong (2016)'!$A$3,"MA_HT","DXH","MA_QH","TON")</f>
        <v>0</v>
      </c>
      <c r="AW38" s="50">
        <f ca="1">+GETPIVOTDATA("XKL4",'kimlong (2016)'!$A$3,"MA_HT","DXH","MA_QH","NTD")</f>
        <v>0</v>
      </c>
      <c r="AX38" s="50">
        <f ca="1">+GETPIVOTDATA("XKL4",'kimlong (2016)'!$A$3,"MA_HT","DXH","MA_QH","SKX")</f>
        <v>0</v>
      </c>
      <c r="AY38" s="50">
        <f ca="1">+GETPIVOTDATA("XKL4",'kimlong (2016)'!$A$3,"MA_HT","DXH","MA_QH","DSH")</f>
        <v>0</v>
      </c>
      <c r="AZ38" s="50">
        <f ca="1">+GETPIVOTDATA("XKL4",'kimlong (2016)'!$A$3,"MA_HT","DXH","MA_QH","DKV")</f>
        <v>0</v>
      </c>
      <c r="BA38" s="88">
        <f ca="1">+GETPIVOTDATA("XKL4",'kimlong (2016)'!$A$3,"MA_HT","DXH","MA_QH","TIN")</f>
        <v>0</v>
      </c>
      <c r="BB38" s="50">
        <f ca="1">+GETPIVOTDATA("XKL4",'kimlong (2016)'!$A$3,"MA_HT","DXH","MA_QH","SON")</f>
        <v>0</v>
      </c>
      <c r="BC38" s="50">
        <f ca="1">+GETPIVOTDATA("XKL4",'kimlong (2016)'!$A$3,"MA_HT","DXH","MA_QH","MNC")</f>
        <v>0</v>
      </c>
      <c r="BD38" s="50">
        <f ca="1">+GETPIVOTDATA("XKL4",'kimlong (2016)'!$A$3,"MA_HT","DXH","MA_QH","PNK")</f>
        <v>0</v>
      </c>
      <c r="BE38" s="80">
        <f ca="1">+GETPIVOTDATA("XKL4",'kimlong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+GETPIVOTDATA("XKL4",'kimlong (2016)'!$A$3,"MA_HT","DCH","MA_QH","LUC")</f>
        <v>0</v>
      </c>
      <c r="H39" s="50">
        <f ca="1">+GETPIVOTDATA("XKL4",'kimlong (2016)'!$A$3,"MA_HT","DCH","MA_QH","LUK")</f>
        <v>0</v>
      </c>
      <c r="I39" s="50">
        <f ca="1">+GETPIVOTDATA("XKL4",'kimlong (2016)'!$A$3,"MA_HT","DCH","MA_QH","LUN")</f>
        <v>0</v>
      </c>
      <c r="J39" s="50">
        <f ca="1">+GETPIVOTDATA("XKL4",'kimlong (2016)'!$A$3,"MA_HT","DCH","MA_QH","HNK")</f>
        <v>0</v>
      </c>
      <c r="K39" s="50">
        <f ca="1">+GETPIVOTDATA("XKL4",'kimlong (2016)'!$A$3,"MA_HT","DCH","MA_QH","CLN")</f>
        <v>0</v>
      </c>
      <c r="L39" s="50">
        <f ca="1">+GETPIVOTDATA("XKL4",'kimlong (2016)'!$A$3,"MA_HT","DCH","MA_QH","RSX")</f>
        <v>0</v>
      </c>
      <c r="M39" s="50">
        <f ca="1">+GETPIVOTDATA("XKL4",'kimlong (2016)'!$A$3,"MA_HT","DCH","MA_QH","RPH")</f>
        <v>0</v>
      </c>
      <c r="N39" s="50">
        <f ca="1">+GETPIVOTDATA("XKL4",'kimlong (2016)'!$A$3,"MA_HT","DCH","MA_QH","RDD")</f>
        <v>0</v>
      </c>
      <c r="O39" s="50">
        <f ca="1">+GETPIVOTDATA("XKL4",'kimlong (2016)'!$A$3,"MA_HT","DCH","MA_QH","NTS")</f>
        <v>0</v>
      </c>
      <c r="P39" s="50">
        <f ca="1">+GETPIVOTDATA("XKL4",'kimlong (2016)'!$A$3,"MA_HT","DCH","MA_QH","LMU")</f>
        <v>0</v>
      </c>
      <c r="Q39" s="50">
        <f ca="1">+GETPIVOTDATA("XKL4",'kimlong (2016)'!$A$3,"MA_HT","DCH","MA_QH","NKH")</f>
        <v>0</v>
      </c>
      <c r="R39" s="48">
        <f ca="1" t="shared" si="20"/>
        <v>0</v>
      </c>
      <c r="S39" s="50">
        <f ca="1">+GETPIVOTDATA("XKL4",'kimlong (2016)'!$A$3,"MA_HT","DCH","MA_QH","CQP")</f>
        <v>0</v>
      </c>
      <c r="T39" s="50">
        <f ca="1">+GETPIVOTDATA("XKL4",'kimlong (2016)'!$A$3,"MA_HT","DCH","MA_QH","CAN")</f>
        <v>0</v>
      </c>
      <c r="U39" s="50">
        <f ca="1">+GETPIVOTDATA("XKL4",'kimlong (2016)'!$A$3,"MA_HT","DCH","MA_QH","SKK")</f>
        <v>0</v>
      </c>
      <c r="V39" s="50">
        <f ca="1">+GETPIVOTDATA("XKL4",'kimlong (2016)'!$A$3,"MA_HT","DCH","MA_QH","SKT")</f>
        <v>0</v>
      </c>
      <c r="W39" s="50">
        <f ca="1">+GETPIVOTDATA("XKL4",'kimlong (2016)'!$A$3,"MA_HT","DCH","MA_QH","SKN")</f>
        <v>0</v>
      </c>
      <c r="X39" s="50">
        <f ca="1">+GETPIVOTDATA("XKL4",'kimlong (2016)'!$A$3,"MA_HT","DCH","MA_QH","TMD")</f>
        <v>0</v>
      </c>
      <c r="Y39" s="50">
        <f ca="1">+GETPIVOTDATA("XKL4",'kimlong (2016)'!$A$3,"MA_HT","DCH","MA_QH","SKC")</f>
        <v>0</v>
      </c>
      <c r="Z39" s="50">
        <f ca="1">+GETPIVOTDATA("XKL4",'kimlong (2016)'!$A$3,"MA_HT","DCH","MA_QH","SKS")</f>
        <v>0</v>
      </c>
      <c r="AA39" s="52">
        <f ca="1">+SUM(AB39:AK39,AM39)</f>
        <v>0</v>
      </c>
      <c r="AB39" s="50">
        <f ca="1">+GETPIVOTDATA("XKL4",'kimlong (2016)'!$A$3,"MA_HT","DCH","MA_QH","DGT")</f>
        <v>0</v>
      </c>
      <c r="AC39" s="50">
        <f ca="1">+GETPIVOTDATA("XKL4",'kimlong (2016)'!$A$3,"MA_HT","DCH","MA_QH","DTL")</f>
        <v>0</v>
      </c>
      <c r="AD39" s="50">
        <f ca="1">+GETPIVOTDATA("XKL4",'kimlong (2016)'!$A$3,"MA_HT","DCH","MA_QH","DNL")</f>
        <v>0</v>
      </c>
      <c r="AE39" s="50">
        <f ca="1">+GETPIVOTDATA("XKL4",'kimlong (2016)'!$A$3,"MA_HT","DCH","MA_QH","DBV")</f>
        <v>0</v>
      </c>
      <c r="AF39" s="50">
        <f ca="1">+GETPIVOTDATA("XKL4",'kimlong (2016)'!$A$3,"MA_HT","DCH","MA_QH","DVH")</f>
        <v>0</v>
      </c>
      <c r="AG39" s="50">
        <f ca="1">+GETPIVOTDATA("XKL4",'kimlong (2016)'!$A$3,"MA_HT","DCH","MA_QH","DYT")</f>
        <v>0</v>
      </c>
      <c r="AH39" s="50">
        <f ca="1">+GETPIVOTDATA("XKL4",'kimlong (2016)'!$A$3,"MA_HT","DCH","MA_QH","DGD")</f>
        <v>0</v>
      </c>
      <c r="AI39" s="50">
        <f ca="1">+GETPIVOTDATA("XKL4",'kimlong (2016)'!$A$3,"MA_HT","DCH","MA_QH","DTT")</f>
        <v>0</v>
      </c>
      <c r="AJ39" s="50">
        <f ca="1">+GETPIVOTDATA("XKL4",'kimlong (2016)'!$A$3,"MA_HT","DCH","MA_QH","NCK")</f>
        <v>0</v>
      </c>
      <c r="AK39" s="50">
        <f ca="1">+GETPIVOTDATA("XKL4",'kimlong (2016)'!$A$3,"MA_HT","DCH","MA_QH","DXH")</f>
        <v>0</v>
      </c>
      <c r="AL39" s="49" t="e">
        <f ca="1">$D39-$BF39</f>
        <v>#REF!</v>
      </c>
      <c r="AM39" s="50">
        <f ca="1">+GETPIVOTDATA("XKL4",'kimlong (2016)'!$A$3,"MA_HT","DXH","MA_QH","DKG")</f>
        <v>0</v>
      </c>
      <c r="AN39" s="50">
        <f ca="1">+GETPIVOTDATA("XKL4",'kimlong (2016)'!$A$3,"MA_HT","DCH","MA_QH","DDT")</f>
        <v>0</v>
      </c>
      <c r="AO39" s="50">
        <f ca="1">+GETPIVOTDATA("XKL4",'kimlong (2016)'!$A$3,"MA_HT","DCH","MA_QH","DDL")</f>
        <v>0</v>
      </c>
      <c r="AP39" s="50">
        <f ca="1">+GETPIVOTDATA("XKL4",'kimlong (2016)'!$A$3,"MA_HT","DCH","MA_QH","DRA")</f>
        <v>0</v>
      </c>
      <c r="AQ39" s="50">
        <f ca="1">+GETPIVOTDATA("XKL4",'kimlong (2016)'!$A$3,"MA_HT","DCH","MA_QH","ONT")</f>
        <v>0</v>
      </c>
      <c r="AR39" s="50">
        <f ca="1">+GETPIVOTDATA("XKL4",'kimlong (2016)'!$A$3,"MA_HT","DCH","MA_QH","ODT")</f>
        <v>0</v>
      </c>
      <c r="AS39" s="50">
        <f ca="1">+GETPIVOTDATA("XKL4",'kimlong (2016)'!$A$3,"MA_HT","DCH","MA_QH","TSC")</f>
        <v>0</v>
      </c>
      <c r="AT39" s="50">
        <f ca="1">+GETPIVOTDATA("XKL4",'kimlong (2016)'!$A$3,"MA_HT","DCH","MA_QH","DTS")</f>
        <v>0</v>
      </c>
      <c r="AU39" s="50">
        <f ca="1">+GETPIVOTDATA("XKL4",'kimlong (2016)'!$A$3,"MA_HT","DCH","MA_QH","DNG")</f>
        <v>0</v>
      </c>
      <c r="AV39" s="50">
        <f ca="1">+GETPIVOTDATA("XKL4",'kimlong (2016)'!$A$3,"MA_HT","DCH","MA_QH","TON")</f>
        <v>0</v>
      </c>
      <c r="AW39" s="50">
        <f ca="1">+GETPIVOTDATA("XKL4",'kimlong (2016)'!$A$3,"MA_HT","DCH","MA_QH","NTD")</f>
        <v>0</v>
      </c>
      <c r="AX39" s="50">
        <f ca="1">+GETPIVOTDATA("XKL4",'kimlong (2016)'!$A$3,"MA_HT","DCH","MA_QH","SKX")</f>
        <v>0</v>
      </c>
      <c r="AY39" s="50">
        <f ca="1">+GETPIVOTDATA("XKL4",'kimlong (2016)'!$A$3,"MA_HT","DCH","MA_QH","DSH")</f>
        <v>0</v>
      </c>
      <c r="AZ39" s="50">
        <f ca="1">+GETPIVOTDATA("XKL4",'kimlong (2016)'!$A$3,"MA_HT","DCH","MA_QH","DKV")</f>
        <v>0</v>
      </c>
      <c r="BA39" s="88">
        <f ca="1">+GETPIVOTDATA("XKL4",'kimlong (2016)'!$A$3,"MA_HT","DCH","MA_QH","TIN")</f>
        <v>0</v>
      </c>
      <c r="BB39" s="50">
        <f ca="1">+GETPIVOTDATA("XKL4",'kimlong (2016)'!$A$3,"MA_HT","DCH","MA_QH","SON")</f>
        <v>0</v>
      </c>
      <c r="BC39" s="50">
        <f ca="1">+GETPIVOTDATA("XKL4",'kimlong (2016)'!$A$3,"MA_HT","DCH","MA_QH","MNC")</f>
        <v>0</v>
      </c>
      <c r="BD39" s="50">
        <f ca="1">+GETPIVOTDATA("XKL4",'kimlong (2016)'!$A$3,"MA_HT","DCH","MA_QH","PNK")</f>
        <v>0</v>
      </c>
      <c r="BE39" s="80">
        <f ca="1">+GETPIVOTDATA("XKL4",'kimlong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+GETPIVOTDATA("XKL4",'kimlong (2016)'!$A$3,"MA_HT","DKG","MA_QH","LUC")</f>
        <v>0</v>
      </c>
      <c r="H40" s="50">
        <f ca="1">+GETPIVOTDATA("XKL4",'kimlong (2016)'!$A$3,"MA_HT","DKG","MA_QH","LUK")</f>
        <v>0</v>
      </c>
      <c r="I40" s="50">
        <f ca="1">+GETPIVOTDATA("XKL4",'kimlong (2016)'!$A$3,"MA_HT","DKG","MA_QH","LUN")</f>
        <v>0</v>
      </c>
      <c r="J40" s="50">
        <f ca="1">+GETPIVOTDATA("XKL4",'kimlong (2016)'!$A$3,"MA_HT","DKG","MA_QH","HNK")</f>
        <v>0</v>
      </c>
      <c r="K40" s="50">
        <f ca="1">+GETPIVOTDATA("XKL4",'kimlong (2016)'!$A$3,"MA_HT","DKG","MA_QH","CLN")</f>
        <v>0</v>
      </c>
      <c r="L40" s="50">
        <f ca="1">+GETPIVOTDATA("XKL4",'kimlong (2016)'!$A$3,"MA_HT","DKG","MA_QH","RSX")</f>
        <v>0</v>
      </c>
      <c r="M40" s="50">
        <f ca="1">+GETPIVOTDATA("XKL4",'kimlong (2016)'!$A$3,"MA_HT","DKG","MA_QH","RPH")</f>
        <v>0</v>
      </c>
      <c r="N40" s="50">
        <f ca="1">+GETPIVOTDATA("XKL4",'kimlong (2016)'!$A$3,"MA_HT","DKG","MA_QH","RDD")</f>
        <v>0</v>
      </c>
      <c r="O40" s="50">
        <f ca="1">+GETPIVOTDATA("XKL4",'kimlong (2016)'!$A$3,"MA_HT","DKG","MA_QH","NTS")</f>
        <v>0</v>
      </c>
      <c r="P40" s="50">
        <f ca="1">+GETPIVOTDATA("XKL4",'kimlong (2016)'!$A$3,"MA_HT","DKG","MA_QH","LMU")</f>
        <v>0</v>
      </c>
      <c r="Q40" s="50">
        <f ca="1">+GETPIVOTDATA("XKL4",'kimlong (2016)'!$A$3,"MA_HT","DKG","MA_QH","NKH")</f>
        <v>0</v>
      </c>
      <c r="R40" s="48">
        <f ca="1" t="shared" si="20"/>
        <v>0</v>
      </c>
      <c r="S40" s="50">
        <f ca="1">+GETPIVOTDATA("XKL4",'kimlong (2016)'!$A$3,"MA_HT","DKG","MA_QH","CQP")</f>
        <v>0</v>
      </c>
      <c r="T40" s="50">
        <f ca="1">+GETPIVOTDATA("XKL4",'kimlong (2016)'!$A$3,"MA_HT","DKG","MA_QH","CAN")</f>
        <v>0</v>
      </c>
      <c r="U40" s="50">
        <f ca="1">+GETPIVOTDATA("XKL4",'kimlong (2016)'!$A$3,"MA_HT","DKG","MA_QH","SKK")</f>
        <v>0</v>
      </c>
      <c r="V40" s="50">
        <f ca="1">+GETPIVOTDATA("XKL4",'kimlong (2016)'!$A$3,"MA_HT","DKG","MA_QH","SKT")</f>
        <v>0</v>
      </c>
      <c r="W40" s="50">
        <f ca="1">+GETPIVOTDATA("XKL4",'kimlong (2016)'!$A$3,"MA_HT","DKG","MA_QH","SKN")</f>
        <v>0</v>
      </c>
      <c r="X40" s="50">
        <f ca="1">+GETPIVOTDATA("XKL4",'kimlong (2016)'!$A$3,"MA_HT","DKG","MA_QH","TMD")</f>
        <v>0</v>
      </c>
      <c r="Y40" s="50">
        <f ca="1">+GETPIVOTDATA("XKL4",'kimlong (2016)'!$A$3,"MA_HT","DKG","MA_QH","SKC")</f>
        <v>0</v>
      </c>
      <c r="Z40" s="50">
        <f ca="1">+GETPIVOTDATA("XKL4",'kimlong (2016)'!$A$3,"MA_HT","DKG","MA_QH","SKS")</f>
        <v>0</v>
      </c>
      <c r="AA40" s="52">
        <f ca="1">+SUM(AB40:AL40)</f>
        <v>0</v>
      </c>
      <c r="AB40" s="50">
        <f ca="1">+GETPIVOTDATA("XKL4",'kimlong (2016)'!$A$3,"MA_HT","DKG","MA_QH","DGT")</f>
        <v>0</v>
      </c>
      <c r="AC40" s="50">
        <f ca="1">+GETPIVOTDATA("XKL4",'kimlong (2016)'!$A$3,"MA_HT","DKG","MA_QH","DTL")</f>
        <v>0</v>
      </c>
      <c r="AD40" s="50">
        <f ca="1">+GETPIVOTDATA("XKL4",'kimlong (2016)'!$A$3,"MA_HT","DKG","MA_QH","DNL")</f>
        <v>0</v>
      </c>
      <c r="AE40" s="50">
        <f ca="1">+GETPIVOTDATA("XKL4",'kimlong (2016)'!$A$3,"MA_HT","DKG","MA_QH","DBV")</f>
        <v>0</v>
      </c>
      <c r="AF40" s="50">
        <f ca="1">+GETPIVOTDATA("XKL4",'kimlong (2016)'!$A$3,"MA_HT","DKG","MA_QH","DVH")</f>
        <v>0</v>
      </c>
      <c r="AG40" s="50">
        <f ca="1">+GETPIVOTDATA("XKL4",'kimlong (2016)'!$A$3,"MA_HT","DKG","MA_QH","DYT")</f>
        <v>0</v>
      </c>
      <c r="AH40" s="50">
        <f ca="1">+GETPIVOTDATA("XKL4",'kimlong (2016)'!$A$3,"MA_HT","DKG","MA_QH","DGD")</f>
        <v>0</v>
      </c>
      <c r="AI40" s="50">
        <f ca="1">+GETPIVOTDATA("XKL4",'kimlong (2016)'!$A$3,"MA_HT","DKG","MA_QH","DTT")</f>
        <v>0</v>
      </c>
      <c r="AJ40" s="50">
        <f ca="1">+GETPIVOTDATA("XKL4",'kimlong (2016)'!$A$3,"MA_HT","DKG","MA_QH","NCK")</f>
        <v>0</v>
      </c>
      <c r="AK40" s="50">
        <f ca="1">+GETPIVOTDATA("XKL4",'kimlong (2016)'!$A$3,"MA_HT","DKG","MA_QH","DXH")</f>
        <v>0</v>
      </c>
      <c r="AL40" s="60">
        <f ca="1">+GETPIVOTDATA("XKL4",'kimlong (2016)'!$A$3,"MA_HT","DDT","MA_QH","DKG")</f>
        <v>0</v>
      </c>
      <c r="AM40" s="49" t="e">
        <f ca="1">$D40-$BF40</f>
        <v>#REF!</v>
      </c>
      <c r="AN40" s="50">
        <f ca="1">+GETPIVOTDATA("XKL4",'kimlong (2016)'!$A$3,"MA_HT","DKG","MA_QH","DDT")</f>
        <v>0</v>
      </c>
      <c r="AO40" s="50">
        <f ca="1">+GETPIVOTDATA("XKL4",'kimlong (2016)'!$A$3,"MA_HT","DKG","MA_QH","DDL")</f>
        <v>0</v>
      </c>
      <c r="AP40" s="50">
        <f ca="1">+GETPIVOTDATA("XKL4",'kimlong (2016)'!$A$3,"MA_HT","DKG","MA_QH","DRA")</f>
        <v>0</v>
      </c>
      <c r="AQ40" s="50">
        <f ca="1">+GETPIVOTDATA("XKL4",'kimlong (2016)'!$A$3,"MA_HT","DKG","MA_QH","ONT")</f>
        <v>0</v>
      </c>
      <c r="AR40" s="50">
        <f ca="1">+GETPIVOTDATA("XKL4",'kimlong (2016)'!$A$3,"MA_HT","DKG","MA_QH","ODT")</f>
        <v>0</v>
      </c>
      <c r="AS40" s="50">
        <f ca="1">+GETPIVOTDATA("XKL4",'kimlong (2016)'!$A$3,"MA_HT","DKG","MA_QH","TSC")</f>
        <v>0</v>
      </c>
      <c r="AT40" s="50">
        <f ca="1">+GETPIVOTDATA("XKL4",'kimlong (2016)'!$A$3,"MA_HT","DKG","MA_QH","DTS")</f>
        <v>0</v>
      </c>
      <c r="AU40" s="50">
        <f ca="1">+GETPIVOTDATA("XKL4",'kimlong (2016)'!$A$3,"MA_HT","DKG","MA_QH","DNG")</f>
        <v>0</v>
      </c>
      <c r="AV40" s="50">
        <f ca="1">+GETPIVOTDATA("XKL4",'kimlong (2016)'!$A$3,"MA_HT","DKG","MA_QH","TON")</f>
        <v>0</v>
      </c>
      <c r="AW40" s="50">
        <f ca="1">+GETPIVOTDATA("XKL4",'kimlong (2016)'!$A$3,"MA_HT","DKG","MA_QH","NTD")</f>
        <v>0</v>
      </c>
      <c r="AX40" s="50">
        <f ca="1">+GETPIVOTDATA("XKL4",'kimlong (2016)'!$A$3,"MA_HT","DKG","MA_QH","SKX")</f>
        <v>0</v>
      </c>
      <c r="AY40" s="50">
        <f ca="1">+GETPIVOTDATA("XKL4",'kimlong (2016)'!$A$3,"MA_HT","DKG","MA_QH","DSH")</f>
        <v>0</v>
      </c>
      <c r="AZ40" s="50">
        <f ca="1">+GETPIVOTDATA("XKL4",'kimlong (2016)'!$A$3,"MA_HT","DKG","MA_QH","DKV")</f>
        <v>0</v>
      </c>
      <c r="BA40" s="88">
        <f ca="1">+GETPIVOTDATA("XKL4",'kimlong (2016)'!$A$3,"MA_HT","DKG","MA_QH","TIN")</f>
        <v>0</v>
      </c>
      <c r="BB40" s="50">
        <f ca="1">+GETPIVOTDATA("XKL4",'kimlong (2016)'!$A$3,"MA_HT","DKG","MA_QH","SON")</f>
        <v>0</v>
      </c>
      <c r="BC40" s="50">
        <f ca="1">+GETPIVOTDATA("XKL4",'kimlong (2016)'!$A$3,"MA_HT","DKG","MA_QH","MNC")</f>
        <v>0</v>
      </c>
      <c r="BD40" s="50">
        <f ca="1">+GETPIVOTDATA("XKL4",'kimlong (2016)'!$A$3,"MA_HT","DKG","MA_QH","PNK")</f>
        <v>0</v>
      </c>
      <c r="BE40" s="80">
        <f ca="1">+GETPIVOTDATA("XKL4",'kimlong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+GETPIVOTDATA("XKL4",'kimlong (2016)'!$A$3,"MA_HT","DDT","MA_QH","LUC")</f>
        <v>0</v>
      </c>
      <c r="H41" s="60">
        <f ca="1">+GETPIVOTDATA("XKL4",'kimlong (2016)'!$A$3,"MA_HT","DDT","MA_QH","LUK")</f>
        <v>0</v>
      </c>
      <c r="I41" s="60">
        <f ca="1">+GETPIVOTDATA("XKL4",'kimlong (2016)'!$A$3,"MA_HT","DDT","MA_QH","LUN")</f>
        <v>0</v>
      </c>
      <c r="J41" s="60">
        <f ca="1">+GETPIVOTDATA("XKL4",'kimlong (2016)'!$A$3,"MA_HT","DDT","MA_QH","HNK")</f>
        <v>0</v>
      </c>
      <c r="K41" s="60">
        <f ca="1">+GETPIVOTDATA("XKL4",'kimlong (2016)'!$A$3,"MA_HT","DDT","MA_QH","CLN")</f>
        <v>0</v>
      </c>
      <c r="L41" s="60">
        <f ca="1">+GETPIVOTDATA("XKL4",'kimlong (2016)'!$A$3,"MA_HT","DDT","MA_QH","RSX")</f>
        <v>0</v>
      </c>
      <c r="M41" s="60">
        <f ca="1">+GETPIVOTDATA("XKL4",'kimlong (2016)'!$A$3,"MA_HT","DDT","MA_QH","RPH")</f>
        <v>0</v>
      </c>
      <c r="N41" s="60">
        <f ca="1">+GETPIVOTDATA("XKL4",'kimlong (2016)'!$A$3,"MA_HT","DDT","MA_QH","RDD")</f>
        <v>0</v>
      </c>
      <c r="O41" s="60">
        <f ca="1">+GETPIVOTDATA("XKL4",'kimlong (2016)'!$A$3,"MA_HT","DDT","MA_QH","NTS")</f>
        <v>0</v>
      </c>
      <c r="P41" s="60">
        <f ca="1">+GETPIVOTDATA("XKL4",'kimlong (2016)'!$A$3,"MA_HT","DDT","MA_QH","LMU")</f>
        <v>0</v>
      </c>
      <c r="Q41" s="60">
        <f ca="1">+GETPIVOTDATA("XKL4",'kimlong (2016)'!$A$3,"MA_HT","DDT","MA_QH","NKH")</f>
        <v>0</v>
      </c>
      <c r="R41" s="78">
        <f ca="1">SUM(S41:AA41,AO41:BD41)</f>
        <v>0</v>
      </c>
      <c r="S41" s="60">
        <f ca="1">+GETPIVOTDATA("XKL4",'kimlong (2016)'!$A$3,"MA_HT","DDT","MA_QH","CQP")</f>
        <v>0</v>
      </c>
      <c r="T41" s="60">
        <f ca="1">+GETPIVOTDATA("XKL4",'kimlong (2016)'!$A$3,"MA_HT","DDT","MA_QH","CAN")</f>
        <v>0</v>
      </c>
      <c r="U41" s="60">
        <f ca="1">+GETPIVOTDATA("XKL4",'kimlong (2016)'!$A$3,"MA_HT","DDT","MA_QH","SKK")</f>
        <v>0</v>
      </c>
      <c r="V41" s="60">
        <f ca="1">+GETPIVOTDATA("XKL4",'kimlong (2016)'!$A$3,"MA_HT","DDT","MA_QH","SKT")</f>
        <v>0</v>
      </c>
      <c r="W41" s="60">
        <f ca="1">+GETPIVOTDATA("XKL4",'kimlong (2016)'!$A$3,"MA_HT","DDT","MA_QH","SKN")</f>
        <v>0</v>
      </c>
      <c r="X41" s="60">
        <f ca="1">+GETPIVOTDATA("XKL4",'kimlong (2016)'!$A$3,"MA_HT","DDT","MA_QH","TMD")</f>
        <v>0</v>
      </c>
      <c r="Y41" s="60">
        <f ca="1">+GETPIVOTDATA("XKL4",'kimlong (2016)'!$A$3,"MA_HT","DDT","MA_QH","SKC")</f>
        <v>0</v>
      </c>
      <c r="Z41" s="60">
        <f ca="1">+GETPIVOTDATA("XKL4",'kimlong (2016)'!$A$3,"MA_HT","DDT","MA_QH","SKS")</f>
        <v>0</v>
      </c>
      <c r="AA41" s="59">
        <f ca="1" t="shared" ref="AA41:AA58" si="21">+SUM(AB41:AM41)</f>
        <v>0</v>
      </c>
      <c r="AB41" s="60">
        <f ca="1">+GETPIVOTDATA("XKL4",'kimlong (2016)'!$A$3,"MA_HT","DDT","MA_QH","DGT")</f>
        <v>0</v>
      </c>
      <c r="AC41" s="60">
        <f ca="1">+GETPIVOTDATA("XKL4",'kimlong (2016)'!$A$3,"MA_HT","DDT","MA_QH","DTL")</f>
        <v>0</v>
      </c>
      <c r="AD41" s="60">
        <f ca="1">+GETPIVOTDATA("XKL4",'kimlong (2016)'!$A$3,"MA_HT","DDT","MA_QH","DNL")</f>
        <v>0</v>
      </c>
      <c r="AE41" s="60">
        <f ca="1">+GETPIVOTDATA("XKL4",'kimlong (2016)'!$A$3,"MA_HT","DDT","MA_QH","DBV")</f>
        <v>0</v>
      </c>
      <c r="AF41" s="60">
        <f ca="1">+GETPIVOTDATA("XKL4",'kimlong (2016)'!$A$3,"MA_HT","DDT","MA_QH","DVH")</f>
        <v>0</v>
      </c>
      <c r="AG41" s="60">
        <f ca="1">+GETPIVOTDATA("XKL4",'kimlong (2016)'!$A$3,"MA_HT","DDT","MA_QH","DYT")</f>
        <v>0</v>
      </c>
      <c r="AH41" s="60">
        <f ca="1">+GETPIVOTDATA("XKL4",'kimlong (2016)'!$A$3,"MA_HT","DDT","MA_QH","DGD")</f>
        <v>0</v>
      </c>
      <c r="AI41" s="60">
        <f ca="1">+GETPIVOTDATA("XKL4",'kimlong (2016)'!$A$3,"MA_HT","DDT","MA_QH","DTT")</f>
        <v>0</v>
      </c>
      <c r="AJ41" s="60">
        <f ca="1">+GETPIVOTDATA("XKL4",'kimlong (2016)'!$A$3,"MA_HT","DDT","MA_QH","NCK")</f>
        <v>0</v>
      </c>
      <c r="AK41" s="60">
        <f ca="1">+GETPIVOTDATA("XKL4",'kimlong (2016)'!$A$3,"MA_HT","DDT","MA_QH","DXH")</f>
        <v>0</v>
      </c>
      <c r="AL41" s="60">
        <f ca="1">+GETPIVOTDATA("XKL4",'kimlong (2016)'!$A$3,"MA_HT","DDT","MA_QH","DCH")</f>
        <v>0</v>
      </c>
      <c r="AM41" s="60">
        <f ca="1">+GETPIVOTDATA("XKL4",'kimlong (2016)'!$A$3,"MA_HT","DDT","MA_QH","DKG")</f>
        <v>0</v>
      </c>
      <c r="AN41" s="81" t="e">
        <f ca="1">$D41-$BF41</f>
        <v>#REF!</v>
      </c>
      <c r="AO41" s="60">
        <f ca="1">+GETPIVOTDATA("XKL4",'kimlong (2016)'!$A$3,"MA_HT","DDT","MA_QH","DDL")</f>
        <v>0</v>
      </c>
      <c r="AP41" s="60">
        <f ca="1">+GETPIVOTDATA("XKL4",'kimlong (2016)'!$A$3,"MA_HT","DDT","MA_QH","DRA")</f>
        <v>0</v>
      </c>
      <c r="AQ41" s="60">
        <f ca="1">+GETPIVOTDATA("XKL4",'kimlong (2016)'!$A$3,"MA_HT","DDT","MA_QH","ONT")</f>
        <v>0</v>
      </c>
      <c r="AR41" s="60">
        <f ca="1">+GETPIVOTDATA("XKL4",'kimlong (2016)'!$A$3,"MA_HT","DDT","MA_QH","ODT")</f>
        <v>0</v>
      </c>
      <c r="AS41" s="60">
        <f ca="1">+GETPIVOTDATA("XKL4",'kimlong (2016)'!$A$3,"MA_HT","DDT","MA_QH","TSC")</f>
        <v>0</v>
      </c>
      <c r="AT41" s="60">
        <f ca="1">+GETPIVOTDATA("XKL4",'kimlong (2016)'!$A$3,"MA_HT","DDT","MA_QH","DTS")</f>
        <v>0</v>
      </c>
      <c r="AU41" s="60">
        <f ca="1">+GETPIVOTDATA("XKL4",'kimlong (2016)'!$A$3,"MA_HT","DDT","MA_QH","DNG")</f>
        <v>0</v>
      </c>
      <c r="AV41" s="60">
        <f ca="1">+GETPIVOTDATA("XKL4",'kimlong (2016)'!$A$3,"MA_HT","DDT","MA_QH","TON")</f>
        <v>0</v>
      </c>
      <c r="AW41" s="60">
        <f ca="1">+GETPIVOTDATA("XKL4",'kimlong (2016)'!$A$3,"MA_HT","DDT","MA_QH","NTD")</f>
        <v>0</v>
      </c>
      <c r="AX41" s="60">
        <f ca="1">+GETPIVOTDATA("XKL4",'kimlong (2016)'!$A$3,"MA_HT","DDT","MA_QH","SKX")</f>
        <v>0</v>
      </c>
      <c r="AY41" s="60">
        <f ca="1">+GETPIVOTDATA("XKL4",'kimlong (2016)'!$A$3,"MA_HT","DDT","MA_QH","DSH")</f>
        <v>0</v>
      </c>
      <c r="AZ41" s="60">
        <f ca="1">+GETPIVOTDATA("XKL4",'kimlong (2016)'!$A$3,"MA_HT","DDT","MA_QH","DKV")</f>
        <v>0</v>
      </c>
      <c r="BA41" s="90">
        <f ca="1">+GETPIVOTDATA("XKL4",'kimlong (2016)'!$A$3,"MA_HT","DDT","MA_QH","TIN")</f>
        <v>0</v>
      </c>
      <c r="BB41" s="91">
        <f ca="1">+GETPIVOTDATA("XKL4",'kimlong (2016)'!$A$3,"MA_HT","DDT","MA_QH","SON")</f>
        <v>0</v>
      </c>
      <c r="BC41" s="91">
        <f ca="1">+GETPIVOTDATA("XKL4",'kimlong (2016)'!$A$3,"MA_HT","DDT","MA_QH","MNC")</f>
        <v>0</v>
      </c>
      <c r="BD41" s="60">
        <f ca="1">+GETPIVOTDATA("XKL4",'kimlong (2016)'!$A$3,"MA_HT","DDT","MA_QH","PNK")</f>
        <v>0</v>
      </c>
      <c r="BE41" s="111">
        <f ca="1">+GETPIVOTDATA("XKL4",'kimlong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+GETPIVOTDATA("XKL4",'kimlong (2016)'!$A$3,"MA_HT","DDL","MA_QH","LUC")</f>
        <v>0</v>
      </c>
      <c r="H42" s="22">
        <f ca="1">+GETPIVOTDATA("XKL4",'kimlong (2016)'!$A$3,"MA_HT","DDL","MA_QH","LUK")</f>
        <v>0</v>
      </c>
      <c r="I42" s="22">
        <f ca="1">+GETPIVOTDATA("XKL4",'kimlong (2016)'!$A$3,"MA_HT","DDL","MA_QH","LUN")</f>
        <v>0</v>
      </c>
      <c r="J42" s="22">
        <f ca="1">+GETPIVOTDATA("XKL4",'kimlong (2016)'!$A$3,"MA_HT","DDL","MA_QH","HNK")</f>
        <v>0</v>
      </c>
      <c r="K42" s="22">
        <f ca="1">+GETPIVOTDATA("XKL4",'kimlong (2016)'!$A$3,"MA_HT","DDL","MA_QH","CLN")</f>
        <v>0</v>
      </c>
      <c r="L42" s="22">
        <f ca="1">+GETPIVOTDATA("XKL4",'kimlong (2016)'!$A$3,"MA_HT","DDL","MA_QH","RSX")</f>
        <v>0</v>
      </c>
      <c r="M42" s="22">
        <f ca="1">+GETPIVOTDATA("XKL4",'kimlong (2016)'!$A$3,"MA_HT","DDL","MA_QH","RPH")</f>
        <v>0</v>
      </c>
      <c r="N42" s="22">
        <f ca="1">+GETPIVOTDATA("XKL4",'kimlong (2016)'!$A$3,"MA_HT","DDL","MA_QH","RDD")</f>
        <v>0</v>
      </c>
      <c r="O42" s="22">
        <f ca="1">+GETPIVOTDATA("XKL4",'kimlong (2016)'!$A$3,"MA_HT","DDL","MA_QH","NTS")</f>
        <v>0</v>
      </c>
      <c r="P42" s="22">
        <f ca="1">+GETPIVOTDATA("XKL4",'kimlong (2016)'!$A$3,"MA_HT","DDL","MA_QH","LMU")</f>
        <v>0</v>
      </c>
      <c r="Q42" s="22">
        <f ca="1">+GETPIVOTDATA("XKL4",'kimlong (2016)'!$A$3,"MA_HT","DDL","MA_QH","NKH")</f>
        <v>0</v>
      </c>
      <c r="R42" s="79">
        <f ca="1">SUM(S42:AA42,AN42,AP42:BD42)</f>
        <v>0</v>
      </c>
      <c r="S42" s="22">
        <f ca="1">+GETPIVOTDATA("XKL4",'kimlong (2016)'!$A$3,"MA_HT","DDL","MA_QH","CQP")</f>
        <v>0</v>
      </c>
      <c r="T42" s="22">
        <f ca="1">+GETPIVOTDATA("XKL4",'kimlong (2016)'!$A$3,"MA_HT","DDL","MA_QH","CAN")</f>
        <v>0</v>
      </c>
      <c r="U42" s="22">
        <f ca="1">+GETPIVOTDATA("XKL4",'kimlong (2016)'!$A$3,"MA_HT","DDL","MA_QH","SKK")</f>
        <v>0</v>
      </c>
      <c r="V42" s="22">
        <f ca="1">+GETPIVOTDATA("XKL4",'kimlong (2016)'!$A$3,"MA_HT","DDL","MA_QH","SKT")</f>
        <v>0</v>
      </c>
      <c r="W42" s="22">
        <f ca="1">+GETPIVOTDATA("XKL4",'kimlong (2016)'!$A$3,"MA_HT","DDL","MA_QH","SKN")</f>
        <v>0</v>
      </c>
      <c r="X42" s="22">
        <f ca="1">+GETPIVOTDATA("XKL4",'kimlong (2016)'!$A$3,"MA_HT","DDL","MA_QH","TMD")</f>
        <v>0</v>
      </c>
      <c r="Y42" s="22">
        <f ca="1">+GETPIVOTDATA("XKL4",'kimlong (2016)'!$A$3,"MA_HT","DDL","MA_QH","SKC")</f>
        <v>0</v>
      </c>
      <c r="Z42" s="22">
        <f ca="1">+GETPIVOTDATA("XKL4",'kimlong (2016)'!$A$3,"MA_HT","DDL","MA_QH","SKS")</f>
        <v>0</v>
      </c>
      <c r="AA42" s="52">
        <f ca="1" t="shared" si="21"/>
        <v>0</v>
      </c>
      <c r="AB42" s="22">
        <f ca="1">+GETPIVOTDATA("XKL4",'kimlong (2016)'!$A$3,"MA_HT","DDL","MA_QH","DGT")</f>
        <v>0</v>
      </c>
      <c r="AC42" s="22">
        <f ca="1">+GETPIVOTDATA("XKL4",'kimlong (2016)'!$A$3,"MA_HT","DDL","MA_QH","DTL")</f>
        <v>0</v>
      </c>
      <c r="AD42" s="22">
        <f ca="1">+GETPIVOTDATA("XKL4",'kimlong (2016)'!$A$3,"MA_HT","DDL","MA_QH","DNL")</f>
        <v>0</v>
      </c>
      <c r="AE42" s="22">
        <f ca="1">+GETPIVOTDATA("XKL4",'kimlong (2016)'!$A$3,"MA_HT","DDL","MA_QH","DBV")</f>
        <v>0</v>
      </c>
      <c r="AF42" s="22">
        <f ca="1">+GETPIVOTDATA("XKL4",'kimlong (2016)'!$A$3,"MA_HT","DDL","MA_QH","DVH")</f>
        <v>0</v>
      </c>
      <c r="AG42" s="22">
        <f ca="1">+GETPIVOTDATA("XKL4",'kimlong (2016)'!$A$3,"MA_HT","DDL","MA_QH","DYT")</f>
        <v>0</v>
      </c>
      <c r="AH42" s="22">
        <f ca="1">+GETPIVOTDATA("XKL4",'kimlong (2016)'!$A$3,"MA_HT","DDL","MA_QH","DGD")</f>
        <v>0</v>
      </c>
      <c r="AI42" s="22">
        <f ca="1">+GETPIVOTDATA("XKL4",'kimlong (2016)'!$A$3,"MA_HT","DDL","MA_QH","DTT")</f>
        <v>0</v>
      </c>
      <c r="AJ42" s="22">
        <f ca="1">+GETPIVOTDATA("XKL4",'kimlong (2016)'!$A$3,"MA_HT","DDL","MA_QH","NCK")</f>
        <v>0</v>
      </c>
      <c r="AK42" s="22">
        <f ca="1">+GETPIVOTDATA("XKL4",'kimlong (2016)'!$A$3,"MA_HT","DDL","MA_QH","DXH")</f>
        <v>0</v>
      </c>
      <c r="AL42" s="22">
        <f ca="1">+GETPIVOTDATA("XKL4",'kimlong (2016)'!$A$3,"MA_HT","DDL","MA_QH","DCH")</f>
        <v>0</v>
      </c>
      <c r="AM42" s="22">
        <f ca="1">+GETPIVOTDATA("XKL4",'kimlong (2016)'!$A$3,"MA_HT","DDL","MA_QH","DKG")</f>
        <v>0</v>
      </c>
      <c r="AN42" s="22">
        <f ca="1">+GETPIVOTDATA("XKL4",'kimlong (2016)'!$A$3,"MA_HT","DDL","MA_QH","DDT")</f>
        <v>0</v>
      </c>
      <c r="AO42" s="43" t="e">
        <f ca="1">$D42-$BF42</f>
        <v>#REF!</v>
      </c>
      <c r="AP42" s="22">
        <f ca="1">+GETPIVOTDATA("XKL4",'kimlong (2016)'!$A$3,"MA_HT","DDL","MA_QH","DRA")</f>
        <v>0</v>
      </c>
      <c r="AQ42" s="22">
        <f ca="1">+GETPIVOTDATA("XKL4",'kimlong (2016)'!$A$3,"MA_HT","DDL","MA_QH","ONT")</f>
        <v>0</v>
      </c>
      <c r="AR42" s="22">
        <f ca="1">+GETPIVOTDATA("XKL4",'kimlong (2016)'!$A$3,"MA_HT","DDL","MA_QH","ODT")</f>
        <v>0</v>
      </c>
      <c r="AS42" s="22">
        <f ca="1">+GETPIVOTDATA("XKL4",'kimlong (2016)'!$A$3,"MA_HT","DDL","MA_QH","TSC")</f>
        <v>0</v>
      </c>
      <c r="AT42" s="22">
        <f ca="1">+GETPIVOTDATA("XKL4",'kimlong (2016)'!$A$3,"MA_HT","DDL","MA_QH","DTS")</f>
        <v>0</v>
      </c>
      <c r="AU42" s="22">
        <f ca="1">+GETPIVOTDATA("XKL4",'kimlong (2016)'!$A$3,"MA_HT","DDL","MA_QH","DNG")</f>
        <v>0</v>
      </c>
      <c r="AV42" s="22">
        <f ca="1">+GETPIVOTDATA("XKL4",'kimlong (2016)'!$A$3,"MA_HT","DDL","MA_QH","TON")</f>
        <v>0</v>
      </c>
      <c r="AW42" s="22">
        <f ca="1">+GETPIVOTDATA("XKL4",'kimlong (2016)'!$A$3,"MA_HT","DDL","MA_QH","NTD")</f>
        <v>0</v>
      </c>
      <c r="AX42" s="22">
        <f ca="1">+GETPIVOTDATA("XKL4",'kimlong (2016)'!$A$3,"MA_HT","DDL","MA_QH","SKX")</f>
        <v>0</v>
      </c>
      <c r="AY42" s="22">
        <f ca="1">+GETPIVOTDATA("XKL4",'kimlong (2016)'!$A$3,"MA_HT","DDL","MA_QH","DSH")</f>
        <v>0</v>
      </c>
      <c r="AZ42" s="22">
        <f ca="1">+GETPIVOTDATA("XKL4",'kimlong (2016)'!$A$3,"MA_HT","DDL","MA_QH","DKV")</f>
        <v>0</v>
      </c>
      <c r="BA42" s="89">
        <f ca="1">+GETPIVOTDATA("XKL4",'kimlong (2016)'!$A$3,"MA_HT","DDL","MA_QH","TIN")</f>
        <v>0</v>
      </c>
      <c r="BB42" s="50">
        <f ca="1">+GETPIVOTDATA("XKL4",'kimlong (2016)'!$A$3,"MA_HT","DDL","MA_QH","SON")</f>
        <v>0</v>
      </c>
      <c r="BC42" s="50">
        <f ca="1">+GETPIVOTDATA("XKL4",'kimlong (2016)'!$A$3,"MA_HT","DDL","MA_QH","MNC")</f>
        <v>0</v>
      </c>
      <c r="BD42" s="22">
        <f ca="1">+GETPIVOTDATA("XKL4",'kimlong (2016)'!$A$3,"MA_HT","DDL","MA_QH","PNK")</f>
        <v>0</v>
      </c>
      <c r="BE42" s="71">
        <f ca="1">+GETPIVOTDATA("XKL4",'kimlong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+GETPIVOTDATA("XKL4",'kimlong (2016)'!$A$3,"MA_HT","DRA","MA_QH","LUC")</f>
        <v>0</v>
      </c>
      <c r="H43" s="22">
        <f ca="1">+GETPIVOTDATA("XKL4",'kimlong (2016)'!$A$3,"MA_HT","DRA","MA_QH","LUK")</f>
        <v>0</v>
      </c>
      <c r="I43" s="22">
        <f ca="1">+GETPIVOTDATA("XKL4",'kimlong (2016)'!$A$3,"MA_HT","DRA","MA_QH","LUN")</f>
        <v>0</v>
      </c>
      <c r="J43" s="22">
        <f ca="1">+GETPIVOTDATA("XKL4",'kimlong (2016)'!$A$3,"MA_HT","DRA","MA_QH","HNK")</f>
        <v>0</v>
      </c>
      <c r="K43" s="22">
        <f ca="1">+GETPIVOTDATA("XKL4",'kimlong (2016)'!$A$3,"MA_HT","DRA","MA_QH","CLN")</f>
        <v>0</v>
      </c>
      <c r="L43" s="22">
        <f ca="1">+GETPIVOTDATA("XKL4",'kimlong (2016)'!$A$3,"MA_HT","DRA","MA_QH","RSX")</f>
        <v>0</v>
      </c>
      <c r="M43" s="22">
        <f ca="1">+GETPIVOTDATA("XKL4",'kimlong (2016)'!$A$3,"MA_HT","DRA","MA_QH","RPH")</f>
        <v>0</v>
      </c>
      <c r="N43" s="22">
        <f ca="1">+GETPIVOTDATA("XKL4",'kimlong (2016)'!$A$3,"MA_HT","DRA","MA_QH","RDD")</f>
        <v>0</v>
      </c>
      <c r="O43" s="22">
        <f ca="1">+GETPIVOTDATA("XKL4",'kimlong (2016)'!$A$3,"MA_HT","DRA","MA_QH","NTS")</f>
        <v>0</v>
      </c>
      <c r="P43" s="22">
        <f ca="1">+GETPIVOTDATA("XKL4",'kimlong (2016)'!$A$3,"MA_HT","DRA","MA_QH","LMU")</f>
        <v>0</v>
      </c>
      <c r="Q43" s="22">
        <f ca="1">+GETPIVOTDATA("XKL4",'kimlong (2016)'!$A$3,"MA_HT","DRA","MA_QH","NKH")</f>
        <v>0</v>
      </c>
      <c r="R43" s="79">
        <f ca="1">SUM(S43:AA43,AN43:AO43,AQ43:BD43)</f>
        <v>0</v>
      </c>
      <c r="S43" s="22">
        <f ca="1">+GETPIVOTDATA("XKL4",'kimlong (2016)'!$A$3,"MA_HT","DRA","MA_QH","CQP")</f>
        <v>0</v>
      </c>
      <c r="T43" s="22">
        <f ca="1">+GETPIVOTDATA("XKL4",'kimlong (2016)'!$A$3,"MA_HT","DRA","MA_QH","CAN")</f>
        <v>0</v>
      </c>
      <c r="U43" s="22">
        <f ca="1">+GETPIVOTDATA("XKL4",'kimlong (2016)'!$A$3,"MA_HT","DRA","MA_QH","SKK")</f>
        <v>0</v>
      </c>
      <c r="V43" s="22">
        <f ca="1">+GETPIVOTDATA("XKL4",'kimlong (2016)'!$A$3,"MA_HT","DRA","MA_QH","SKT")</f>
        <v>0</v>
      </c>
      <c r="W43" s="22">
        <f ca="1">+GETPIVOTDATA("XKL4",'kimlong (2016)'!$A$3,"MA_HT","DRA","MA_QH","SKN")</f>
        <v>0</v>
      </c>
      <c r="X43" s="22">
        <f ca="1">+GETPIVOTDATA("XKL4",'kimlong (2016)'!$A$3,"MA_HT","DRA","MA_QH","TMD")</f>
        <v>0</v>
      </c>
      <c r="Y43" s="22">
        <f ca="1">+GETPIVOTDATA("XKL4",'kimlong (2016)'!$A$3,"MA_HT","DRA","MA_QH","SKC")</f>
        <v>0</v>
      </c>
      <c r="Z43" s="22">
        <f ca="1">+GETPIVOTDATA("XKL4",'kimlong (2016)'!$A$3,"MA_HT","DRA","MA_QH","SKS")</f>
        <v>0</v>
      </c>
      <c r="AA43" s="52">
        <f ca="1" t="shared" si="21"/>
        <v>0</v>
      </c>
      <c r="AB43" s="22">
        <f ca="1">+GETPIVOTDATA("XKL4",'kimlong (2016)'!$A$3,"MA_HT","DRA","MA_QH","DGT")</f>
        <v>0</v>
      </c>
      <c r="AC43" s="22">
        <f ca="1">+GETPIVOTDATA("XKL4",'kimlong (2016)'!$A$3,"MA_HT","DRA","MA_QH","DTL")</f>
        <v>0</v>
      </c>
      <c r="AD43" s="22">
        <f ca="1">+GETPIVOTDATA("XKL4",'kimlong (2016)'!$A$3,"MA_HT","DRA","MA_QH","DNL")</f>
        <v>0</v>
      </c>
      <c r="AE43" s="22">
        <f ca="1">+GETPIVOTDATA("XKL4",'kimlong (2016)'!$A$3,"MA_HT","DRA","MA_QH","DBV")</f>
        <v>0</v>
      </c>
      <c r="AF43" s="22">
        <f ca="1">+GETPIVOTDATA("XKL4",'kimlong (2016)'!$A$3,"MA_HT","DRA","MA_QH","DVH")</f>
        <v>0</v>
      </c>
      <c r="AG43" s="22">
        <f ca="1">+GETPIVOTDATA("XKL4",'kimlong (2016)'!$A$3,"MA_HT","DRA","MA_QH","DYT")</f>
        <v>0</v>
      </c>
      <c r="AH43" s="22">
        <f ca="1">+GETPIVOTDATA("XKL4",'kimlong (2016)'!$A$3,"MA_HT","DRA","MA_QH","DGD")</f>
        <v>0</v>
      </c>
      <c r="AI43" s="22">
        <f ca="1">+GETPIVOTDATA("XKL4",'kimlong (2016)'!$A$3,"MA_HT","DRA","MA_QH","DTT")</f>
        <v>0</v>
      </c>
      <c r="AJ43" s="22">
        <f ca="1">+GETPIVOTDATA("XKL4",'kimlong (2016)'!$A$3,"MA_HT","DRA","MA_QH","NCK")</f>
        <v>0</v>
      </c>
      <c r="AK43" s="22">
        <f ca="1">+GETPIVOTDATA("XKL4",'kimlong (2016)'!$A$3,"MA_HT","DRA","MA_QH","DXH")</f>
        <v>0</v>
      </c>
      <c r="AL43" s="22">
        <f ca="1">+GETPIVOTDATA("XKL4",'kimlong (2016)'!$A$3,"MA_HT","DRA","MA_QH","DCH")</f>
        <v>0</v>
      </c>
      <c r="AM43" s="22">
        <f ca="1">+GETPIVOTDATA("XKL4",'kimlong (2016)'!$A$3,"MA_HT","DRA","MA_QH","DKG")</f>
        <v>0</v>
      </c>
      <c r="AN43" s="22">
        <f ca="1">+GETPIVOTDATA("XKL4",'kimlong (2016)'!$A$3,"MA_HT","DRA","MA_QH","DDT")</f>
        <v>0</v>
      </c>
      <c r="AO43" s="22">
        <f ca="1">+GETPIVOTDATA("XKL4",'kimlong (2016)'!$A$3,"MA_HT","DRA","MA_QH","DDL")</f>
        <v>0</v>
      </c>
      <c r="AP43" s="43" t="e">
        <f ca="1">$D43-$BF43</f>
        <v>#REF!</v>
      </c>
      <c r="AQ43" s="22">
        <f ca="1">+GETPIVOTDATA("XKL4",'kimlong (2016)'!$A$3,"MA_HT","DRA","MA_QH","ONT")</f>
        <v>0</v>
      </c>
      <c r="AR43" s="22">
        <f ca="1">+GETPIVOTDATA("XKL4",'kimlong (2016)'!$A$3,"MA_HT","DRA","MA_QH","ODT")</f>
        <v>0</v>
      </c>
      <c r="AS43" s="22">
        <f ca="1">+GETPIVOTDATA("XKL4",'kimlong (2016)'!$A$3,"MA_HT","DRA","MA_QH","TSC")</f>
        <v>0</v>
      </c>
      <c r="AT43" s="22">
        <f ca="1">+GETPIVOTDATA("XKL4",'kimlong (2016)'!$A$3,"MA_HT","DRA","MA_QH","DTS")</f>
        <v>0</v>
      </c>
      <c r="AU43" s="22">
        <f ca="1">+GETPIVOTDATA("XKL4",'kimlong (2016)'!$A$3,"MA_HT","DRA","MA_QH","DNG")</f>
        <v>0</v>
      </c>
      <c r="AV43" s="22">
        <f ca="1">+GETPIVOTDATA("XKL4",'kimlong (2016)'!$A$3,"MA_HT","DRA","MA_QH","TON")</f>
        <v>0</v>
      </c>
      <c r="AW43" s="22">
        <f ca="1">+GETPIVOTDATA("XKL4",'kimlong (2016)'!$A$3,"MA_HT","DRA","MA_QH","NTD")</f>
        <v>0</v>
      </c>
      <c r="AX43" s="22">
        <f ca="1">+GETPIVOTDATA("XKL4",'kimlong (2016)'!$A$3,"MA_HT","DRA","MA_QH","SKX")</f>
        <v>0</v>
      </c>
      <c r="AY43" s="22">
        <f ca="1">+GETPIVOTDATA("XKL4",'kimlong (2016)'!$A$3,"MA_HT","DRA","MA_QH","DSH")</f>
        <v>0</v>
      </c>
      <c r="AZ43" s="22">
        <f ca="1">+GETPIVOTDATA("XKL4",'kimlong (2016)'!$A$3,"MA_HT","DRA","MA_QH","DKV")</f>
        <v>0</v>
      </c>
      <c r="BA43" s="89">
        <f ca="1">+GETPIVOTDATA("XKL4",'kimlong (2016)'!$A$3,"MA_HT","DRA","MA_QH","TIN")</f>
        <v>0</v>
      </c>
      <c r="BB43" s="50">
        <f ca="1">+GETPIVOTDATA("XKL4",'kimlong (2016)'!$A$3,"MA_HT","DRA","MA_QH","SON")</f>
        <v>0</v>
      </c>
      <c r="BC43" s="50">
        <f ca="1">+GETPIVOTDATA("XKL4",'kimlong (2016)'!$A$3,"MA_HT","DRA","MA_QH","MNC")</f>
        <v>0</v>
      </c>
      <c r="BD43" s="22">
        <f ca="1">+GETPIVOTDATA("XKL4",'kimlong (2016)'!$A$3,"MA_HT","DRA","MA_QH","PNK")</f>
        <v>0</v>
      </c>
      <c r="BE43" s="71">
        <f ca="1">+GETPIVOTDATA("XKL4",'kimlong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+GETPIVOTDATA("XKL4",'kimlong (2016)'!$A$3,"MA_HT","ONT","MA_QH","LUC")</f>
        <v>0</v>
      </c>
      <c r="H44" s="22">
        <f ca="1">+GETPIVOTDATA("XKL4",'kimlong (2016)'!$A$3,"MA_HT","ONT","MA_QH","LUK")</f>
        <v>0</v>
      </c>
      <c r="I44" s="22">
        <f ca="1">+GETPIVOTDATA("XKL4",'kimlong (2016)'!$A$3,"MA_HT","ONT","MA_QH","LUN")</f>
        <v>0</v>
      </c>
      <c r="J44" s="22">
        <f ca="1">+GETPIVOTDATA("XKL4",'kimlong (2016)'!$A$3,"MA_HT","ONT","MA_QH","HNK")</f>
        <v>0</v>
      </c>
      <c r="K44" s="22">
        <f ca="1">+GETPIVOTDATA("XKL4",'kimlong (2016)'!$A$3,"MA_HT","ONT","MA_QH","CLN")</f>
        <v>0</v>
      </c>
      <c r="L44" s="22">
        <f ca="1">+GETPIVOTDATA("XKL4",'kimlong (2016)'!$A$3,"MA_HT","ONT","MA_QH","RSX")</f>
        <v>0</v>
      </c>
      <c r="M44" s="22">
        <f ca="1">+GETPIVOTDATA("XKL4",'kimlong (2016)'!$A$3,"MA_HT","ONT","MA_QH","RPH")</f>
        <v>0</v>
      </c>
      <c r="N44" s="22">
        <f ca="1">+GETPIVOTDATA("XKL4",'kimlong (2016)'!$A$3,"MA_HT","ONT","MA_QH","RDD")</f>
        <v>0</v>
      </c>
      <c r="O44" s="22">
        <f ca="1">+GETPIVOTDATA("XKL4",'kimlong (2016)'!$A$3,"MA_HT","ONT","MA_QH","NTS")</f>
        <v>0</v>
      </c>
      <c r="P44" s="22">
        <f ca="1">+GETPIVOTDATA("XKL4",'kimlong (2016)'!$A$3,"MA_HT","ONT","MA_QH","LMU")</f>
        <v>0</v>
      </c>
      <c r="Q44" s="22">
        <f ca="1">+GETPIVOTDATA("XKL4",'kimlong (2016)'!$A$3,"MA_HT","ONT","MA_QH","NKH")</f>
        <v>0</v>
      </c>
      <c r="R44" s="79">
        <f ca="1">SUM(S44:AA44,AN44:AP44,AR44:BD44)</f>
        <v>0</v>
      </c>
      <c r="S44" s="22">
        <f ca="1">+GETPIVOTDATA("XKL4",'kimlong (2016)'!$A$3,"MA_HT","ONT","MA_QH","CQP")</f>
        <v>0</v>
      </c>
      <c r="T44" s="22">
        <f ca="1">+GETPIVOTDATA("XKL4",'kimlong (2016)'!$A$3,"MA_HT","ONT","MA_QH","CAN")</f>
        <v>0</v>
      </c>
      <c r="U44" s="22">
        <f ca="1">+GETPIVOTDATA("XKL4",'kimlong (2016)'!$A$3,"MA_HT","ONT","MA_QH","SKK")</f>
        <v>0</v>
      </c>
      <c r="V44" s="22">
        <f ca="1">+GETPIVOTDATA("XKL4",'kimlong (2016)'!$A$3,"MA_HT","ONT","MA_QH","SKT")</f>
        <v>0</v>
      </c>
      <c r="W44" s="22">
        <f ca="1">+GETPIVOTDATA("XKL4",'kimlong (2016)'!$A$3,"MA_HT","ONT","MA_QH","SKN")</f>
        <v>0</v>
      </c>
      <c r="X44" s="22">
        <f ca="1">+GETPIVOTDATA("XKL4",'kimlong (2016)'!$A$3,"MA_HT","ONT","MA_QH","TMD")</f>
        <v>0</v>
      </c>
      <c r="Y44" s="22">
        <f ca="1">+GETPIVOTDATA("XKL4",'kimlong (2016)'!$A$3,"MA_HT","ONT","MA_QH","SKC")</f>
        <v>0</v>
      </c>
      <c r="Z44" s="22">
        <f ca="1">+GETPIVOTDATA("XKL4",'kimlong (2016)'!$A$3,"MA_HT","ONT","MA_QH","SKS")</f>
        <v>0</v>
      </c>
      <c r="AA44" s="52">
        <f ca="1" t="shared" si="21"/>
        <v>0</v>
      </c>
      <c r="AB44" s="22">
        <f ca="1">+GETPIVOTDATA("XKL4",'kimlong (2016)'!$A$3,"MA_HT","ONT","MA_QH","DGT")</f>
        <v>0</v>
      </c>
      <c r="AC44" s="22">
        <f ca="1">+GETPIVOTDATA("XKL4",'kimlong (2016)'!$A$3,"MA_HT","ONT","MA_QH","DTL")</f>
        <v>0</v>
      </c>
      <c r="AD44" s="22">
        <f ca="1">+GETPIVOTDATA("XKL4",'kimlong (2016)'!$A$3,"MA_HT","ONT","MA_QH","DNL")</f>
        <v>0</v>
      </c>
      <c r="AE44" s="22">
        <f ca="1">+GETPIVOTDATA("XKL4",'kimlong (2016)'!$A$3,"MA_HT","ONT","MA_QH","DBV")</f>
        <v>0</v>
      </c>
      <c r="AF44" s="22">
        <f ca="1">+GETPIVOTDATA("XKL4",'kimlong (2016)'!$A$3,"MA_HT","ONT","MA_QH","DVH")</f>
        <v>0</v>
      </c>
      <c r="AG44" s="22">
        <f ca="1">+GETPIVOTDATA("XKL4",'kimlong (2016)'!$A$3,"MA_HT","ONT","MA_QH","DYT")</f>
        <v>0</v>
      </c>
      <c r="AH44" s="22">
        <f ca="1">+GETPIVOTDATA("XKL4",'kimlong (2016)'!$A$3,"MA_HT","ONT","MA_QH","DGD")</f>
        <v>0</v>
      </c>
      <c r="AI44" s="22">
        <f ca="1">+GETPIVOTDATA("XKL4",'kimlong (2016)'!$A$3,"MA_HT","ONT","MA_QH","DTT")</f>
        <v>0</v>
      </c>
      <c r="AJ44" s="22">
        <f ca="1">+GETPIVOTDATA("XKL4",'kimlong (2016)'!$A$3,"MA_HT","ONT","MA_QH","NCK")</f>
        <v>0</v>
      </c>
      <c r="AK44" s="22">
        <f ca="1">+GETPIVOTDATA("XKL4",'kimlong (2016)'!$A$3,"MA_HT","ONT","MA_QH","DXH")</f>
        <v>0</v>
      </c>
      <c r="AL44" s="22">
        <f ca="1">+GETPIVOTDATA("XKL4",'kimlong (2016)'!$A$3,"MA_HT","ONT","MA_QH","DCH")</f>
        <v>0</v>
      </c>
      <c r="AM44" s="22">
        <f ca="1">+GETPIVOTDATA("XKL4",'kimlong (2016)'!$A$3,"MA_HT","ONT","MA_QH","DKG")</f>
        <v>0</v>
      </c>
      <c r="AN44" s="22">
        <f ca="1">+GETPIVOTDATA("XKL4",'kimlong (2016)'!$A$3,"MA_HT","ONT","MA_QH","DDT")</f>
        <v>0</v>
      </c>
      <c r="AO44" s="22">
        <f ca="1">+GETPIVOTDATA("XKL4",'kimlong (2016)'!$A$3,"MA_HT","ONT","MA_QH","DDL")</f>
        <v>0</v>
      </c>
      <c r="AP44" s="22">
        <f ca="1">+GETPIVOTDATA("XKL4",'kimlong (2016)'!$A$3,"MA_HT","ONT","MA_QH","DRA")</f>
        <v>0</v>
      </c>
      <c r="AQ44" s="43" t="e">
        <f ca="1">$D44-$BF44</f>
        <v>#REF!</v>
      </c>
      <c r="AR44" s="22">
        <f ca="1">+GETPIVOTDATA("XKL4",'kimlong (2016)'!$A$3,"MA_HT","ONT","MA_QH","ODT")</f>
        <v>0</v>
      </c>
      <c r="AS44" s="22">
        <f ca="1">+GETPIVOTDATA("XKL4",'kimlong (2016)'!$A$3,"MA_HT","ONT","MA_QH","TSC")</f>
        <v>0</v>
      </c>
      <c r="AT44" s="22">
        <f ca="1">+GETPIVOTDATA("XKL4",'kimlong (2016)'!$A$3,"MA_HT","ONT","MA_QH","DTS")</f>
        <v>0</v>
      </c>
      <c r="AU44" s="22">
        <f ca="1">+GETPIVOTDATA("XKL4",'kimlong (2016)'!$A$3,"MA_HT","ONT","MA_QH","DNG")</f>
        <v>0</v>
      </c>
      <c r="AV44" s="22">
        <f ca="1">+GETPIVOTDATA("XKL4",'kimlong (2016)'!$A$3,"MA_HT","ONT","MA_QH","TON")</f>
        <v>0</v>
      </c>
      <c r="AW44" s="22">
        <f ca="1">+GETPIVOTDATA("XKL4",'kimlong (2016)'!$A$3,"MA_HT","ONT","MA_QH","NTD")</f>
        <v>0</v>
      </c>
      <c r="AX44" s="22">
        <f ca="1">+GETPIVOTDATA("XKL4",'kimlong (2016)'!$A$3,"MA_HT","ONT","MA_QH","SKX")</f>
        <v>0</v>
      </c>
      <c r="AY44" s="22">
        <f ca="1">+GETPIVOTDATA("XKL4",'kimlong (2016)'!$A$3,"MA_HT","ONT","MA_QH","DSH")</f>
        <v>0</v>
      </c>
      <c r="AZ44" s="22">
        <f ca="1">+GETPIVOTDATA("XKL4",'kimlong (2016)'!$A$3,"MA_HT","ONT","MA_QH","DKV")</f>
        <v>0</v>
      </c>
      <c r="BA44" s="89">
        <f ca="1">+GETPIVOTDATA("XKL4",'kimlong (2016)'!$A$3,"MA_HT","ONT","MA_QH","TIN")</f>
        <v>0</v>
      </c>
      <c r="BB44" s="50">
        <f ca="1">+GETPIVOTDATA("XKL4",'kimlong (2016)'!$A$3,"MA_HT","ONT","MA_QH","SON")</f>
        <v>0</v>
      </c>
      <c r="BC44" s="50">
        <f ca="1">+GETPIVOTDATA("XKL4",'kimlong (2016)'!$A$3,"MA_HT","ONT","MA_QH","MNC")</f>
        <v>0</v>
      </c>
      <c r="BD44" s="22">
        <f ca="1">+GETPIVOTDATA("XKL4",'kimlong (2016)'!$A$3,"MA_HT","ONT","MA_QH","PNK")</f>
        <v>0</v>
      </c>
      <c r="BE44" s="71">
        <f ca="1">+GETPIVOTDATA("XKL4",'kimlong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+GETPIVOTDATA("XKL4",'kimlong (2016)'!$A$3,"MA_HT","ODT","MA_QH","LUC")</f>
        <v>0</v>
      </c>
      <c r="H45" s="67">
        <f ca="1">+GETPIVOTDATA("XKL4",'kimlong (2016)'!$A$3,"MA_HT","ODT","MA_QH","LUK")</f>
        <v>0</v>
      </c>
      <c r="I45" s="67">
        <f ca="1">+GETPIVOTDATA("XKL4",'kimlong (2016)'!$A$3,"MA_HT","ODT","MA_QH","LUN")</f>
        <v>0</v>
      </c>
      <c r="J45" s="67">
        <f ca="1">+GETPIVOTDATA("XKL4",'kimlong (2016)'!$A$3,"MA_HT","ODT","MA_QH","HNK")</f>
        <v>0</v>
      </c>
      <c r="K45" s="67">
        <f ca="1">+GETPIVOTDATA("XKL4",'kimlong (2016)'!$A$3,"MA_HT","ODT","MA_QH","CLN")</f>
        <v>0</v>
      </c>
      <c r="L45" s="67">
        <f ca="1">+GETPIVOTDATA("XKL4",'kimlong (2016)'!$A$3,"MA_HT","ODT","MA_QH","RSX")</f>
        <v>0</v>
      </c>
      <c r="M45" s="67">
        <f ca="1">+GETPIVOTDATA("XKL4",'kimlong (2016)'!$A$3,"MA_HT","ODT","MA_QH","RPH")</f>
        <v>0</v>
      </c>
      <c r="N45" s="67">
        <f ca="1">+GETPIVOTDATA("XKL4",'kimlong (2016)'!$A$3,"MA_HT","ODT","MA_QH","RDD")</f>
        <v>0</v>
      </c>
      <c r="O45" s="67">
        <f ca="1">+GETPIVOTDATA("XKL4",'kimlong (2016)'!$A$3,"MA_HT","ODT","MA_QH","NTS")</f>
        <v>0</v>
      </c>
      <c r="P45" s="67">
        <f ca="1">+GETPIVOTDATA("XKL4",'kimlong (2016)'!$A$3,"MA_HT","ODT","MA_QH","LMU")</f>
        <v>0</v>
      </c>
      <c r="Q45" s="67">
        <f ca="1">+GETPIVOTDATA("XKL4",'kimlong (2016)'!$A$3,"MA_HT","ODT","MA_QH","NKH")</f>
        <v>0</v>
      </c>
      <c r="R45" s="79">
        <f ca="1">SUM(S45:AA45,AN45:AQ45,AS45:BD45)</f>
        <v>0</v>
      </c>
      <c r="S45" s="67">
        <f ca="1">+GETPIVOTDATA("XKL4",'kimlong (2016)'!$A$3,"MA_HT","ODT","MA_QH","CQP")</f>
        <v>0</v>
      </c>
      <c r="T45" s="67">
        <f ca="1">+GETPIVOTDATA("XKL4",'kimlong (2016)'!$A$3,"MA_HT","ODT","MA_QH","CAN")</f>
        <v>0</v>
      </c>
      <c r="U45" s="67">
        <f ca="1">+GETPIVOTDATA("XKL4",'kimlong (2016)'!$A$3,"MA_HT","ODT","MA_QH","SKK")</f>
        <v>0</v>
      </c>
      <c r="V45" s="67">
        <f ca="1">+GETPIVOTDATA("XKL4",'kimlong (2016)'!$A$3,"MA_HT","ODT","MA_QH","SKT")</f>
        <v>0</v>
      </c>
      <c r="W45" s="67">
        <f ca="1">+GETPIVOTDATA("XKL4",'kimlong (2016)'!$A$3,"MA_HT","ODT","MA_QH","SKN")</f>
        <v>0</v>
      </c>
      <c r="X45" s="67">
        <f ca="1">+GETPIVOTDATA("XKL4",'kimlong (2016)'!$A$3,"MA_HT","ODT","MA_QH","TMD")</f>
        <v>0</v>
      </c>
      <c r="Y45" s="67">
        <f ca="1">+GETPIVOTDATA("XKL4",'kimlong (2016)'!$A$3,"MA_HT","ODT","MA_QH","SKC")</f>
        <v>0</v>
      </c>
      <c r="Z45" s="67">
        <f ca="1">+GETPIVOTDATA("XKL4",'kimlong (2016)'!$A$3,"MA_HT","ODT","MA_QH","SKS")</f>
        <v>0</v>
      </c>
      <c r="AA45" s="66">
        <f ca="1" t="shared" si="21"/>
        <v>0</v>
      </c>
      <c r="AB45" s="67">
        <f ca="1">+GETPIVOTDATA("XKL4",'kimlong (2016)'!$A$3,"MA_HT","ODT","MA_QH","DGT")</f>
        <v>0</v>
      </c>
      <c r="AC45" s="67">
        <f ca="1">+GETPIVOTDATA("XKL4",'kimlong (2016)'!$A$3,"MA_HT","ODT","MA_QH","DTL")</f>
        <v>0</v>
      </c>
      <c r="AD45" s="67">
        <f ca="1">+GETPIVOTDATA("XKL4",'kimlong (2016)'!$A$3,"MA_HT","ODT","MA_QH","DNL")</f>
        <v>0</v>
      </c>
      <c r="AE45" s="67">
        <f ca="1">+GETPIVOTDATA("XKL4",'kimlong (2016)'!$A$3,"MA_HT","ODT","MA_QH","DBV")</f>
        <v>0</v>
      </c>
      <c r="AF45" s="67">
        <f ca="1">+GETPIVOTDATA("XKL4",'kimlong (2016)'!$A$3,"MA_HT","ODT","MA_QH","DVH")</f>
        <v>0</v>
      </c>
      <c r="AG45" s="67">
        <f ca="1">+GETPIVOTDATA("XKL4",'kimlong (2016)'!$A$3,"MA_HT","ODT","MA_QH","DYT")</f>
        <v>0</v>
      </c>
      <c r="AH45" s="67">
        <f ca="1">+GETPIVOTDATA("XKL4",'kimlong (2016)'!$A$3,"MA_HT","ODT","MA_QH","DGD")</f>
        <v>0</v>
      </c>
      <c r="AI45" s="67">
        <f ca="1">+GETPIVOTDATA("XKL4",'kimlong (2016)'!$A$3,"MA_HT","ODT","MA_QH","DTT")</f>
        <v>0</v>
      </c>
      <c r="AJ45" s="67">
        <f ca="1">+GETPIVOTDATA("XKL4",'kimlong (2016)'!$A$3,"MA_HT","ODT","MA_QH","NCK")</f>
        <v>0</v>
      </c>
      <c r="AK45" s="67">
        <f ca="1">+GETPIVOTDATA("XKL4",'kimlong (2016)'!$A$3,"MA_HT","ODT","MA_QH","DXH")</f>
        <v>0</v>
      </c>
      <c r="AL45" s="67">
        <f ca="1">+GETPIVOTDATA("XKL4",'kimlong (2016)'!$A$3,"MA_HT","ODT","MA_QH","DCH")</f>
        <v>0</v>
      </c>
      <c r="AM45" s="67">
        <f ca="1">+GETPIVOTDATA("XKL4",'kimlong (2016)'!$A$3,"MA_HT","ODT","MA_QH","DKG")</f>
        <v>0</v>
      </c>
      <c r="AN45" s="67">
        <f ca="1">+GETPIVOTDATA("XKL4",'kimlong (2016)'!$A$3,"MA_HT","ODT","MA_QH","DDT")</f>
        <v>0</v>
      </c>
      <c r="AO45" s="67">
        <f ca="1">+GETPIVOTDATA("XKL4",'kimlong (2016)'!$A$3,"MA_HT","ODT","MA_QH","DDL")</f>
        <v>0</v>
      </c>
      <c r="AP45" s="67">
        <f ca="1">+GETPIVOTDATA("XKL4",'kimlong (2016)'!$A$3,"MA_HT","ODT","MA_QH","DRA")</f>
        <v>0</v>
      </c>
      <c r="AQ45" s="67">
        <f ca="1">+GETPIVOTDATA("XKL4",'kimlong (2016)'!$A$3,"MA_HT","ODT","MA_QH","ONT")</f>
        <v>0</v>
      </c>
      <c r="AR45" s="82" t="e">
        <f ca="1">$D45-$BF45</f>
        <v>#REF!</v>
      </c>
      <c r="AS45" s="67">
        <f ca="1">+GETPIVOTDATA("XKL4",'kimlong (2016)'!$A$3,"MA_HT","ODT","MA_QH","TSC")</f>
        <v>0</v>
      </c>
      <c r="AT45" s="67">
        <f ca="1">+GETPIVOTDATA("XKL4",'kimlong (2016)'!$A$3,"MA_HT","ODT","MA_QH","DTS")</f>
        <v>0</v>
      </c>
      <c r="AU45" s="67">
        <f ca="1">+GETPIVOTDATA("XKL4",'kimlong (2016)'!$A$3,"MA_HT","ODT","MA_QH","DNG")</f>
        <v>0</v>
      </c>
      <c r="AV45" s="67">
        <f ca="1">+GETPIVOTDATA("XKL4",'kimlong (2016)'!$A$3,"MA_HT","ODT","MA_QH","TON")</f>
        <v>0</v>
      </c>
      <c r="AW45" s="67">
        <f ca="1">+GETPIVOTDATA("XKL4",'kimlong (2016)'!$A$3,"MA_HT","ODT","MA_QH","NTD")</f>
        <v>0</v>
      </c>
      <c r="AX45" s="67">
        <f ca="1">+GETPIVOTDATA("XKL4",'kimlong (2016)'!$A$3,"MA_HT","ODT","MA_QH","SKX")</f>
        <v>0</v>
      </c>
      <c r="AY45" s="67">
        <f ca="1">+GETPIVOTDATA("XKL4",'kimlong (2016)'!$A$3,"MA_HT","ODT","MA_QH","DSH")</f>
        <v>0</v>
      </c>
      <c r="AZ45" s="67">
        <f ca="1">+GETPIVOTDATA("XKL4",'kimlong (2016)'!$A$3,"MA_HT","ODT","MA_QH","DKV")</f>
        <v>0</v>
      </c>
      <c r="BA45" s="92">
        <f ca="1">+GETPIVOTDATA("XKL4",'kimlong (2016)'!$A$3,"MA_HT","ODT","MA_QH","TIN")</f>
        <v>0</v>
      </c>
      <c r="BB45" s="93">
        <f ca="1">+GETPIVOTDATA("XKL4",'kimlong (2016)'!$A$3,"MA_HT","ODT","MA_QH","SON")</f>
        <v>0</v>
      </c>
      <c r="BC45" s="93">
        <f ca="1">+GETPIVOTDATA("XKL4",'kimlong (2016)'!$A$3,"MA_HT","ODT","MA_QH","MNC")</f>
        <v>0</v>
      </c>
      <c r="BD45" s="67">
        <f ca="1">+GETPIVOTDATA("XKL4",'kimlong (2016)'!$A$3,"MA_HT","ODT","MA_QH","PNK")</f>
        <v>0</v>
      </c>
      <c r="BE45" s="116">
        <f ca="1">+GETPIVOTDATA("XKL4",'kimlong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+GETPIVOTDATA("XKL4",'kimlong (2016)'!$A$3,"MA_HT","TSC","MA_QH","LUC")</f>
        <v>0</v>
      </c>
      <c r="H46" s="22">
        <f ca="1">+GETPIVOTDATA("XKL4",'kimlong (2016)'!$A$3,"MA_HT","TSC","MA_QH","LUK")</f>
        <v>0</v>
      </c>
      <c r="I46" s="22">
        <f ca="1">+GETPIVOTDATA("XKL4",'kimlong (2016)'!$A$3,"MA_HT","TSC","MA_QH","LUN")</f>
        <v>0</v>
      </c>
      <c r="J46" s="22">
        <f ca="1">+GETPIVOTDATA("XKL4",'kimlong (2016)'!$A$3,"MA_HT","TSC","MA_QH","HNK")</f>
        <v>0</v>
      </c>
      <c r="K46" s="22">
        <f ca="1">+GETPIVOTDATA("XKL4",'kimlong (2016)'!$A$3,"MA_HT","TSC","MA_QH","CLN")</f>
        <v>0</v>
      </c>
      <c r="L46" s="22">
        <f ca="1">+GETPIVOTDATA("XKL4",'kimlong (2016)'!$A$3,"MA_HT","TSC","MA_QH","RSX")</f>
        <v>0</v>
      </c>
      <c r="M46" s="22">
        <f ca="1">+GETPIVOTDATA("XKL4",'kimlong (2016)'!$A$3,"MA_HT","TSC","MA_QH","RPH")</f>
        <v>0</v>
      </c>
      <c r="N46" s="22">
        <f ca="1">+GETPIVOTDATA("XKL4",'kimlong (2016)'!$A$3,"MA_HT","TSC","MA_QH","RDD")</f>
        <v>0</v>
      </c>
      <c r="O46" s="22">
        <f ca="1">+GETPIVOTDATA("XKL4",'kimlong (2016)'!$A$3,"MA_HT","TSC","MA_QH","NTS")</f>
        <v>0</v>
      </c>
      <c r="P46" s="22">
        <f ca="1">+GETPIVOTDATA("XKL4",'kimlong (2016)'!$A$3,"MA_HT","TSC","MA_QH","LMU")</f>
        <v>0</v>
      </c>
      <c r="Q46" s="22">
        <f ca="1">+GETPIVOTDATA("XKL4",'kimlong (2016)'!$A$3,"MA_HT","TSC","MA_QH","NKH")</f>
        <v>0</v>
      </c>
      <c r="R46" s="48">
        <f ca="1">SUM(S46:AA46,AN46:AR46,AT46:BD46)</f>
        <v>0</v>
      </c>
      <c r="S46" s="22">
        <f ca="1">+GETPIVOTDATA("XKL4",'kimlong (2016)'!$A$3,"MA_HT","TSC","MA_QH","CQP")</f>
        <v>0</v>
      </c>
      <c r="T46" s="22">
        <f ca="1">+GETPIVOTDATA("XKL4",'kimlong (2016)'!$A$3,"MA_HT","TSC","MA_QH","CAN")</f>
        <v>0</v>
      </c>
      <c r="U46" s="22">
        <f ca="1">+GETPIVOTDATA("XKL4",'kimlong (2016)'!$A$3,"MA_HT","TSC","MA_QH","SKK")</f>
        <v>0</v>
      </c>
      <c r="V46" s="22">
        <f ca="1">+GETPIVOTDATA("XKL4",'kimlong (2016)'!$A$3,"MA_HT","TSC","MA_QH","SKT")</f>
        <v>0</v>
      </c>
      <c r="W46" s="22">
        <f ca="1">+GETPIVOTDATA("XKL4",'kimlong (2016)'!$A$3,"MA_HT","TSC","MA_QH","SKN")</f>
        <v>0</v>
      </c>
      <c r="X46" s="22">
        <f ca="1">+GETPIVOTDATA("XKL4",'kimlong (2016)'!$A$3,"MA_HT","TSC","MA_QH","TMD")</f>
        <v>0</v>
      </c>
      <c r="Y46" s="22">
        <f ca="1">+GETPIVOTDATA("XKL4",'kimlong (2016)'!$A$3,"MA_HT","TSC","MA_QH","SKC")</f>
        <v>0</v>
      </c>
      <c r="Z46" s="22">
        <f ca="1">+GETPIVOTDATA("XKL4",'kimlong (2016)'!$A$3,"MA_HT","TSC","MA_QH","SKS")</f>
        <v>0</v>
      </c>
      <c r="AA46" s="52">
        <f ca="1" t="shared" si="21"/>
        <v>0</v>
      </c>
      <c r="AB46" s="22">
        <f ca="1">+GETPIVOTDATA("XKL4",'kimlong (2016)'!$A$3,"MA_HT","TSC","MA_QH","DGT")</f>
        <v>0</v>
      </c>
      <c r="AC46" s="22">
        <f ca="1">+GETPIVOTDATA("XKL4",'kimlong (2016)'!$A$3,"MA_HT","TSC","MA_QH","DTL")</f>
        <v>0</v>
      </c>
      <c r="AD46" s="22">
        <f ca="1">+GETPIVOTDATA("XKL4",'kimlong (2016)'!$A$3,"MA_HT","TSC","MA_QH","DNL")</f>
        <v>0</v>
      </c>
      <c r="AE46" s="22">
        <f ca="1">+GETPIVOTDATA("XKL4",'kimlong (2016)'!$A$3,"MA_HT","TSC","MA_QH","DBV")</f>
        <v>0</v>
      </c>
      <c r="AF46" s="22">
        <f ca="1">+GETPIVOTDATA("XKL4",'kimlong (2016)'!$A$3,"MA_HT","TSC","MA_QH","DVH")</f>
        <v>0</v>
      </c>
      <c r="AG46" s="22">
        <f ca="1">+GETPIVOTDATA("XKL4",'kimlong (2016)'!$A$3,"MA_HT","TSC","MA_QH","DYT")</f>
        <v>0</v>
      </c>
      <c r="AH46" s="22">
        <f ca="1">+GETPIVOTDATA("XKL4",'kimlong (2016)'!$A$3,"MA_HT","TSC","MA_QH","DGD")</f>
        <v>0</v>
      </c>
      <c r="AI46" s="22">
        <f ca="1">+GETPIVOTDATA("XKL4",'kimlong (2016)'!$A$3,"MA_HT","TSC","MA_QH","DTT")</f>
        <v>0</v>
      </c>
      <c r="AJ46" s="22">
        <f ca="1">+GETPIVOTDATA("XKL4",'kimlong (2016)'!$A$3,"MA_HT","TSC","MA_QH","NCK")</f>
        <v>0</v>
      </c>
      <c r="AK46" s="22">
        <f ca="1">+GETPIVOTDATA("XKL4",'kimlong (2016)'!$A$3,"MA_HT","TSC","MA_QH","DXH")</f>
        <v>0</v>
      </c>
      <c r="AL46" s="22">
        <f ca="1">+GETPIVOTDATA("XKL4",'kimlong (2016)'!$A$3,"MA_HT","TSC","MA_QH","DCH")</f>
        <v>0</v>
      </c>
      <c r="AM46" s="22">
        <f ca="1">+GETPIVOTDATA("XKL4",'kimlong (2016)'!$A$3,"MA_HT","TSC","MA_QH","DKG")</f>
        <v>0</v>
      </c>
      <c r="AN46" s="22">
        <f ca="1">+GETPIVOTDATA("XKL4",'kimlong (2016)'!$A$3,"MA_HT","TSC","MA_QH","DDT")</f>
        <v>0</v>
      </c>
      <c r="AO46" s="22">
        <f ca="1">+GETPIVOTDATA("XKL4",'kimlong (2016)'!$A$3,"MA_HT","TSC","MA_QH","DDL")</f>
        <v>0</v>
      </c>
      <c r="AP46" s="22">
        <f ca="1">+GETPIVOTDATA("XKL4",'kimlong (2016)'!$A$3,"MA_HT","TSC","MA_QH","DRA")</f>
        <v>0</v>
      </c>
      <c r="AQ46" s="22">
        <f ca="1">+GETPIVOTDATA("XKL4",'kimlong (2016)'!$A$3,"MA_HT","TSC","MA_QH","ONT")</f>
        <v>0</v>
      </c>
      <c r="AR46" s="22">
        <f ca="1">+GETPIVOTDATA("XKL4",'kimlong (2016)'!$A$3,"MA_HT","TSC","MA_QH","ODT")</f>
        <v>0</v>
      </c>
      <c r="AS46" s="43" t="e">
        <f ca="1">$D46-$BF46</f>
        <v>#REF!</v>
      </c>
      <c r="AT46" s="22">
        <f ca="1">+GETPIVOTDATA("XKL4",'kimlong (2016)'!$A$3,"MA_HT","TSC","MA_QH","DTS")</f>
        <v>0</v>
      </c>
      <c r="AU46" s="22">
        <f ca="1">+GETPIVOTDATA("XKL4",'kimlong (2016)'!$A$3,"MA_HT","TSC","MA_QH","DNG")</f>
        <v>0</v>
      </c>
      <c r="AV46" s="22">
        <f ca="1">+GETPIVOTDATA("XKL4",'kimlong (2016)'!$A$3,"MA_HT","TSC","MA_QH","TON")</f>
        <v>0</v>
      </c>
      <c r="AW46" s="22">
        <f ca="1">+GETPIVOTDATA("XKL4",'kimlong (2016)'!$A$3,"MA_HT","TSC","MA_QH","NTD")</f>
        <v>0</v>
      </c>
      <c r="AX46" s="22">
        <f ca="1">+GETPIVOTDATA("XKL4",'kimlong (2016)'!$A$3,"MA_HT","TSC","MA_QH","SKX")</f>
        <v>0</v>
      </c>
      <c r="AY46" s="22">
        <f ca="1">+GETPIVOTDATA("XKL4",'kimlong (2016)'!$A$3,"MA_HT","TSC","MA_QH","DSH")</f>
        <v>0</v>
      </c>
      <c r="AZ46" s="22">
        <f ca="1">+GETPIVOTDATA("XKL4",'kimlong (2016)'!$A$3,"MA_HT","TSC","MA_QH","DKV")</f>
        <v>0</v>
      </c>
      <c r="BA46" s="89">
        <f ca="1">+GETPIVOTDATA("XKL4",'kimlong (2016)'!$A$3,"MA_HT","TSC","MA_QH","TIN")</f>
        <v>0</v>
      </c>
      <c r="BB46" s="50">
        <f ca="1">+GETPIVOTDATA("XKL4",'kimlong (2016)'!$A$3,"MA_HT","TSC","MA_QH","SON")</f>
        <v>0</v>
      </c>
      <c r="BC46" s="50">
        <f ca="1">+GETPIVOTDATA("XKL4",'kimlong (2016)'!$A$3,"MA_HT","TSC","MA_QH","MNC")</f>
        <v>0</v>
      </c>
      <c r="BD46" s="22">
        <f ca="1">+GETPIVOTDATA("XKL4",'kimlong (2016)'!$A$3,"MA_HT","TSC","MA_QH","PNK")</f>
        <v>0</v>
      </c>
      <c r="BE46" s="71">
        <f ca="1">+GETPIVOTDATA("XKL4",'kimlong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+GETPIVOTDATA("XKL4",'kimlong (2016)'!$A$3,"MA_HT","DTS","MA_QH","LUC")</f>
        <v>0</v>
      </c>
      <c r="H47" s="60">
        <f ca="1">+GETPIVOTDATA("XKL4",'kimlong (2016)'!$A$3,"MA_HT","DTS","MA_QH","LUK")</f>
        <v>0</v>
      </c>
      <c r="I47" s="60">
        <f ca="1">+GETPIVOTDATA("XKL4",'kimlong (2016)'!$A$3,"MA_HT","DTS","MA_QH","LUN")</f>
        <v>0</v>
      </c>
      <c r="J47" s="60">
        <f ca="1">+GETPIVOTDATA("XKL4",'kimlong (2016)'!$A$3,"MA_HT","DTS","MA_QH","HNK")</f>
        <v>0</v>
      </c>
      <c r="K47" s="60">
        <f ca="1">+GETPIVOTDATA("XKL4",'kimlong (2016)'!$A$3,"MA_HT","DTS","MA_QH","CLN")</f>
        <v>0</v>
      </c>
      <c r="L47" s="60">
        <f ca="1">+GETPIVOTDATA("XKL4",'kimlong (2016)'!$A$3,"MA_HT","DTS","MA_QH","RSX")</f>
        <v>0</v>
      </c>
      <c r="M47" s="60">
        <f ca="1">+GETPIVOTDATA("XKL4",'kimlong (2016)'!$A$3,"MA_HT","DTS","MA_QH","RPH")</f>
        <v>0</v>
      </c>
      <c r="N47" s="60">
        <f ca="1">+GETPIVOTDATA("XKL4",'kimlong (2016)'!$A$3,"MA_HT","DTS","MA_QH","RDD")</f>
        <v>0</v>
      </c>
      <c r="O47" s="60">
        <f ca="1">+GETPIVOTDATA("XKL4",'kimlong (2016)'!$A$3,"MA_HT","DTS","MA_QH","NTS")</f>
        <v>0</v>
      </c>
      <c r="P47" s="60">
        <f ca="1">+GETPIVOTDATA("XKL4",'kimlong (2016)'!$A$3,"MA_HT","DTS","MA_QH","LMU")</f>
        <v>0</v>
      </c>
      <c r="Q47" s="60">
        <f ca="1">+GETPIVOTDATA("XKL4",'kimlong (2016)'!$A$3,"MA_HT","DTS","MA_QH","NKH")</f>
        <v>0</v>
      </c>
      <c r="R47" s="78">
        <f ca="1">SUM(S47:AA47,AN47:AS47,AU47:BD47)</f>
        <v>0</v>
      </c>
      <c r="S47" s="60">
        <f ca="1">+GETPIVOTDATA("XKL4",'kimlong (2016)'!$A$3,"MA_HT","DTS","MA_QH","CQP")</f>
        <v>0</v>
      </c>
      <c r="T47" s="60">
        <f ca="1">+GETPIVOTDATA("XKL4",'kimlong (2016)'!$A$3,"MA_HT","DTS","MA_QH","CAN")</f>
        <v>0</v>
      </c>
      <c r="U47" s="60">
        <f ca="1">+GETPIVOTDATA("XKL4",'kimlong (2016)'!$A$3,"MA_HT","DTS","MA_QH","SKK")</f>
        <v>0</v>
      </c>
      <c r="V47" s="60">
        <f ca="1">+GETPIVOTDATA("XKL4",'kimlong (2016)'!$A$3,"MA_HT","DTS","MA_QH","SKT")</f>
        <v>0</v>
      </c>
      <c r="W47" s="60">
        <f ca="1">+GETPIVOTDATA("XKL4",'kimlong (2016)'!$A$3,"MA_HT","DTS","MA_QH","SKN")</f>
        <v>0</v>
      </c>
      <c r="X47" s="60">
        <f ca="1">+GETPIVOTDATA("XKL4",'kimlong (2016)'!$A$3,"MA_HT","DTS","MA_QH","TMD")</f>
        <v>0</v>
      </c>
      <c r="Y47" s="60">
        <f ca="1">+GETPIVOTDATA("XKL4",'kimlong (2016)'!$A$3,"MA_HT","DTS","MA_QH","SKC")</f>
        <v>0</v>
      </c>
      <c r="Z47" s="60">
        <f ca="1">+GETPIVOTDATA("XKL4",'kimlong (2016)'!$A$3,"MA_HT","DTS","MA_QH","SKS")</f>
        <v>0</v>
      </c>
      <c r="AA47" s="59">
        <f ca="1" t="shared" si="21"/>
        <v>0</v>
      </c>
      <c r="AB47" s="60">
        <f ca="1">+GETPIVOTDATA("XKL4",'kimlong (2016)'!$A$3,"MA_HT","DTS","MA_QH","DGT")</f>
        <v>0</v>
      </c>
      <c r="AC47" s="60">
        <f ca="1">+GETPIVOTDATA("XKL4",'kimlong (2016)'!$A$3,"MA_HT","DTS","MA_QH","DTL")</f>
        <v>0</v>
      </c>
      <c r="AD47" s="60">
        <f ca="1">+GETPIVOTDATA("XKL4",'kimlong (2016)'!$A$3,"MA_HT","DTS","MA_QH","DNL")</f>
        <v>0</v>
      </c>
      <c r="AE47" s="60">
        <f ca="1">+GETPIVOTDATA("XKL4",'kimlong (2016)'!$A$3,"MA_HT","DTS","MA_QH","DBV")</f>
        <v>0</v>
      </c>
      <c r="AF47" s="60">
        <f ca="1">+GETPIVOTDATA("XKL4",'kimlong (2016)'!$A$3,"MA_HT","DTS","MA_QH","DVH")</f>
        <v>0</v>
      </c>
      <c r="AG47" s="60">
        <f ca="1">+GETPIVOTDATA("XKL4",'kimlong (2016)'!$A$3,"MA_HT","DTS","MA_QH","DYT")</f>
        <v>0</v>
      </c>
      <c r="AH47" s="60">
        <f ca="1">+GETPIVOTDATA("XKL4",'kimlong (2016)'!$A$3,"MA_HT","DTS","MA_QH","DGD")</f>
        <v>0</v>
      </c>
      <c r="AI47" s="60">
        <f ca="1">+GETPIVOTDATA("XKL4",'kimlong (2016)'!$A$3,"MA_HT","DTS","MA_QH","DTT")</f>
        <v>0</v>
      </c>
      <c r="AJ47" s="60">
        <f ca="1">+GETPIVOTDATA("XKL4",'kimlong (2016)'!$A$3,"MA_HT","DTS","MA_QH","NCK")</f>
        <v>0</v>
      </c>
      <c r="AK47" s="60">
        <f ca="1">+GETPIVOTDATA("XKL4",'kimlong (2016)'!$A$3,"MA_HT","DTS","MA_QH","DXH")</f>
        <v>0</v>
      </c>
      <c r="AL47" s="60">
        <f ca="1">+GETPIVOTDATA("XKL4",'kimlong (2016)'!$A$3,"MA_HT","DTS","MA_QH","DCH")</f>
        <v>0</v>
      </c>
      <c r="AM47" s="60">
        <f ca="1">+GETPIVOTDATA("XKL4",'kimlong (2016)'!$A$3,"MA_HT","DTS","MA_QH","DKG")</f>
        <v>0</v>
      </c>
      <c r="AN47" s="60">
        <f ca="1">+GETPIVOTDATA("XKL4",'kimlong (2016)'!$A$3,"MA_HT","DTS","MA_QH","DDT")</f>
        <v>0</v>
      </c>
      <c r="AO47" s="60">
        <f ca="1">+GETPIVOTDATA("XKL4",'kimlong (2016)'!$A$3,"MA_HT","DTS","MA_QH","DDL")</f>
        <v>0</v>
      </c>
      <c r="AP47" s="60">
        <f ca="1">+GETPIVOTDATA("XKL4",'kimlong (2016)'!$A$3,"MA_HT","DTS","MA_QH","DRA")</f>
        <v>0</v>
      </c>
      <c r="AQ47" s="60">
        <f ca="1">+GETPIVOTDATA("XKL4",'kimlong (2016)'!$A$3,"MA_HT","DTS","MA_QH","ONT")</f>
        <v>0</v>
      </c>
      <c r="AR47" s="60">
        <f ca="1">+GETPIVOTDATA("XKL4",'kimlong (2016)'!$A$3,"MA_HT","DTS","MA_QH","ODT")</f>
        <v>0</v>
      </c>
      <c r="AS47" s="60">
        <f ca="1">+GETPIVOTDATA("XKL4",'kimlong (2016)'!$A$3,"MA_HT","DTS","MA_QH","TSC")</f>
        <v>0</v>
      </c>
      <c r="AT47" s="81" t="e">
        <f ca="1">$D47-$BF47</f>
        <v>#REF!</v>
      </c>
      <c r="AU47" s="60">
        <f ca="1">+GETPIVOTDATA("XKL4",'kimlong (2016)'!$A$3,"MA_HT","DTS","MA_QH","DNG")</f>
        <v>0</v>
      </c>
      <c r="AV47" s="60">
        <f ca="1">+GETPIVOTDATA("XKL4",'kimlong (2016)'!$A$3,"MA_HT","DTS","MA_QH","TON")</f>
        <v>0</v>
      </c>
      <c r="AW47" s="60">
        <f ca="1">+GETPIVOTDATA("XKL4",'kimlong (2016)'!$A$3,"MA_HT","DTS","MA_QH","NTD")</f>
        <v>0</v>
      </c>
      <c r="AX47" s="60">
        <f ca="1">+GETPIVOTDATA("XKL4",'kimlong (2016)'!$A$3,"MA_HT","DTS","MA_QH","SKX")</f>
        <v>0</v>
      </c>
      <c r="AY47" s="60">
        <f ca="1">+GETPIVOTDATA("XKL4",'kimlong (2016)'!$A$3,"MA_HT","DTS","MA_QH","DSH")</f>
        <v>0</v>
      </c>
      <c r="AZ47" s="60">
        <f ca="1">+GETPIVOTDATA("XKL4",'kimlong (2016)'!$A$3,"MA_HT","DTS","MA_QH","DKV")</f>
        <v>0</v>
      </c>
      <c r="BA47" s="90">
        <f ca="1">+GETPIVOTDATA("XKL4",'kimlong (2016)'!$A$3,"MA_HT","DTS","MA_QH","TIN")</f>
        <v>0</v>
      </c>
      <c r="BB47" s="91">
        <f ca="1">+GETPIVOTDATA("XKL4",'kimlong (2016)'!$A$3,"MA_HT","DTS","MA_QH","SON")</f>
        <v>0</v>
      </c>
      <c r="BC47" s="91">
        <f ca="1">+GETPIVOTDATA("XKL4",'kimlong (2016)'!$A$3,"MA_HT","DTS","MA_QH","MNC")</f>
        <v>0</v>
      </c>
      <c r="BD47" s="60">
        <f ca="1">+GETPIVOTDATA("XKL4",'kimlong (2016)'!$A$3,"MA_HT","DTS","MA_QH","PNK")</f>
        <v>0</v>
      </c>
      <c r="BE47" s="111">
        <f ca="1">+GETPIVOTDATA("XKL4",'kimlong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+GETPIVOTDATA("XKL4",'kimlong (2016)'!$A$3,"MA_HT","DNG","MA_QH","LUC")</f>
        <v>0</v>
      </c>
      <c r="H48" s="22">
        <f ca="1">+GETPIVOTDATA("XKL4",'kimlong (2016)'!$A$3,"MA_HT","DNG","MA_QH","LUK")</f>
        <v>0</v>
      </c>
      <c r="I48" s="22">
        <f ca="1">+GETPIVOTDATA("XKL4",'kimlong (2016)'!$A$3,"MA_HT","DNG","MA_QH","LUN")</f>
        <v>0</v>
      </c>
      <c r="J48" s="22">
        <f ca="1">+GETPIVOTDATA("XKL4",'kimlong (2016)'!$A$3,"MA_HT","DNG","MA_QH","HNK")</f>
        <v>0</v>
      </c>
      <c r="K48" s="22">
        <f ca="1">+GETPIVOTDATA("XKL4",'kimlong (2016)'!$A$3,"MA_HT","DNG","MA_QH","CLN")</f>
        <v>0</v>
      </c>
      <c r="L48" s="22">
        <f ca="1">+GETPIVOTDATA("XKL4",'kimlong (2016)'!$A$3,"MA_HT","DNG","MA_QH","RSX")</f>
        <v>0</v>
      </c>
      <c r="M48" s="22">
        <f ca="1">+GETPIVOTDATA("XKL4",'kimlong (2016)'!$A$3,"MA_HT","DNG","MA_QH","RPH")</f>
        <v>0</v>
      </c>
      <c r="N48" s="22">
        <f ca="1">+GETPIVOTDATA("XKL4",'kimlong (2016)'!$A$3,"MA_HT","DNG","MA_QH","RDD")</f>
        <v>0</v>
      </c>
      <c r="O48" s="22">
        <f ca="1">+GETPIVOTDATA("XKL4",'kimlong (2016)'!$A$3,"MA_HT","DNG","MA_QH","NTS")</f>
        <v>0</v>
      </c>
      <c r="P48" s="22">
        <f ca="1">+GETPIVOTDATA("XKL4",'kimlong (2016)'!$A$3,"MA_HT","DNG","MA_QH","LMU")</f>
        <v>0</v>
      </c>
      <c r="Q48" s="22">
        <f ca="1">+GETPIVOTDATA("XKL4",'kimlong (2016)'!$A$3,"MA_HT","DNG","MA_QH","NKH")</f>
        <v>0</v>
      </c>
      <c r="R48" s="79">
        <f ca="1">SUM(S48:AA48,AN48:AT48,AV48:BD48)</f>
        <v>0</v>
      </c>
      <c r="S48" s="22">
        <f ca="1">+GETPIVOTDATA("XKL4",'kimlong (2016)'!$A$3,"MA_HT","DNG","MA_QH","CQP")</f>
        <v>0</v>
      </c>
      <c r="T48" s="22">
        <f ca="1">+GETPIVOTDATA("XKL4",'kimlong (2016)'!$A$3,"MA_HT","DNG","MA_QH","CAN")</f>
        <v>0</v>
      </c>
      <c r="U48" s="22">
        <f ca="1">+GETPIVOTDATA("XKL4",'kimlong (2016)'!$A$3,"MA_HT","DNG","MA_QH","SKK")</f>
        <v>0</v>
      </c>
      <c r="V48" s="22">
        <f ca="1">+GETPIVOTDATA("XKL4",'kimlong (2016)'!$A$3,"MA_HT","DNG","MA_QH","SKT")</f>
        <v>0</v>
      </c>
      <c r="W48" s="22">
        <f ca="1">+GETPIVOTDATA("XKL4",'kimlong (2016)'!$A$3,"MA_HT","DNG","MA_QH","SKN")</f>
        <v>0</v>
      </c>
      <c r="X48" s="22">
        <f ca="1">+GETPIVOTDATA("XKL4",'kimlong (2016)'!$A$3,"MA_HT","DNG","MA_QH","TMD")</f>
        <v>0</v>
      </c>
      <c r="Y48" s="22">
        <f ca="1">+GETPIVOTDATA("XKL4",'kimlong (2016)'!$A$3,"MA_HT","DNG","MA_QH","SKC")</f>
        <v>0</v>
      </c>
      <c r="Z48" s="22">
        <f ca="1">+GETPIVOTDATA("XKL4",'kimlong (2016)'!$A$3,"MA_HT","DNG","MA_QH","SKS")</f>
        <v>0</v>
      </c>
      <c r="AA48" s="52">
        <f ca="1" t="shared" si="21"/>
        <v>0</v>
      </c>
      <c r="AB48" s="22">
        <f ca="1">+GETPIVOTDATA("XKL4",'kimlong (2016)'!$A$3,"MA_HT","DNG","MA_QH","DGT")</f>
        <v>0</v>
      </c>
      <c r="AC48" s="22">
        <f ca="1">+GETPIVOTDATA("XKL4",'kimlong (2016)'!$A$3,"MA_HT","DNG","MA_QH","DTL")</f>
        <v>0</v>
      </c>
      <c r="AD48" s="22">
        <f ca="1">+GETPIVOTDATA("XKL4",'kimlong (2016)'!$A$3,"MA_HT","DNG","MA_QH","DNL")</f>
        <v>0</v>
      </c>
      <c r="AE48" s="22">
        <f ca="1">+GETPIVOTDATA("XKL4",'kimlong (2016)'!$A$3,"MA_HT","DNG","MA_QH","DBV")</f>
        <v>0</v>
      </c>
      <c r="AF48" s="22">
        <f ca="1">+GETPIVOTDATA("XKL4",'kimlong (2016)'!$A$3,"MA_HT","DNG","MA_QH","DVH")</f>
        <v>0</v>
      </c>
      <c r="AG48" s="22">
        <f ca="1">+GETPIVOTDATA("XKL4",'kimlong (2016)'!$A$3,"MA_HT","DNG","MA_QH","DYT")</f>
        <v>0</v>
      </c>
      <c r="AH48" s="22">
        <f ca="1">+GETPIVOTDATA("XKL4",'kimlong (2016)'!$A$3,"MA_HT","DNG","MA_QH","DGD")</f>
        <v>0</v>
      </c>
      <c r="AI48" s="22">
        <f ca="1">+GETPIVOTDATA("XKL4",'kimlong (2016)'!$A$3,"MA_HT","DNG","MA_QH","DTT")</f>
        <v>0</v>
      </c>
      <c r="AJ48" s="22">
        <f ca="1">+GETPIVOTDATA("XKL4",'kimlong (2016)'!$A$3,"MA_HT","DNG","MA_QH","NCK")</f>
        <v>0</v>
      </c>
      <c r="AK48" s="22">
        <f ca="1">+GETPIVOTDATA("XKL4",'kimlong (2016)'!$A$3,"MA_HT","DNG","MA_QH","DXH")</f>
        <v>0</v>
      </c>
      <c r="AL48" s="22">
        <f ca="1">+GETPIVOTDATA("XKL4",'kimlong (2016)'!$A$3,"MA_HT","DNG","MA_QH","DCH")</f>
        <v>0</v>
      </c>
      <c r="AM48" s="22">
        <f ca="1">+GETPIVOTDATA("XKL4",'kimlong (2016)'!$A$3,"MA_HT","DNG","MA_QH","DKG")</f>
        <v>0</v>
      </c>
      <c r="AN48" s="22">
        <f ca="1">+GETPIVOTDATA("XKL4",'kimlong (2016)'!$A$3,"MA_HT","DNG","MA_QH","DDT")</f>
        <v>0</v>
      </c>
      <c r="AO48" s="22">
        <f ca="1">+GETPIVOTDATA("XKL4",'kimlong (2016)'!$A$3,"MA_HT","DNG","MA_QH","DDL")</f>
        <v>0</v>
      </c>
      <c r="AP48" s="22">
        <f ca="1">+GETPIVOTDATA("XKL4",'kimlong (2016)'!$A$3,"MA_HT","DNG","MA_QH","DRA")</f>
        <v>0</v>
      </c>
      <c r="AQ48" s="22">
        <f ca="1">+GETPIVOTDATA("XKL4",'kimlong (2016)'!$A$3,"MA_HT","DNG","MA_QH","ONT")</f>
        <v>0</v>
      </c>
      <c r="AR48" s="22">
        <f ca="1">+GETPIVOTDATA("XKL4",'kimlong (2016)'!$A$3,"MA_HT","DNG","MA_QH","ODT")</f>
        <v>0</v>
      </c>
      <c r="AS48" s="22">
        <f ca="1">+GETPIVOTDATA("XKL4",'kimlong (2016)'!$A$3,"MA_HT","DNG","MA_QH","TSC")</f>
        <v>0</v>
      </c>
      <c r="AT48" s="22">
        <f ca="1">+GETPIVOTDATA("XKL4",'kimlong (2016)'!$A$3,"MA_HT","DNG","MA_QH","DTS")</f>
        <v>0</v>
      </c>
      <c r="AU48" s="43" t="e">
        <f ca="1">$D48-$BF48</f>
        <v>#REF!</v>
      </c>
      <c r="AV48" s="22">
        <f ca="1">+GETPIVOTDATA("XKL4",'kimlong (2016)'!$A$3,"MA_HT","DNG","MA_QH","TON")</f>
        <v>0</v>
      </c>
      <c r="AW48" s="22">
        <f ca="1">+GETPIVOTDATA("XKL4",'kimlong (2016)'!$A$3,"MA_HT","DNG","MA_QH","NTD")</f>
        <v>0</v>
      </c>
      <c r="AX48" s="22">
        <f ca="1">+GETPIVOTDATA("XKL4",'kimlong (2016)'!$A$3,"MA_HT","DNG","MA_QH","SKX")</f>
        <v>0</v>
      </c>
      <c r="AY48" s="22">
        <f ca="1">+GETPIVOTDATA("XKL4",'kimlong (2016)'!$A$3,"MA_HT","DNG","MA_QH","DSH")</f>
        <v>0</v>
      </c>
      <c r="AZ48" s="22">
        <f ca="1">+GETPIVOTDATA("XKL4",'kimlong (2016)'!$A$3,"MA_HT","DNG","MA_QH","DKV")</f>
        <v>0</v>
      </c>
      <c r="BA48" s="89">
        <f ca="1">+GETPIVOTDATA("XKL4",'kimlong (2016)'!$A$3,"MA_HT","DNG","MA_QH","TIN")</f>
        <v>0</v>
      </c>
      <c r="BB48" s="50">
        <f ca="1">+GETPIVOTDATA("XKL4",'kimlong (2016)'!$A$3,"MA_HT","DNG","MA_QH","SON")</f>
        <v>0</v>
      </c>
      <c r="BC48" s="50">
        <f ca="1">+GETPIVOTDATA("XKL4",'kimlong (2016)'!$A$3,"MA_HT","DNG","MA_QH","MNC")</f>
        <v>0</v>
      </c>
      <c r="BD48" s="22">
        <f ca="1">+GETPIVOTDATA("XKL4",'kimlong (2016)'!$A$3,"MA_HT","DNG","MA_QH","PNK")</f>
        <v>0</v>
      </c>
      <c r="BE48" s="71">
        <f ca="1">+GETPIVOTDATA("XKL4",'kimlong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+GETPIVOTDATA("XKL4",'kimlong (2016)'!$A$3,"MA_HT","TON","MA_QH","LUC")</f>
        <v>0</v>
      </c>
      <c r="H49" s="22">
        <f ca="1">+GETPIVOTDATA("XKL4",'kimlong (2016)'!$A$3,"MA_HT","TON","MA_QH","LUK")</f>
        <v>0</v>
      </c>
      <c r="I49" s="22">
        <f ca="1">+GETPIVOTDATA("XKL4",'kimlong (2016)'!$A$3,"MA_HT","TON","MA_QH","LUN")</f>
        <v>0</v>
      </c>
      <c r="J49" s="22">
        <f ca="1">+GETPIVOTDATA("XKL4",'kimlong (2016)'!$A$3,"MA_HT","TON","MA_QH","HNK")</f>
        <v>0</v>
      </c>
      <c r="K49" s="22">
        <f ca="1">+GETPIVOTDATA("XKL4",'kimlong (2016)'!$A$3,"MA_HT","TON","MA_QH","CLN")</f>
        <v>0</v>
      </c>
      <c r="L49" s="22">
        <f ca="1">+GETPIVOTDATA("XKL4",'kimlong (2016)'!$A$3,"MA_HT","TON","MA_QH","RSX")</f>
        <v>0</v>
      </c>
      <c r="M49" s="22">
        <f ca="1">+GETPIVOTDATA("XKL4",'kimlong (2016)'!$A$3,"MA_HT","TON","MA_QH","RPH")</f>
        <v>0</v>
      </c>
      <c r="N49" s="22">
        <f ca="1">+GETPIVOTDATA("XKL4",'kimlong (2016)'!$A$3,"MA_HT","TON","MA_QH","RDD")</f>
        <v>0</v>
      </c>
      <c r="O49" s="22">
        <f ca="1">+GETPIVOTDATA("XKL4",'kimlong (2016)'!$A$3,"MA_HT","TON","MA_QH","NTS")</f>
        <v>0</v>
      </c>
      <c r="P49" s="22">
        <f ca="1">+GETPIVOTDATA("XKL4",'kimlong (2016)'!$A$3,"MA_HT","TON","MA_QH","LMU")</f>
        <v>0</v>
      </c>
      <c r="Q49" s="22">
        <f ca="1">+GETPIVOTDATA("XKL4",'kimlong (2016)'!$A$3,"MA_HT","TON","MA_QH","NKH")</f>
        <v>0</v>
      </c>
      <c r="R49" s="79">
        <f ca="1">SUM(S49:AA49,AN49:AU49,AW49:BD49)</f>
        <v>0</v>
      </c>
      <c r="S49" s="22">
        <f ca="1">+GETPIVOTDATA("XKL4",'kimlong (2016)'!$A$3,"MA_HT","TON","MA_QH","CQP")</f>
        <v>0</v>
      </c>
      <c r="T49" s="22">
        <f ca="1">+GETPIVOTDATA("XKL4",'kimlong (2016)'!$A$3,"MA_HT","TON","MA_QH","CAN")</f>
        <v>0</v>
      </c>
      <c r="U49" s="22">
        <f ca="1">+GETPIVOTDATA("XKL4",'kimlong (2016)'!$A$3,"MA_HT","TON","MA_QH","SKK")</f>
        <v>0</v>
      </c>
      <c r="V49" s="22">
        <f ca="1">+GETPIVOTDATA("XKL4",'kimlong (2016)'!$A$3,"MA_HT","TON","MA_QH","SKT")</f>
        <v>0</v>
      </c>
      <c r="W49" s="22">
        <f ca="1">+GETPIVOTDATA("XKL4",'kimlong (2016)'!$A$3,"MA_HT","TON","MA_QH","SKN")</f>
        <v>0</v>
      </c>
      <c r="X49" s="22">
        <f ca="1">+GETPIVOTDATA("XKL4",'kimlong (2016)'!$A$3,"MA_HT","TON","MA_QH","TMD")</f>
        <v>0</v>
      </c>
      <c r="Y49" s="22">
        <f ca="1">+GETPIVOTDATA("XKL4",'kimlong (2016)'!$A$3,"MA_HT","TON","MA_QH","SKC")</f>
        <v>0</v>
      </c>
      <c r="Z49" s="22">
        <f ca="1">+GETPIVOTDATA("XKL4",'kimlong (2016)'!$A$3,"MA_HT","TON","MA_QH","SKS")</f>
        <v>0</v>
      </c>
      <c r="AA49" s="52">
        <f ca="1" t="shared" si="21"/>
        <v>0</v>
      </c>
      <c r="AB49" s="22">
        <f ca="1">+GETPIVOTDATA("XKL4",'kimlong (2016)'!$A$3,"MA_HT","TON","MA_QH","DGT")</f>
        <v>0</v>
      </c>
      <c r="AC49" s="22">
        <f ca="1">+GETPIVOTDATA("XKL4",'kimlong (2016)'!$A$3,"MA_HT","TON","MA_QH","DTL")</f>
        <v>0</v>
      </c>
      <c r="AD49" s="22">
        <f ca="1">+GETPIVOTDATA("XKL4",'kimlong (2016)'!$A$3,"MA_HT","TON","MA_QH","DNL")</f>
        <v>0</v>
      </c>
      <c r="AE49" s="22">
        <f ca="1">+GETPIVOTDATA("XKL4",'kimlong (2016)'!$A$3,"MA_HT","TON","MA_QH","DBV")</f>
        <v>0</v>
      </c>
      <c r="AF49" s="22">
        <f ca="1">+GETPIVOTDATA("XKL4",'kimlong (2016)'!$A$3,"MA_HT","TON","MA_QH","DVH")</f>
        <v>0</v>
      </c>
      <c r="AG49" s="22">
        <f ca="1">+GETPIVOTDATA("XKL4",'kimlong (2016)'!$A$3,"MA_HT","TON","MA_QH","DYT")</f>
        <v>0</v>
      </c>
      <c r="AH49" s="22">
        <f ca="1">+GETPIVOTDATA("XKL4",'kimlong (2016)'!$A$3,"MA_HT","TON","MA_QH","DGD")</f>
        <v>0</v>
      </c>
      <c r="AI49" s="22">
        <f ca="1">+GETPIVOTDATA("XKL4",'kimlong (2016)'!$A$3,"MA_HT","TON","MA_QH","DTT")</f>
        <v>0</v>
      </c>
      <c r="AJ49" s="22">
        <f ca="1">+GETPIVOTDATA("XKL4",'kimlong (2016)'!$A$3,"MA_HT","TON","MA_QH","NCK")</f>
        <v>0</v>
      </c>
      <c r="AK49" s="22">
        <f ca="1">+GETPIVOTDATA("XKL4",'kimlong (2016)'!$A$3,"MA_HT","TON","MA_QH","DXH")</f>
        <v>0</v>
      </c>
      <c r="AL49" s="22">
        <f ca="1">+GETPIVOTDATA("XKL4",'kimlong (2016)'!$A$3,"MA_HT","TON","MA_QH","DCH")</f>
        <v>0</v>
      </c>
      <c r="AM49" s="22">
        <f ca="1">+GETPIVOTDATA("XKL4",'kimlong (2016)'!$A$3,"MA_HT","TON","MA_QH","DKG")</f>
        <v>0</v>
      </c>
      <c r="AN49" s="22">
        <f ca="1">+GETPIVOTDATA("XKL4",'kimlong (2016)'!$A$3,"MA_HT","TON","MA_QH","DDT")</f>
        <v>0</v>
      </c>
      <c r="AO49" s="22">
        <f ca="1">+GETPIVOTDATA("XKL4",'kimlong (2016)'!$A$3,"MA_HT","TON","MA_QH","DDL")</f>
        <v>0</v>
      </c>
      <c r="AP49" s="22">
        <f ca="1">+GETPIVOTDATA("XKL4",'kimlong (2016)'!$A$3,"MA_HT","TON","MA_QH","DRA")</f>
        <v>0</v>
      </c>
      <c r="AQ49" s="22">
        <f ca="1">+GETPIVOTDATA("XKL4",'kimlong (2016)'!$A$3,"MA_HT","TON","MA_QH","ONT")</f>
        <v>0</v>
      </c>
      <c r="AR49" s="22">
        <f ca="1">+GETPIVOTDATA("XKL4",'kimlong (2016)'!$A$3,"MA_HT","TON","MA_QH","ODT")</f>
        <v>0</v>
      </c>
      <c r="AS49" s="22">
        <f ca="1">+GETPIVOTDATA("XKL4",'kimlong (2016)'!$A$3,"MA_HT","TON","MA_QH","TSC")</f>
        <v>0</v>
      </c>
      <c r="AT49" s="22">
        <f ca="1">+GETPIVOTDATA("XKL4",'kimlong (2016)'!$A$3,"MA_HT","TON","MA_QH","DTS")</f>
        <v>0</v>
      </c>
      <c r="AU49" s="22">
        <f ca="1">+GETPIVOTDATA("XKL4",'kimlong (2016)'!$A$3,"MA_HT","TON","MA_QH","DNG")</f>
        <v>0</v>
      </c>
      <c r="AV49" s="43" t="e">
        <f ca="1">$D49-$BF49</f>
        <v>#REF!</v>
      </c>
      <c r="AW49" s="22">
        <f ca="1">+GETPIVOTDATA("XKL4",'kimlong (2016)'!$A$3,"MA_HT","TON","MA_QH","NTD")</f>
        <v>0</v>
      </c>
      <c r="AX49" s="22">
        <f ca="1">+GETPIVOTDATA("XKL4",'kimlong (2016)'!$A$3,"MA_HT","TON","MA_QH","SKX")</f>
        <v>0</v>
      </c>
      <c r="AY49" s="22">
        <f ca="1">+GETPIVOTDATA("XKL4",'kimlong (2016)'!$A$3,"MA_HT","TON","MA_QH","DSH")</f>
        <v>0</v>
      </c>
      <c r="AZ49" s="22">
        <f ca="1">+GETPIVOTDATA("XKL4",'kimlong (2016)'!$A$3,"MA_HT","TON","MA_QH","DKV")</f>
        <v>0</v>
      </c>
      <c r="BA49" s="89">
        <f ca="1">+GETPIVOTDATA("XKL4",'kimlong (2016)'!$A$3,"MA_HT","TON","MA_QH","TIN")</f>
        <v>0</v>
      </c>
      <c r="BB49" s="50">
        <f ca="1">+GETPIVOTDATA("XKL4",'kimlong (2016)'!$A$3,"MA_HT","TON","MA_QH","SON")</f>
        <v>0</v>
      </c>
      <c r="BC49" s="50">
        <f ca="1">+GETPIVOTDATA("XKL4",'kimlong (2016)'!$A$3,"MA_HT","TON","MA_QH","MNC")</f>
        <v>0</v>
      </c>
      <c r="BD49" s="22">
        <f ca="1">+GETPIVOTDATA("XKL4",'kimlong (2016)'!$A$3,"MA_HT","TON","MA_QH","PNK")</f>
        <v>0</v>
      </c>
      <c r="BE49" s="71">
        <f ca="1">+GETPIVOTDATA("XKL4",'kimlong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+GETPIVOTDATA("XKL4",'kimlong (2016)'!$A$3,"MA_HT","NTD","MA_QH","LUC")</f>
        <v>0</v>
      </c>
      <c r="H50" s="22">
        <f ca="1">+GETPIVOTDATA("XKL4",'kimlong (2016)'!$A$3,"MA_HT","NTD","MA_QH","LUK")</f>
        <v>0</v>
      </c>
      <c r="I50" s="22">
        <f ca="1">+GETPIVOTDATA("XKL4",'kimlong (2016)'!$A$3,"MA_HT","NTD","MA_QH","LUN")</f>
        <v>0</v>
      </c>
      <c r="J50" s="22">
        <f ca="1">+GETPIVOTDATA("XKL4",'kimlong (2016)'!$A$3,"MA_HT","NTD","MA_QH","HNK")</f>
        <v>0</v>
      </c>
      <c r="K50" s="22">
        <f ca="1">+GETPIVOTDATA("XKL4",'kimlong (2016)'!$A$3,"MA_HT","NTD","MA_QH","CLN")</f>
        <v>0</v>
      </c>
      <c r="L50" s="22">
        <f ca="1">+GETPIVOTDATA("XKL4",'kimlong (2016)'!$A$3,"MA_HT","NTD","MA_QH","RSX")</f>
        <v>0</v>
      </c>
      <c r="M50" s="22">
        <f ca="1">+GETPIVOTDATA("XKL4",'kimlong (2016)'!$A$3,"MA_HT","NTD","MA_QH","RPH")</f>
        <v>0</v>
      </c>
      <c r="N50" s="22">
        <f ca="1">+GETPIVOTDATA("XKL4",'kimlong (2016)'!$A$3,"MA_HT","NTD","MA_QH","RDD")</f>
        <v>0</v>
      </c>
      <c r="O50" s="22">
        <f ca="1">+GETPIVOTDATA("XKL4",'kimlong (2016)'!$A$3,"MA_HT","NTD","MA_QH","NTS")</f>
        <v>0</v>
      </c>
      <c r="P50" s="22">
        <f ca="1">+GETPIVOTDATA("XKL4",'kimlong (2016)'!$A$3,"MA_HT","NTD","MA_QH","LMU")</f>
        <v>0</v>
      </c>
      <c r="Q50" s="22">
        <f ca="1">+GETPIVOTDATA("XKL4",'kimlong (2016)'!$A$3,"MA_HT","NTD","MA_QH","NKH")</f>
        <v>0</v>
      </c>
      <c r="R50" s="79">
        <f ca="1">SUM(S50:AA50,AN50:AV50,AX50:BD50)</f>
        <v>0</v>
      </c>
      <c r="S50" s="22">
        <f ca="1">+GETPIVOTDATA("XKL4",'kimlong (2016)'!$A$3,"MA_HT","NTD","MA_QH","CQP")</f>
        <v>0</v>
      </c>
      <c r="T50" s="22">
        <f ca="1">+GETPIVOTDATA("XKL4",'kimlong (2016)'!$A$3,"MA_HT","NTD","MA_QH","CAN")</f>
        <v>0</v>
      </c>
      <c r="U50" s="22">
        <f ca="1">+GETPIVOTDATA("XKL4",'kimlong (2016)'!$A$3,"MA_HT","NTD","MA_QH","SKK")</f>
        <v>0</v>
      </c>
      <c r="V50" s="22">
        <f ca="1">+GETPIVOTDATA("XKL4",'kimlong (2016)'!$A$3,"MA_HT","NTD","MA_QH","SKT")</f>
        <v>0</v>
      </c>
      <c r="W50" s="22">
        <f ca="1">+GETPIVOTDATA("XKL4",'kimlong (2016)'!$A$3,"MA_HT","NTD","MA_QH","SKN")</f>
        <v>0</v>
      </c>
      <c r="X50" s="22">
        <f ca="1">+GETPIVOTDATA("XKL4",'kimlong (2016)'!$A$3,"MA_HT","NTD","MA_QH","TMD")</f>
        <v>0</v>
      </c>
      <c r="Y50" s="22">
        <f ca="1">+GETPIVOTDATA("XKL4",'kimlong (2016)'!$A$3,"MA_HT","NTD","MA_QH","SKC")</f>
        <v>0</v>
      </c>
      <c r="Z50" s="22">
        <f ca="1">+GETPIVOTDATA("XKL4",'kimlong (2016)'!$A$3,"MA_HT","NTD","MA_QH","SKS")</f>
        <v>0</v>
      </c>
      <c r="AA50" s="52">
        <f ca="1" t="shared" si="21"/>
        <v>0</v>
      </c>
      <c r="AB50" s="22">
        <f ca="1">+GETPIVOTDATA("XKL4",'kimlong (2016)'!$A$3,"MA_HT","NTD","MA_QH","DGT")</f>
        <v>0</v>
      </c>
      <c r="AC50" s="22">
        <f ca="1">+GETPIVOTDATA("XKL4",'kimlong (2016)'!$A$3,"MA_HT","NTD","MA_QH","DTL")</f>
        <v>0</v>
      </c>
      <c r="AD50" s="22">
        <f ca="1">+GETPIVOTDATA("XKL4",'kimlong (2016)'!$A$3,"MA_HT","NTD","MA_QH","DNL")</f>
        <v>0</v>
      </c>
      <c r="AE50" s="22">
        <f ca="1">+GETPIVOTDATA("XKL4",'kimlong (2016)'!$A$3,"MA_HT","NTD","MA_QH","DBV")</f>
        <v>0</v>
      </c>
      <c r="AF50" s="22">
        <f ca="1">+GETPIVOTDATA("XKL4",'kimlong (2016)'!$A$3,"MA_HT","NTD","MA_QH","DVH")</f>
        <v>0</v>
      </c>
      <c r="AG50" s="22">
        <f ca="1">+GETPIVOTDATA("XKL4",'kimlong (2016)'!$A$3,"MA_HT","NTD","MA_QH","DYT")</f>
        <v>0</v>
      </c>
      <c r="AH50" s="22">
        <f ca="1">+GETPIVOTDATA("XKL4",'kimlong (2016)'!$A$3,"MA_HT","NTD","MA_QH","DGD")</f>
        <v>0</v>
      </c>
      <c r="AI50" s="22">
        <f ca="1">+GETPIVOTDATA("XKL4",'kimlong (2016)'!$A$3,"MA_HT","NTD","MA_QH","DTT")</f>
        <v>0</v>
      </c>
      <c r="AJ50" s="22">
        <f ca="1">+GETPIVOTDATA("XKL4",'kimlong (2016)'!$A$3,"MA_HT","NTD","MA_QH","NCK")</f>
        <v>0</v>
      </c>
      <c r="AK50" s="22">
        <f ca="1">+GETPIVOTDATA("XKL4",'kimlong (2016)'!$A$3,"MA_HT","NTD","MA_QH","DXH")</f>
        <v>0</v>
      </c>
      <c r="AL50" s="22">
        <f ca="1">+GETPIVOTDATA("XKL4",'kimlong (2016)'!$A$3,"MA_HT","NTD","MA_QH","DCH")</f>
        <v>0</v>
      </c>
      <c r="AM50" s="22">
        <f ca="1">+GETPIVOTDATA("XKL4",'kimlong (2016)'!$A$3,"MA_HT","NTD","MA_QH","DKG")</f>
        <v>0</v>
      </c>
      <c r="AN50" s="22">
        <f ca="1">+GETPIVOTDATA("XKL4",'kimlong (2016)'!$A$3,"MA_HT","NTD","MA_QH","DDT")</f>
        <v>0</v>
      </c>
      <c r="AO50" s="22">
        <f ca="1">+GETPIVOTDATA("XKL4",'kimlong (2016)'!$A$3,"MA_HT","NTD","MA_QH","DDL")</f>
        <v>0</v>
      </c>
      <c r="AP50" s="22">
        <f ca="1">+GETPIVOTDATA("XKL4",'kimlong (2016)'!$A$3,"MA_HT","NTD","MA_QH","DRA")</f>
        <v>0</v>
      </c>
      <c r="AQ50" s="22">
        <f ca="1">+GETPIVOTDATA("XKL4",'kimlong (2016)'!$A$3,"MA_HT","NTD","MA_QH","ONT")</f>
        <v>0</v>
      </c>
      <c r="AR50" s="22">
        <f ca="1">+GETPIVOTDATA("XKL4",'kimlong (2016)'!$A$3,"MA_HT","NTD","MA_QH","ODT")</f>
        <v>0</v>
      </c>
      <c r="AS50" s="22">
        <f ca="1">+GETPIVOTDATA("XKL4",'kimlong (2016)'!$A$3,"MA_HT","NTD","MA_QH","TSC")</f>
        <v>0</v>
      </c>
      <c r="AT50" s="22">
        <f ca="1">+GETPIVOTDATA("XKL4",'kimlong (2016)'!$A$3,"MA_HT","NTD","MA_QH","DTS")</f>
        <v>0</v>
      </c>
      <c r="AU50" s="22">
        <f ca="1">+GETPIVOTDATA("XKL4",'kimlong (2016)'!$A$3,"MA_HT","NTD","MA_QH","DNG")</f>
        <v>0</v>
      </c>
      <c r="AV50" s="22">
        <f ca="1">+GETPIVOTDATA("XKL4",'kimlong (2016)'!$A$3,"MA_HT","NTD","MA_QH","TON")</f>
        <v>0</v>
      </c>
      <c r="AW50" s="43" t="e">
        <f ca="1">$D50-$BF50</f>
        <v>#REF!</v>
      </c>
      <c r="AX50" s="22">
        <f ca="1">+GETPIVOTDATA("XKL4",'kimlong (2016)'!$A$3,"MA_HT","NTD","MA_QH","SKX")</f>
        <v>0</v>
      </c>
      <c r="AY50" s="22">
        <f ca="1">+GETPIVOTDATA("XKL4",'kimlong (2016)'!$A$3,"MA_HT","NTD","MA_QH","DSH")</f>
        <v>0</v>
      </c>
      <c r="AZ50" s="22">
        <f ca="1">+GETPIVOTDATA("XKL4",'kimlong (2016)'!$A$3,"MA_HT","NTD","MA_QH","DKV")</f>
        <v>0</v>
      </c>
      <c r="BA50" s="89">
        <f ca="1">+GETPIVOTDATA("XKL4",'kimlong (2016)'!$A$3,"MA_HT","NTD","MA_QH","TIN")</f>
        <v>0</v>
      </c>
      <c r="BB50" s="50">
        <f ca="1">+GETPIVOTDATA("XKL4",'kimlong (2016)'!$A$3,"MA_HT","NTD","MA_QH","SON")</f>
        <v>0</v>
      </c>
      <c r="BC50" s="50">
        <f ca="1">+GETPIVOTDATA("XKL4",'kimlong (2016)'!$A$3,"MA_HT","NTD","MA_QH","MNC")</f>
        <v>0</v>
      </c>
      <c r="BD50" s="22">
        <f ca="1">+GETPIVOTDATA("XKL4",'kimlong (2016)'!$A$3,"MA_HT","NTD","MA_QH","PNK")</f>
        <v>0</v>
      </c>
      <c r="BE50" s="71">
        <f ca="1">+GETPIVOTDATA("XKL4",'kimlong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+GETPIVOTDATA("XKL4",'kimlong (2016)'!$A$3,"MA_HT","SKX","MA_QH","LUC")</f>
        <v>0</v>
      </c>
      <c r="H51" s="22">
        <f ca="1">+GETPIVOTDATA("XKL4",'kimlong (2016)'!$A$3,"MA_HT","SKX","MA_QH","LUK")</f>
        <v>0</v>
      </c>
      <c r="I51" s="22">
        <f ca="1">+GETPIVOTDATA("XKL4",'kimlong (2016)'!$A$3,"MA_HT","SKX","MA_QH","LUN")</f>
        <v>0</v>
      </c>
      <c r="J51" s="22">
        <f ca="1">+GETPIVOTDATA("XKL4",'kimlong (2016)'!$A$3,"MA_HT","SKX","MA_QH","HNK")</f>
        <v>0</v>
      </c>
      <c r="K51" s="22">
        <f ca="1">+GETPIVOTDATA("XKL4",'kimlong (2016)'!$A$3,"MA_HT","SKX","MA_QH","CLN")</f>
        <v>0</v>
      </c>
      <c r="L51" s="22">
        <f ca="1">+GETPIVOTDATA("XKL4",'kimlong (2016)'!$A$3,"MA_HT","SKX","MA_QH","RSX")</f>
        <v>0</v>
      </c>
      <c r="M51" s="22">
        <f ca="1">+GETPIVOTDATA("XKL4",'kimlong (2016)'!$A$3,"MA_HT","SKX","MA_QH","RPH")</f>
        <v>0</v>
      </c>
      <c r="N51" s="22">
        <f ca="1">+GETPIVOTDATA("XKL4",'kimlong (2016)'!$A$3,"MA_HT","SKX","MA_QH","RDD")</f>
        <v>0</v>
      </c>
      <c r="O51" s="22">
        <f ca="1">+GETPIVOTDATA("XKL4",'kimlong (2016)'!$A$3,"MA_HT","SKX","MA_QH","NTS")</f>
        <v>0</v>
      </c>
      <c r="P51" s="22">
        <f ca="1">+GETPIVOTDATA("XKL4",'kimlong (2016)'!$A$3,"MA_HT","SKX","MA_QH","LMU")</f>
        <v>0</v>
      </c>
      <c r="Q51" s="22">
        <f ca="1">+GETPIVOTDATA("XKL4",'kimlong (2016)'!$A$3,"MA_HT","SKX","MA_QH","NKH")</f>
        <v>0</v>
      </c>
      <c r="R51" s="79">
        <f ca="1">SUM(S51:AA51,AN51:AW51,AY51:BD51)</f>
        <v>0</v>
      </c>
      <c r="S51" s="22">
        <f ca="1">+GETPIVOTDATA("XKL4",'kimlong (2016)'!$A$3,"MA_HT","SKX","MA_QH","CQP")</f>
        <v>0</v>
      </c>
      <c r="T51" s="22">
        <f ca="1">+GETPIVOTDATA("XKL4",'kimlong (2016)'!$A$3,"MA_HT","SKX","MA_QH","CAN")</f>
        <v>0</v>
      </c>
      <c r="U51" s="22">
        <f ca="1">+GETPIVOTDATA("XKL4",'kimlong (2016)'!$A$3,"MA_HT","SKX","MA_QH","SKK")</f>
        <v>0</v>
      </c>
      <c r="V51" s="22">
        <f ca="1">+GETPIVOTDATA("XKL4",'kimlong (2016)'!$A$3,"MA_HT","SKX","MA_QH","SKT")</f>
        <v>0</v>
      </c>
      <c r="W51" s="22">
        <f ca="1">+GETPIVOTDATA("XKL4",'kimlong (2016)'!$A$3,"MA_HT","SKX","MA_QH","SKN")</f>
        <v>0</v>
      </c>
      <c r="X51" s="22">
        <f ca="1">+GETPIVOTDATA("XKL4",'kimlong (2016)'!$A$3,"MA_HT","SKX","MA_QH","TMD")</f>
        <v>0</v>
      </c>
      <c r="Y51" s="22">
        <f ca="1">+GETPIVOTDATA("XKL4",'kimlong (2016)'!$A$3,"MA_HT","SKX","MA_QH","SKC")</f>
        <v>0</v>
      </c>
      <c r="Z51" s="22">
        <f ca="1">+GETPIVOTDATA("XKL4",'kimlong (2016)'!$A$3,"MA_HT","SKX","MA_QH","SKS")</f>
        <v>0</v>
      </c>
      <c r="AA51" s="52">
        <f ca="1" t="shared" si="21"/>
        <v>0</v>
      </c>
      <c r="AB51" s="22">
        <f ca="1">+GETPIVOTDATA("XKL4",'kimlong (2016)'!$A$3,"MA_HT","SKX","MA_QH","DGT")</f>
        <v>0</v>
      </c>
      <c r="AC51" s="22">
        <f ca="1">+GETPIVOTDATA("XKL4",'kimlong (2016)'!$A$3,"MA_HT","SKX","MA_QH","DTL")</f>
        <v>0</v>
      </c>
      <c r="AD51" s="22">
        <f ca="1">+GETPIVOTDATA("XKL4",'kimlong (2016)'!$A$3,"MA_HT","SKX","MA_QH","DNL")</f>
        <v>0</v>
      </c>
      <c r="AE51" s="22">
        <f ca="1">+GETPIVOTDATA("XKL4",'kimlong (2016)'!$A$3,"MA_HT","SKX","MA_QH","DBV")</f>
        <v>0</v>
      </c>
      <c r="AF51" s="22">
        <f ca="1">+GETPIVOTDATA("XKL4",'kimlong (2016)'!$A$3,"MA_HT","SKX","MA_QH","DVH")</f>
        <v>0</v>
      </c>
      <c r="AG51" s="22">
        <f ca="1">+GETPIVOTDATA("XKL4",'kimlong (2016)'!$A$3,"MA_HT","SKX","MA_QH","DYT")</f>
        <v>0</v>
      </c>
      <c r="AH51" s="22">
        <f ca="1">+GETPIVOTDATA("XKL4",'kimlong (2016)'!$A$3,"MA_HT","SKX","MA_QH","DGD")</f>
        <v>0</v>
      </c>
      <c r="AI51" s="22">
        <f ca="1">+GETPIVOTDATA("XKL4",'kimlong (2016)'!$A$3,"MA_HT","SKX","MA_QH","DTT")</f>
        <v>0</v>
      </c>
      <c r="AJ51" s="22">
        <f ca="1">+GETPIVOTDATA("XKL4",'kimlong (2016)'!$A$3,"MA_HT","SKX","MA_QH","NCK")</f>
        <v>0</v>
      </c>
      <c r="AK51" s="22">
        <f ca="1">+GETPIVOTDATA("XKL4",'kimlong (2016)'!$A$3,"MA_HT","SKX","MA_QH","DXH")</f>
        <v>0</v>
      </c>
      <c r="AL51" s="22">
        <f ca="1">+GETPIVOTDATA("XKL4",'kimlong (2016)'!$A$3,"MA_HT","SKX","MA_QH","DCH")</f>
        <v>0</v>
      </c>
      <c r="AM51" s="22">
        <f ca="1">+GETPIVOTDATA("XKL4",'kimlong (2016)'!$A$3,"MA_HT","SKX","MA_QH","DKG")</f>
        <v>0</v>
      </c>
      <c r="AN51" s="22">
        <f ca="1">+GETPIVOTDATA("XKL4",'kimlong (2016)'!$A$3,"MA_HT","SKX","MA_QH","DDT")</f>
        <v>0</v>
      </c>
      <c r="AO51" s="22">
        <f ca="1">+GETPIVOTDATA("XKL4",'kimlong (2016)'!$A$3,"MA_HT","SKX","MA_QH","DDL")</f>
        <v>0</v>
      </c>
      <c r="AP51" s="22">
        <f ca="1">+GETPIVOTDATA("XKL4",'kimlong (2016)'!$A$3,"MA_HT","SKX","MA_QH","DRA")</f>
        <v>0</v>
      </c>
      <c r="AQ51" s="22">
        <f ca="1">+GETPIVOTDATA("XKL4",'kimlong (2016)'!$A$3,"MA_HT","SKX","MA_QH","ONT")</f>
        <v>0</v>
      </c>
      <c r="AR51" s="22">
        <f ca="1">+GETPIVOTDATA("XKL4",'kimlong (2016)'!$A$3,"MA_HT","SKX","MA_QH","ODT")</f>
        <v>0</v>
      </c>
      <c r="AS51" s="22">
        <f ca="1">+GETPIVOTDATA("XKL4",'kimlong (2016)'!$A$3,"MA_HT","SKX","MA_QH","TSC")</f>
        <v>0</v>
      </c>
      <c r="AT51" s="22">
        <f ca="1">+GETPIVOTDATA("XKL4",'kimlong (2016)'!$A$3,"MA_HT","SKX","MA_QH","DTS")</f>
        <v>0</v>
      </c>
      <c r="AU51" s="22">
        <f ca="1">+GETPIVOTDATA("XKL4",'kimlong (2016)'!$A$3,"MA_HT","SKX","MA_QH","DNG")</f>
        <v>0</v>
      </c>
      <c r="AV51" s="22">
        <f ca="1">+GETPIVOTDATA("XKL4",'kimlong (2016)'!$A$3,"MA_HT","SKX","MA_QH","TON")</f>
        <v>0</v>
      </c>
      <c r="AW51" s="22">
        <f ca="1">+GETPIVOTDATA("XKL4",'kimlong (2016)'!$A$3,"MA_HT","SKX","MA_QH","NTD")</f>
        <v>0</v>
      </c>
      <c r="AX51" s="43" t="e">
        <f ca="1">$D51-$BF51</f>
        <v>#REF!</v>
      </c>
      <c r="AY51" s="22">
        <f ca="1">+GETPIVOTDATA("XKL4",'kimlong (2016)'!$A$3,"MA_HT","SKX","MA_QH","DSH")</f>
        <v>0</v>
      </c>
      <c r="AZ51" s="22">
        <f ca="1">+GETPIVOTDATA("XKL4",'kimlong (2016)'!$A$3,"MA_HT","SKX","MA_QH","DKV")</f>
        <v>0</v>
      </c>
      <c r="BA51" s="89">
        <f ca="1">+GETPIVOTDATA("XKL4",'kimlong (2016)'!$A$3,"MA_HT","SKX","MA_QH","TIN")</f>
        <v>0</v>
      </c>
      <c r="BB51" s="50">
        <f ca="1">+GETPIVOTDATA("XKL4",'kimlong (2016)'!$A$3,"MA_HT","SKX","MA_QH","SON")</f>
        <v>0</v>
      </c>
      <c r="BC51" s="50">
        <f ca="1">+GETPIVOTDATA("XKL4",'kimlong (2016)'!$A$3,"MA_HT","SKX","MA_QH","MNC")</f>
        <v>0</v>
      </c>
      <c r="BD51" s="22">
        <f ca="1">+GETPIVOTDATA("XKL4",'kimlong (2016)'!$A$3,"MA_HT","SKX","MA_QH","PNK")</f>
        <v>0</v>
      </c>
      <c r="BE51" s="71">
        <f ca="1">+GETPIVOTDATA("XKL4",'kimlong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+GETPIVOTDATA("XKL4",'kimlong (2016)'!$A$3,"MA_HT","DSH","MA_QH","LUC")</f>
        <v>0</v>
      </c>
      <c r="H52" s="22">
        <f ca="1">+GETPIVOTDATA("XKL4",'kimlong (2016)'!$A$3,"MA_HT","DSH","MA_QH","LUK")</f>
        <v>0</v>
      </c>
      <c r="I52" s="22">
        <f ca="1">+GETPIVOTDATA("XKL4",'kimlong (2016)'!$A$3,"MA_HT","DSH","MA_QH","LUN")</f>
        <v>0</v>
      </c>
      <c r="J52" s="22">
        <f ca="1">+GETPIVOTDATA("XKL4",'kimlong (2016)'!$A$3,"MA_HT","DSH","MA_QH","HNK")</f>
        <v>0</v>
      </c>
      <c r="K52" s="22">
        <f ca="1">+GETPIVOTDATA("XKL4",'kimlong (2016)'!$A$3,"MA_HT","DSH","MA_QH","CLN")</f>
        <v>0</v>
      </c>
      <c r="L52" s="22">
        <f ca="1">+GETPIVOTDATA("XKL4",'kimlong (2016)'!$A$3,"MA_HT","DSH","MA_QH","RSX")</f>
        <v>0</v>
      </c>
      <c r="M52" s="22">
        <f ca="1">+GETPIVOTDATA("XKL4",'kimlong (2016)'!$A$3,"MA_HT","DSH","MA_QH","RPH")</f>
        <v>0</v>
      </c>
      <c r="N52" s="22">
        <f ca="1">+GETPIVOTDATA("XKL4",'kimlong (2016)'!$A$3,"MA_HT","DSH","MA_QH","RDD")</f>
        <v>0</v>
      </c>
      <c r="O52" s="22">
        <f ca="1">+GETPIVOTDATA("XKL4",'kimlong (2016)'!$A$3,"MA_HT","DSH","MA_QH","NTS")</f>
        <v>0</v>
      </c>
      <c r="P52" s="22">
        <f ca="1">+GETPIVOTDATA("XKL4",'kimlong (2016)'!$A$3,"MA_HT","DSH","MA_QH","LMU")</f>
        <v>0</v>
      </c>
      <c r="Q52" s="22">
        <f ca="1">+GETPIVOTDATA("XKL4",'kimlong (2016)'!$A$3,"MA_HT","DSH","MA_QH","NKH")</f>
        <v>0</v>
      </c>
      <c r="R52" s="79">
        <f ca="1">SUM(S52:AA52,AN52:AX52,AZ52:BD52)</f>
        <v>0</v>
      </c>
      <c r="S52" s="22">
        <f ca="1">+GETPIVOTDATA("XKL4",'kimlong (2016)'!$A$3,"MA_HT","DSH","MA_QH","CQP")</f>
        <v>0</v>
      </c>
      <c r="T52" s="22">
        <f ca="1">+GETPIVOTDATA("XKL4",'kimlong (2016)'!$A$3,"MA_HT","DSH","MA_QH","CAN")</f>
        <v>0</v>
      </c>
      <c r="U52" s="22">
        <f ca="1">+GETPIVOTDATA("XKL4",'kimlong (2016)'!$A$3,"MA_HT","DSH","MA_QH","SKK")</f>
        <v>0</v>
      </c>
      <c r="V52" s="22">
        <f ca="1">+GETPIVOTDATA("XKL4",'kimlong (2016)'!$A$3,"MA_HT","DSH","MA_QH","SKT")</f>
        <v>0</v>
      </c>
      <c r="W52" s="22">
        <f ca="1">+GETPIVOTDATA("XKL4",'kimlong (2016)'!$A$3,"MA_HT","DSH","MA_QH","SKN")</f>
        <v>0</v>
      </c>
      <c r="X52" s="22">
        <f ca="1">+GETPIVOTDATA("XKL4",'kimlong (2016)'!$A$3,"MA_HT","DSH","MA_QH","TMD")</f>
        <v>0</v>
      </c>
      <c r="Y52" s="22">
        <f ca="1">+GETPIVOTDATA("XKL4",'kimlong (2016)'!$A$3,"MA_HT","DSH","MA_QH","SKC")</f>
        <v>0</v>
      </c>
      <c r="Z52" s="22">
        <f ca="1">+GETPIVOTDATA("XKL4",'kimlong (2016)'!$A$3,"MA_HT","DSH","MA_QH","SKS")</f>
        <v>0</v>
      </c>
      <c r="AA52" s="52">
        <f ca="1" t="shared" si="21"/>
        <v>0</v>
      </c>
      <c r="AB52" s="22">
        <f ca="1">+GETPIVOTDATA("XKL4",'kimlong (2016)'!$A$3,"MA_HT","DSH","MA_QH","DGT")</f>
        <v>0</v>
      </c>
      <c r="AC52" s="22">
        <f ca="1">+GETPIVOTDATA("XKL4",'kimlong (2016)'!$A$3,"MA_HT","DSH","MA_QH","DTL")</f>
        <v>0</v>
      </c>
      <c r="AD52" s="22">
        <f ca="1">+GETPIVOTDATA("XKL4",'kimlong (2016)'!$A$3,"MA_HT","DSH","MA_QH","DNL")</f>
        <v>0</v>
      </c>
      <c r="AE52" s="22">
        <f ca="1">+GETPIVOTDATA("XKL4",'kimlong (2016)'!$A$3,"MA_HT","DSH","MA_QH","DBV")</f>
        <v>0</v>
      </c>
      <c r="AF52" s="22">
        <f ca="1">+GETPIVOTDATA("XKL4",'kimlong (2016)'!$A$3,"MA_HT","DSH","MA_QH","DVH")</f>
        <v>0</v>
      </c>
      <c r="AG52" s="22">
        <f ca="1">+GETPIVOTDATA("XKL4",'kimlong (2016)'!$A$3,"MA_HT","DSH","MA_QH","DYT")</f>
        <v>0</v>
      </c>
      <c r="AH52" s="22">
        <f ca="1">+GETPIVOTDATA("XKL4",'kimlong (2016)'!$A$3,"MA_HT","DSH","MA_QH","DGD")</f>
        <v>0</v>
      </c>
      <c r="AI52" s="22">
        <f ca="1">+GETPIVOTDATA("XKL4",'kimlong (2016)'!$A$3,"MA_HT","DSH","MA_QH","DTT")</f>
        <v>0</v>
      </c>
      <c r="AJ52" s="22">
        <f ca="1">+GETPIVOTDATA("XKL4",'kimlong (2016)'!$A$3,"MA_HT","DSH","MA_QH","NCK")</f>
        <v>0</v>
      </c>
      <c r="AK52" s="22">
        <f ca="1">+GETPIVOTDATA("XKL4",'kimlong (2016)'!$A$3,"MA_HT","DSH","MA_QH","DXH")</f>
        <v>0</v>
      </c>
      <c r="AL52" s="22">
        <f ca="1">+GETPIVOTDATA("XKL4",'kimlong (2016)'!$A$3,"MA_HT","DSH","MA_QH","DCH")</f>
        <v>0</v>
      </c>
      <c r="AM52" s="22">
        <f ca="1">+GETPIVOTDATA("XKL4",'kimlong (2016)'!$A$3,"MA_HT","DSH","MA_QH","DKG")</f>
        <v>0</v>
      </c>
      <c r="AN52" s="22">
        <f ca="1">+GETPIVOTDATA("XKL4",'kimlong (2016)'!$A$3,"MA_HT","DSH","MA_QH","DDT")</f>
        <v>0</v>
      </c>
      <c r="AO52" s="22">
        <f ca="1">+GETPIVOTDATA("XKL4",'kimlong (2016)'!$A$3,"MA_HT","DSH","MA_QH","DDL")</f>
        <v>0</v>
      </c>
      <c r="AP52" s="22">
        <f ca="1">+GETPIVOTDATA("XKL4",'kimlong (2016)'!$A$3,"MA_HT","DSH","MA_QH","DRA")</f>
        <v>0</v>
      </c>
      <c r="AQ52" s="22">
        <f ca="1">+GETPIVOTDATA("XKL4",'kimlong (2016)'!$A$3,"MA_HT","DSH","MA_QH","ONT")</f>
        <v>0</v>
      </c>
      <c r="AR52" s="22">
        <f ca="1">+GETPIVOTDATA("XKL4",'kimlong (2016)'!$A$3,"MA_HT","DSH","MA_QH","ODT")</f>
        <v>0</v>
      </c>
      <c r="AS52" s="22">
        <f ca="1">+GETPIVOTDATA("XKL4",'kimlong (2016)'!$A$3,"MA_HT","DSH","MA_QH","TSC")</f>
        <v>0</v>
      </c>
      <c r="AT52" s="22">
        <f ca="1">+GETPIVOTDATA("XKL4",'kimlong (2016)'!$A$3,"MA_HT","DSH","MA_QH","DTS")</f>
        <v>0</v>
      </c>
      <c r="AU52" s="22">
        <f ca="1">+GETPIVOTDATA("XKL4",'kimlong (2016)'!$A$3,"MA_HT","DSH","MA_QH","DNG")</f>
        <v>0</v>
      </c>
      <c r="AV52" s="22">
        <f ca="1">+GETPIVOTDATA("XKL4",'kimlong (2016)'!$A$3,"MA_HT","DSH","MA_QH","TON")</f>
        <v>0</v>
      </c>
      <c r="AW52" s="22">
        <f ca="1">+GETPIVOTDATA("XKL4",'kimlong (2016)'!$A$3,"MA_HT","DSH","MA_QH","NTD")</f>
        <v>0</v>
      </c>
      <c r="AX52" s="22">
        <f ca="1">+GETPIVOTDATA("XKL4",'kimlong (2016)'!$A$3,"MA_HT","DSH","MA_QH","SKX")</f>
        <v>0</v>
      </c>
      <c r="AY52" s="43" t="e">
        <f ca="1">$D52-$BF52</f>
        <v>#REF!</v>
      </c>
      <c r="AZ52" s="22">
        <f ca="1">+GETPIVOTDATA("XKL4",'kimlong (2016)'!$A$3,"MA_HT","DSH","MA_QH","DKV")</f>
        <v>0</v>
      </c>
      <c r="BA52" s="89">
        <f ca="1">+GETPIVOTDATA("XKL4",'kimlong (2016)'!$A$3,"MA_HT","DSH","MA_QH","TIN")</f>
        <v>0</v>
      </c>
      <c r="BB52" s="50">
        <f ca="1">+GETPIVOTDATA("XKL4",'kimlong (2016)'!$A$3,"MA_HT","DSH","MA_QH","SON")</f>
        <v>0</v>
      </c>
      <c r="BC52" s="50">
        <f ca="1">+GETPIVOTDATA("XKL4",'kimlong (2016)'!$A$3,"MA_HT","DSH","MA_QH","MNC")</f>
        <v>0</v>
      </c>
      <c r="BD52" s="22">
        <f ca="1">+GETPIVOTDATA("XKL4",'kimlong (2016)'!$A$3,"MA_HT","DSH","MA_QH","PNK")</f>
        <v>0</v>
      </c>
      <c r="BE52" s="71">
        <f ca="1">+GETPIVOTDATA("XKL4",'kimlong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+GETPIVOTDATA("XKL4",'kimlong (2016)'!$A$3,"MA_HT","DKV","MA_QH","LUC")</f>
        <v>0</v>
      </c>
      <c r="H53" s="22">
        <f ca="1">+GETPIVOTDATA("XKL4",'kimlong (2016)'!$A$3,"MA_HT","DKV","MA_QH","LUK")</f>
        <v>0</v>
      </c>
      <c r="I53" s="22">
        <f ca="1">+GETPIVOTDATA("XKL4",'kimlong (2016)'!$A$3,"MA_HT","DKV","MA_QH","LUN")</f>
        <v>0</v>
      </c>
      <c r="J53" s="22">
        <f ca="1">+GETPIVOTDATA("XKL4",'kimlong (2016)'!$A$3,"MA_HT","DKV","MA_QH","HNK")</f>
        <v>0</v>
      </c>
      <c r="K53" s="22">
        <f ca="1">+GETPIVOTDATA("XKL4",'kimlong (2016)'!$A$3,"MA_HT","DKV","MA_QH","CLN")</f>
        <v>0</v>
      </c>
      <c r="L53" s="22">
        <f ca="1">+GETPIVOTDATA("XKL4",'kimlong (2016)'!$A$3,"MA_HT","DKV","MA_QH","RSX")</f>
        <v>0</v>
      </c>
      <c r="M53" s="22">
        <f ca="1">+GETPIVOTDATA("XKL4",'kimlong (2016)'!$A$3,"MA_HT","DKV","MA_QH","RPH")</f>
        <v>0</v>
      </c>
      <c r="N53" s="22">
        <f ca="1">+GETPIVOTDATA("XKL4",'kimlong (2016)'!$A$3,"MA_HT","DKV","MA_QH","RDD")</f>
        <v>0</v>
      </c>
      <c r="O53" s="22">
        <f ca="1">+GETPIVOTDATA("XKL4",'kimlong (2016)'!$A$3,"MA_HT","DKV","MA_QH","NTS")</f>
        <v>0</v>
      </c>
      <c r="P53" s="22">
        <f ca="1">+GETPIVOTDATA("XKL4",'kimlong (2016)'!$A$3,"MA_HT","DKV","MA_QH","LMU")</f>
        <v>0</v>
      </c>
      <c r="Q53" s="22">
        <f ca="1">+GETPIVOTDATA("XKL4",'kimlong (2016)'!$A$3,"MA_HT","DKV","MA_QH","NKH")</f>
        <v>0</v>
      </c>
      <c r="R53" s="79">
        <f ca="1">SUM(S53:AA53,AN53:AY53,BB53:BD53)</f>
        <v>0</v>
      </c>
      <c r="S53" s="22">
        <f ca="1">+GETPIVOTDATA("XKL4",'kimlong (2016)'!$A$3,"MA_HT","DKV","MA_QH","CQP")</f>
        <v>0</v>
      </c>
      <c r="T53" s="22">
        <f ca="1">+GETPIVOTDATA("XKL4",'kimlong (2016)'!$A$3,"MA_HT","DKV","MA_QH","CAN")</f>
        <v>0</v>
      </c>
      <c r="U53" s="22">
        <f ca="1">+GETPIVOTDATA("XKL4",'kimlong (2016)'!$A$3,"MA_HT","DKV","MA_QH","SKK")</f>
        <v>0</v>
      </c>
      <c r="V53" s="22">
        <f ca="1">+GETPIVOTDATA("XKL4",'kimlong (2016)'!$A$3,"MA_HT","DKV","MA_QH","SKT")</f>
        <v>0</v>
      </c>
      <c r="W53" s="22">
        <f ca="1">+GETPIVOTDATA("XKL4",'kimlong (2016)'!$A$3,"MA_HT","DKV","MA_QH","SKN")</f>
        <v>0</v>
      </c>
      <c r="X53" s="22">
        <f ca="1">+GETPIVOTDATA("XKL4",'kimlong (2016)'!$A$3,"MA_HT","DKV","MA_QH","TMD")</f>
        <v>0</v>
      </c>
      <c r="Y53" s="22">
        <f ca="1">+GETPIVOTDATA("XKL4",'kimlong (2016)'!$A$3,"MA_HT","DKV","MA_QH","SKC")</f>
        <v>0</v>
      </c>
      <c r="Z53" s="22">
        <f ca="1">+GETPIVOTDATA("XKL4",'kimlong (2016)'!$A$3,"MA_HT","DKV","MA_QH","SKS")</f>
        <v>0</v>
      </c>
      <c r="AA53" s="52">
        <f ca="1" t="shared" si="21"/>
        <v>0</v>
      </c>
      <c r="AB53" s="22">
        <f ca="1">+GETPIVOTDATA("XKL4",'kimlong (2016)'!$A$3,"MA_HT","DKV","MA_QH","DGT")</f>
        <v>0</v>
      </c>
      <c r="AC53" s="22">
        <f ca="1">+GETPIVOTDATA("XKL4",'kimlong (2016)'!$A$3,"MA_HT","DKV","MA_QH","DTL")</f>
        <v>0</v>
      </c>
      <c r="AD53" s="22">
        <f ca="1">+GETPIVOTDATA("XKL4",'kimlong (2016)'!$A$3,"MA_HT","DKV","MA_QH","DNL")</f>
        <v>0</v>
      </c>
      <c r="AE53" s="22">
        <f ca="1">+GETPIVOTDATA("XKL4",'kimlong (2016)'!$A$3,"MA_HT","DKV","MA_QH","DBV")</f>
        <v>0</v>
      </c>
      <c r="AF53" s="22">
        <f ca="1">+GETPIVOTDATA("XKL4",'kimlong (2016)'!$A$3,"MA_HT","DKV","MA_QH","DVH")</f>
        <v>0</v>
      </c>
      <c r="AG53" s="22">
        <f ca="1">+GETPIVOTDATA("XKL4",'kimlong (2016)'!$A$3,"MA_HT","DKV","MA_QH","DYT")</f>
        <v>0</v>
      </c>
      <c r="AH53" s="22">
        <f ca="1">+GETPIVOTDATA("XKL4",'kimlong (2016)'!$A$3,"MA_HT","DKV","MA_QH","DGD")</f>
        <v>0</v>
      </c>
      <c r="AI53" s="22">
        <f ca="1">+GETPIVOTDATA("XKL4",'kimlong (2016)'!$A$3,"MA_HT","DKV","MA_QH","DTT")</f>
        <v>0</v>
      </c>
      <c r="AJ53" s="22">
        <f ca="1">+GETPIVOTDATA("XKL4",'kimlong (2016)'!$A$3,"MA_HT","DKV","MA_QH","NCK")</f>
        <v>0</v>
      </c>
      <c r="AK53" s="22">
        <f ca="1">+GETPIVOTDATA("XKL4",'kimlong (2016)'!$A$3,"MA_HT","DKV","MA_QH","DXH")</f>
        <v>0</v>
      </c>
      <c r="AL53" s="22">
        <f ca="1">+GETPIVOTDATA("XKL4",'kimlong (2016)'!$A$3,"MA_HT","DKV","MA_QH","DCH")</f>
        <v>0</v>
      </c>
      <c r="AM53" s="22">
        <f ca="1">+GETPIVOTDATA("XKL4",'kimlong (2016)'!$A$3,"MA_HT","DKV","MA_QH","DKG")</f>
        <v>0</v>
      </c>
      <c r="AN53" s="22">
        <f ca="1">+GETPIVOTDATA("XKL4",'kimlong (2016)'!$A$3,"MA_HT","DKV","MA_QH","DDT")</f>
        <v>0</v>
      </c>
      <c r="AO53" s="22">
        <f ca="1">+GETPIVOTDATA("XKL4",'kimlong (2016)'!$A$3,"MA_HT","DKV","MA_QH","DDL")</f>
        <v>0</v>
      </c>
      <c r="AP53" s="22">
        <f ca="1">+GETPIVOTDATA("XKL4",'kimlong (2016)'!$A$3,"MA_HT","DKV","MA_QH","DRA")</f>
        <v>0</v>
      </c>
      <c r="AQ53" s="22">
        <f ca="1">+GETPIVOTDATA("XKL4",'kimlong (2016)'!$A$3,"MA_HT","DKV","MA_QH","ONT")</f>
        <v>0</v>
      </c>
      <c r="AR53" s="22">
        <f ca="1">+GETPIVOTDATA("XKL4",'kimlong (2016)'!$A$3,"MA_HT","DKV","MA_QH","ODT")</f>
        <v>0</v>
      </c>
      <c r="AS53" s="22">
        <f ca="1">+GETPIVOTDATA("XKL4",'kimlong (2016)'!$A$3,"MA_HT","DKV","MA_QH","TSC")</f>
        <v>0</v>
      </c>
      <c r="AT53" s="22">
        <f ca="1">+GETPIVOTDATA("XKL4",'kimlong (2016)'!$A$3,"MA_HT","DKV","MA_QH","DTS")</f>
        <v>0</v>
      </c>
      <c r="AU53" s="22">
        <f ca="1">+GETPIVOTDATA("XKL4",'kimlong (2016)'!$A$3,"MA_HT","DKV","MA_QH","DNG")</f>
        <v>0</v>
      </c>
      <c r="AV53" s="22">
        <f ca="1">+GETPIVOTDATA("XKL4",'kimlong (2016)'!$A$3,"MA_HT","DKV","MA_QH","TON")</f>
        <v>0</v>
      </c>
      <c r="AW53" s="22">
        <f ca="1">+GETPIVOTDATA("XKL4",'kimlong (2016)'!$A$3,"MA_HT","DKV","MA_QH","NTD")</f>
        <v>0</v>
      </c>
      <c r="AX53" s="22">
        <f ca="1">+GETPIVOTDATA("XKL4",'kimlong (2016)'!$A$3,"MA_HT","DKV","MA_QH","SKX")</f>
        <v>0</v>
      </c>
      <c r="AY53" s="22">
        <f ca="1">+GETPIVOTDATA("XKL4",'kimlong (2016)'!$A$3,"MA_HT","DKV","MA_QH","DSH")</f>
        <v>0</v>
      </c>
      <c r="AZ53" s="43" t="e">
        <f ca="1">$D53-$BF53</f>
        <v>#REF!</v>
      </c>
      <c r="BA53" s="89">
        <f ca="1">+GETPIVOTDATA("XKL4",'kimlong (2016)'!$A$3,"MA_HT","DKV","MA_QH","TIN")</f>
        <v>0</v>
      </c>
      <c r="BB53" s="50">
        <f ca="1">+GETPIVOTDATA("XKL4",'kimlong (2016)'!$A$3,"MA_HT","DKV","MA_QH","SON")</f>
        <v>0</v>
      </c>
      <c r="BC53" s="50">
        <f ca="1">+GETPIVOTDATA("XKL4",'kimlong (2016)'!$A$3,"MA_HT","DKV","MA_QH","MNC")</f>
        <v>0</v>
      </c>
      <c r="BD53" s="22">
        <f ca="1">+GETPIVOTDATA("XKL4",'kimlong (2016)'!$A$3,"MA_HT","DKV","MA_QH","PNK")</f>
        <v>0</v>
      </c>
      <c r="BE53" s="71">
        <f ca="1">+GETPIVOTDATA("XKL4",'kimlong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>SUM(E29:E39)</f>
        <v>0</v>
      </c>
      <c r="F54" s="52">
        <f ca="1">SUM(F29:F39)</f>
        <v>0</v>
      </c>
      <c r="G54" s="22">
        <f ca="1">+GETPIVOTDATA("XKL4",'kimlong (2016)'!$A$3,"MA_HT","TIN","MA_QH","LUC")</f>
        <v>0</v>
      </c>
      <c r="H54" s="22">
        <f ca="1">+GETPIVOTDATA("XKL4",'kimlong (2016)'!$A$3,"MA_HT","TIN","MA_QH","LUK")</f>
        <v>0</v>
      </c>
      <c r="I54" s="22">
        <f ca="1">+GETPIVOTDATA("XKL4",'kimlong (2016)'!$A$3,"MA_HT","TIN","MA_QH","LUN")</f>
        <v>0</v>
      </c>
      <c r="J54" s="22">
        <f ca="1">+GETPIVOTDATA("XKL4",'kimlong (2016)'!$A$3,"MA_HT","TIN","MA_QH","HNK")</f>
        <v>0</v>
      </c>
      <c r="K54" s="22">
        <f ca="1">+GETPIVOTDATA("XKL4",'kimlong (2016)'!$A$3,"MA_HT","TIN","MA_QH","CLN")</f>
        <v>0</v>
      </c>
      <c r="L54" s="22">
        <f ca="1">+GETPIVOTDATA("XKL4",'kimlong (2016)'!$A$3,"MA_HT","TIN","MA_QH","RSX")</f>
        <v>0</v>
      </c>
      <c r="M54" s="22">
        <f ca="1">+GETPIVOTDATA("XKL4",'kimlong (2016)'!$A$3,"MA_HT","TIN","MA_QH","RPH")</f>
        <v>0</v>
      </c>
      <c r="N54" s="22">
        <f ca="1">+GETPIVOTDATA("XKL4",'kimlong (2016)'!$A$3,"MA_HT","TIN","MA_QH","RDD")</f>
        <v>0</v>
      </c>
      <c r="O54" s="22">
        <f ca="1">+GETPIVOTDATA("XKL4",'kimlong (2016)'!$A$3,"MA_HT","TIN","MA_QH","NTS")</f>
        <v>0</v>
      </c>
      <c r="P54" s="22">
        <f ca="1">+GETPIVOTDATA("XKL4",'kimlong (2016)'!$A$3,"MA_HT","TIN","MA_QH","LMU")</f>
        <v>0</v>
      </c>
      <c r="Q54" s="22">
        <f ca="1">+GETPIVOTDATA("XKL4",'kimlong (2016)'!$A$3,"MA_HT","TIN","MA_QH","NKH")</f>
        <v>0</v>
      </c>
      <c r="R54" s="79">
        <f ca="1">SUM(S54:AA54,AN54:AZ54,BB54:BD54)</f>
        <v>0</v>
      </c>
      <c r="S54" s="22">
        <f ca="1">+GETPIVOTDATA("XKL4",'kimlong (2016)'!$A$3,"MA_HT","TIN","MA_QH","CQP")</f>
        <v>0</v>
      </c>
      <c r="T54" s="22">
        <f ca="1">+GETPIVOTDATA("XKL4",'kimlong (2016)'!$A$3,"MA_HT","TIN","MA_QH","CAN")</f>
        <v>0</v>
      </c>
      <c r="U54" s="22">
        <f ca="1">+GETPIVOTDATA("XKL4",'kimlong (2016)'!$A$3,"MA_HT","TIN","MA_QH","SKK")</f>
        <v>0</v>
      </c>
      <c r="V54" s="22">
        <f ca="1">+GETPIVOTDATA("XKL4",'kimlong (2016)'!$A$3,"MA_HT","TIN","MA_QH","SKT")</f>
        <v>0</v>
      </c>
      <c r="W54" s="22">
        <f ca="1">+GETPIVOTDATA("XKL4",'kimlong (2016)'!$A$3,"MA_HT","TIN","MA_QH","SKN")</f>
        <v>0</v>
      </c>
      <c r="X54" s="22">
        <f ca="1">+GETPIVOTDATA("XKL4",'kimlong (2016)'!$A$3,"MA_HT","TIN","MA_QH","TMD")</f>
        <v>0</v>
      </c>
      <c r="Y54" s="22">
        <f ca="1">+GETPIVOTDATA("XKL4",'kimlong (2016)'!$A$3,"MA_HT","TIN","MA_QH","SKC")</f>
        <v>0</v>
      </c>
      <c r="Z54" s="22">
        <f ca="1">+GETPIVOTDATA("XKL4",'kimlong (2016)'!$A$3,"MA_HT","TIN","MA_QH","SKS")</f>
        <v>0</v>
      </c>
      <c r="AA54" s="52">
        <f ca="1" t="shared" si="21"/>
        <v>0</v>
      </c>
      <c r="AB54" s="22">
        <f ca="1">+GETPIVOTDATA("XKL4",'kimlong (2016)'!$A$3,"MA_HT","TIN","MA_QH","DGT")</f>
        <v>0</v>
      </c>
      <c r="AC54" s="22">
        <f ca="1">+GETPIVOTDATA("XKL4",'kimlong (2016)'!$A$3,"MA_HT","TIN","MA_QH","DTL")</f>
        <v>0</v>
      </c>
      <c r="AD54" s="22">
        <f ca="1">+GETPIVOTDATA("XKL4",'kimlong (2016)'!$A$3,"MA_HT","TIN","MA_QH","DNL")</f>
        <v>0</v>
      </c>
      <c r="AE54" s="22">
        <f ca="1">+GETPIVOTDATA("XKL4",'kimlong (2016)'!$A$3,"MA_HT","TIN","MA_QH","DBV")</f>
        <v>0</v>
      </c>
      <c r="AF54" s="22">
        <f ca="1">+GETPIVOTDATA("XKL4",'kimlong (2016)'!$A$3,"MA_HT","TIN","MA_QH","DVH")</f>
        <v>0</v>
      </c>
      <c r="AG54" s="22">
        <f ca="1">+GETPIVOTDATA("XKL4",'kimlong (2016)'!$A$3,"MA_HT","TIN","MA_QH","DYT")</f>
        <v>0</v>
      </c>
      <c r="AH54" s="22">
        <f ca="1">+GETPIVOTDATA("XKL4",'kimlong (2016)'!$A$3,"MA_HT","TIN","MA_QH","DGD")</f>
        <v>0</v>
      </c>
      <c r="AI54" s="22">
        <f ca="1">+GETPIVOTDATA("XKL4",'kimlong (2016)'!$A$3,"MA_HT","TIN","MA_QH","DTT")</f>
        <v>0</v>
      </c>
      <c r="AJ54" s="22">
        <f ca="1">+GETPIVOTDATA("XKL4",'kimlong (2016)'!$A$3,"MA_HT","TIN","MA_QH","NCK")</f>
        <v>0</v>
      </c>
      <c r="AK54" s="22">
        <f ca="1">+GETPIVOTDATA("XKL4",'kimlong (2016)'!$A$3,"MA_HT","TIN","MA_QH","DXH")</f>
        <v>0</v>
      </c>
      <c r="AL54" s="22">
        <f ca="1">+GETPIVOTDATA("XKL4",'kimlong (2016)'!$A$3,"MA_HT","TIN","MA_QH","DCH")</f>
        <v>0</v>
      </c>
      <c r="AM54" s="22">
        <f ca="1">+GETPIVOTDATA("XKL4",'kimlong (2016)'!$A$3,"MA_HT","TIN","MA_QH","DKG")</f>
        <v>0</v>
      </c>
      <c r="AN54" s="22">
        <f ca="1">+GETPIVOTDATA("XKL4",'kimlong (2016)'!$A$3,"MA_HT","TIN","MA_QH","DDT")</f>
        <v>0</v>
      </c>
      <c r="AO54" s="22">
        <f ca="1">+GETPIVOTDATA("XKL4",'kimlong (2016)'!$A$3,"MA_HT","TIN","MA_QH","DDL")</f>
        <v>0</v>
      </c>
      <c r="AP54" s="22">
        <f ca="1">+GETPIVOTDATA("XKL4",'kimlong (2016)'!$A$3,"MA_HT","TIN","MA_QH","DRA")</f>
        <v>0</v>
      </c>
      <c r="AQ54" s="22">
        <f ca="1">+GETPIVOTDATA("XKL4",'kimlong (2016)'!$A$3,"MA_HT","TIN","MA_QH","ONT")</f>
        <v>0</v>
      </c>
      <c r="AR54" s="22">
        <f ca="1">+GETPIVOTDATA("XKL4",'kimlong (2016)'!$A$3,"MA_HT","TIN","MA_QH","ODT")</f>
        <v>0</v>
      </c>
      <c r="AS54" s="22">
        <f ca="1">+GETPIVOTDATA("XKL4",'kimlong (2016)'!$A$3,"MA_HT","TIN","MA_QH","TSC")</f>
        <v>0</v>
      </c>
      <c r="AT54" s="22">
        <f ca="1">+GETPIVOTDATA("XKL4",'kimlong (2016)'!$A$3,"MA_HT","TIN","MA_QH","DTS")</f>
        <v>0</v>
      </c>
      <c r="AU54" s="22">
        <f ca="1">+GETPIVOTDATA("XKL4",'kimlong (2016)'!$A$3,"MA_HT","TIN","MA_QH","DNG")</f>
        <v>0</v>
      </c>
      <c r="AV54" s="22">
        <f ca="1">+GETPIVOTDATA("XKL4",'kimlong (2016)'!$A$3,"MA_HT","TIN","MA_QH","TON")</f>
        <v>0</v>
      </c>
      <c r="AW54" s="22">
        <f ca="1">+GETPIVOTDATA("XKL4",'kimlong (2016)'!$A$3,"MA_HT","TIN","MA_QH","NTD")</f>
        <v>0</v>
      </c>
      <c r="AX54" s="22">
        <f ca="1">+GETPIVOTDATA("XKL4",'kimlong (2016)'!$A$3,"MA_HT","TIN","MA_QH","SKX")</f>
        <v>0</v>
      </c>
      <c r="AY54" s="22">
        <f ca="1">+GETPIVOTDATA("XKL4",'kimlong (2016)'!$A$3,"MA_HT","TIN","MA_QH","DSH")</f>
        <v>0</v>
      </c>
      <c r="AZ54" s="22">
        <f ca="1">+GETPIVOTDATA("XKL4",'kimlong (2016)'!$A$3,"MA_HT","TIN","MA_QH","DKV")</f>
        <v>0</v>
      </c>
      <c r="BA54" s="43" t="e">
        <f ca="1">$D54-$BF54</f>
        <v>#REF!</v>
      </c>
      <c r="BB54" s="22">
        <f ca="1">+GETPIVOTDATA("XKL4",'kimlong (2016)'!$A$3,"MA_HT","TIN","MA_QH","SON")</f>
        <v>0</v>
      </c>
      <c r="BC54" s="22">
        <f ca="1">+GETPIVOTDATA("XKL4",'kimlong (2016)'!$A$3,"MA_HT","TIN","MA_QH","MNC")</f>
        <v>0</v>
      </c>
      <c r="BD54" s="22">
        <f ca="1">+GETPIVOTDATA("XKL4",'kimlong (2016)'!$A$3,"MA_HT","TIN","MA_QH","PNK")</f>
        <v>0</v>
      </c>
      <c r="BE54" s="71">
        <f ca="1">+GETPIVOTDATA("XKL4",'kimlong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+GETPIVOTDATA("XKL4",'kimlong (2016)'!$A$3,"MA_HT","SON","MA_QH","LUC")</f>
        <v>0</v>
      </c>
      <c r="H55" s="22">
        <f ca="1">+GETPIVOTDATA("XKL4",'kimlong (2016)'!$A$3,"MA_HT","SON","MA_QH","LUK")</f>
        <v>0</v>
      </c>
      <c r="I55" s="22">
        <f ca="1">+GETPIVOTDATA("XKL4",'kimlong (2016)'!$A$3,"MA_HT","SON","MA_QH","LUN")</f>
        <v>0</v>
      </c>
      <c r="J55" s="22">
        <f ca="1">+GETPIVOTDATA("XKL4",'kimlong (2016)'!$A$3,"MA_HT","SON","MA_QH","HNK")</f>
        <v>0</v>
      </c>
      <c r="K55" s="22">
        <f ca="1">+GETPIVOTDATA("XKL4",'kimlong (2016)'!$A$3,"MA_HT","SON","MA_QH","CLN")</f>
        <v>0</v>
      </c>
      <c r="L55" s="22">
        <f ca="1">+GETPIVOTDATA("XKL4",'kimlong (2016)'!$A$3,"MA_HT","SON","MA_QH","RSX")</f>
        <v>0</v>
      </c>
      <c r="M55" s="22">
        <f ca="1">+GETPIVOTDATA("XKL4",'kimlong (2016)'!$A$3,"MA_HT","SON","MA_QH","RPH")</f>
        <v>0</v>
      </c>
      <c r="N55" s="22">
        <f ca="1">+GETPIVOTDATA("XKL4",'kimlong (2016)'!$A$3,"MA_HT","SON","MA_QH","RDD")</f>
        <v>0</v>
      </c>
      <c r="O55" s="22">
        <f ca="1">+GETPIVOTDATA("XKL4",'kimlong (2016)'!$A$3,"MA_HT","SON","MA_QH","NTS")</f>
        <v>0</v>
      </c>
      <c r="P55" s="22">
        <f ca="1">+GETPIVOTDATA("XKL4",'kimlong (2016)'!$A$3,"MA_HT","SON","MA_QH","LMU")</f>
        <v>0</v>
      </c>
      <c r="Q55" s="22">
        <f ca="1">+GETPIVOTDATA("XKL4",'kimlong (2016)'!$A$3,"MA_HT","SON","MA_QH","NKH")</f>
        <v>0</v>
      </c>
      <c r="R55" s="79">
        <f ca="1">SUM(S55:AA55,AN55:AZ55,BC55:BD55)</f>
        <v>0</v>
      </c>
      <c r="S55" s="22">
        <f ca="1">+GETPIVOTDATA("XKL4",'kimlong (2016)'!$A$3,"MA_HT","SON","MA_QH","CQP")</f>
        <v>0</v>
      </c>
      <c r="T55" s="22">
        <f ca="1">+GETPIVOTDATA("XKL4",'kimlong (2016)'!$A$3,"MA_HT","SON","MA_QH","CAN")</f>
        <v>0</v>
      </c>
      <c r="U55" s="22">
        <f ca="1">+GETPIVOTDATA("XKL4",'kimlong (2016)'!$A$3,"MA_HT","SON","MA_QH","SKK")</f>
        <v>0</v>
      </c>
      <c r="V55" s="22">
        <f ca="1">+GETPIVOTDATA("XKL4",'kimlong (2016)'!$A$3,"MA_HT","SON","MA_QH","SKT")</f>
        <v>0</v>
      </c>
      <c r="W55" s="22">
        <f ca="1">+GETPIVOTDATA("XKL4",'kimlong (2016)'!$A$3,"MA_HT","SON","MA_QH","SKN")</f>
        <v>0</v>
      </c>
      <c r="X55" s="22">
        <f ca="1">+GETPIVOTDATA("XKL4",'kimlong (2016)'!$A$3,"MA_HT","SON","MA_QH","TMD")</f>
        <v>0</v>
      </c>
      <c r="Y55" s="22">
        <f ca="1">+GETPIVOTDATA("XKL4",'kimlong (2016)'!$A$3,"MA_HT","SON","MA_QH","SKC")</f>
        <v>0</v>
      </c>
      <c r="Z55" s="22">
        <f ca="1">+GETPIVOTDATA("XKL4",'kimlong (2016)'!$A$3,"MA_HT","SON","MA_QH","SKS")</f>
        <v>0</v>
      </c>
      <c r="AA55" s="52">
        <f ca="1" t="shared" si="21"/>
        <v>0</v>
      </c>
      <c r="AB55" s="22">
        <f ca="1">+GETPIVOTDATA("XKL4",'kimlong (2016)'!$A$3,"MA_HT","SON","MA_QH","DGT")</f>
        <v>0</v>
      </c>
      <c r="AC55" s="22">
        <f ca="1">+GETPIVOTDATA("XKL4",'kimlong (2016)'!$A$3,"MA_HT","SON","MA_QH","DTL")</f>
        <v>0</v>
      </c>
      <c r="AD55" s="22">
        <f ca="1">+GETPIVOTDATA("XKL4",'kimlong (2016)'!$A$3,"MA_HT","SON","MA_QH","DNL")</f>
        <v>0</v>
      </c>
      <c r="AE55" s="22">
        <f ca="1">+GETPIVOTDATA("XKL4",'kimlong (2016)'!$A$3,"MA_HT","SON","MA_QH","DBV")</f>
        <v>0</v>
      </c>
      <c r="AF55" s="22">
        <f ca="1">+GETPIVOTDATA("XKL4",'kimlong (2016)'!$A$3,"MA_HT","SON","MA_QH","DVH")</f>
        <v>0</v>
      </c>
      <c r="AG55" s="22">
        <f ca="1">+GETPIVOTDATA("XKL4",'kimlong (2016)'!$A$3,"MA_HT","SON","MA_QH","DYT")</f>
        <v>0</v>
      </c>
      <c r="AH55" s="22">
        <f ca="1">+GETPIVOTDATA("XKL4",'kimlong (2016)'!$A$3,"MA_HT","SON","MA_QH","DGD")</f>
        <v>0</v>
      </c>
      <c r="AI55" s="22">
        <f ca="1">+GETPIVOTDATA("XKL4",'kimlong (2016)'!$A$3,"MA_HT","SON","MA_QH","DTT")</f>
        <v>0</v>
      </c>
      <c r="AJ55" s="22">
        <f ca="1">+GETPIVOTDATA("XKL4",'kimlong (2016)'!$A$3,"MA_HT","SON","MA_QH","NCK")</f>
        <v>0</v>
      </c>
      <c r="AK55" s="22">
        <f ca="1">+GETPIVOTDATA("XKL4",'kimlong (2016)'!$A$3,"MA_HT","SON","MA_QH","DXH")</f>
        <v>0</v>
      </c>
      <c r="AL55" s="22">
        <f ca="1">+GETPIVOTDATA("XKL4",'kimlong (2016)'!$A$3,"MA_HT","SON","MA_QH","DCH")</f>
        <v>0</v>
      </c>
      <c r="AM55" s="22">
        <f ca="1">+GETPIVOTDATA("XKL4",'kimlong (2016)'!$A$3,"MA_HT","SON","MA_QH","DKG")</f>
        <v>0</v>
      </c>
      <c r="AN55" s="22">
        <f ca="1">+GETPIVOTDATA("XKL4",'kimlong (2016)'!$A$3,"MA_HT","SON","MA_QH","DDT")</f>
        <v>0</v>
      </c>
      <c r="AO55" s="22">
        <f ca="1">+GETPIVOTDATA("XKL4",'kimlong (2016)'!$A$3,"MA_HT","SON","MA_QH","DDL")</f>
        <v>0</v>
      </c>
      <c r="AP55" s="22">
        <f ca="1">+GETPIVOTDATA("XKL4",'kimlong (2016)'!$A$3,"MA_HT","SON","MA_QH","DRA")</f>
        <v>0</v>
      </c>
      <c r="AQ55" s="22">
        <f ca="1">+GETPIVOTDATA("XKL4",'kimlong (2016)'!$A$3,"MA_HT","SON","MA_QH","ONT")</f>
        <v>0</v>
      </c>
      <c r="AR55" s="22">
        <f ca="1">+GETPIVOTDATA("XKL4",'kimlong (2016)'!$A$3,"MA_HT","SON","MA_QH","ODT")</f>
        <v>0</v>
      </c>
      <c r="AS55" s="22">
        <f ca="1">+GETPIVOTDATA("XKL4",'kimlong (2016)'!$A$3,"MA_HT","SON","MA_QH","TSC")</f>
        <v>0</v>
      </c>
      <c r="AT55" s="22">
        <f ca="1">+GETPIVOTDATA("XKL4",'kimlong (2016)'!$A$3,"MA_HT","SON","MA_QH","DTS")</f>
        <v>0</v>
      </c>
      <c r="AU55" s="22">
        <f ca="1">+GETPIVOTDATA("XKL4",'kimlong (2016)'!$A$3,"MA_HT","SON","MA_QH","DNG")</f>
        <v>0</v>
      </c>
      <c r="AV55" s="22">
        <f ca="1">+GETPIVOTDATA("XKL4",'kimlong (2016)'!$A$3,"MA_HT","SON","MA_QH","TON")</f>
        <v>0</v>
      </c>
      <c r="AW55" s="22">
        <f ca="1">+GETPIVOTDATA("XKL4",'kimlong (2016)'!$A$3,"MA_HT","SON","MA_QH","NTD")</f>
        <v>0</v>
      </c>
      <c r="AX55" s="22">
        <f ca="1">+GETPIVOTDATA("XKL4",'kimlong (2016)'!$A$3,"MA_HT","SON","MA_QH","SKX")</f>
        <v>0</v>
      </c>
      <c r="AY55" s="22">
        <f ca="1">+GETPIVOTDATA("XKL4",'kimlong (2016)'!$A$3,"MA_HT","SON","MA_QH","DSH")</f>
        <v>0</v>
      </c>
      <c r="AZ55" s="22">
        <f ca="1">+GETPIVOTDATA("XKL4",'kimlong (2016)'!$A$3,"MA_HT","SON","MA_QH","DKV")</f>
        <v>0</v>
      </c>
      <c r="BA55" s="89">
        <f ca="1">+GETPIVOTDATA("XKL4",'kimlong (2016)'!$A$3,"MA_HT","SON","MA_QH","TIN")</f>
        <v>0</v>
      </c>
      <c r="BB55" s="43" t="e">
        <f ca="1">$D55-$BF55</f>
        <v>#REF!</v>
      </c>
      <c r="BC55" s="50">
        <f ca="1">+GETPIVOTDATA("XKL4",'kimlong (2016)'!$A$3,"MA_HT","SON","MA_QH","MNC")</f>
        <v>0</v>
      </c>
      <c r="BD55" s="22">
        <f ca="1">+GETPIVOTDATA("XKL4",'kimlong (2016)'!$A$3,"MA_HT","SON","MA_QH","PNK")</f>
        <v>0</v>
      </c>
      <c r="BE55" s="71">
        <f ca="1">+GETPIVOTDATA("XKL4",'kimlong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+GETPIVOTDATA("XKL4",'kimlong (2016)'!$A$3,"MA_HT","MNC","MA_QH","LUC")</f>
        <v>0</v>
      </c>
      <c r="H56" s="22">
        <f ca="1">+GETPIVOTDATA("XKL4",'kimlong (2016)'!$A$3,"MA_HT","MNC","MA_QH","LUK")</f>
        <v>0</v>
      </c>
      <c r="I56" s="22">
        <f ca="1">+GETPIVOTDATA("XKL4",'kimlong (2016)'!$A$3,"MA_HT","MNC","MA_QH","LUN")</f>
        <v>0</v>
      </c>
      <c r="J56" s="22">
        <f ca="1">+GETPIVOTDATA("XKL4",'kimlong (2016)'!$A$3,"MA_HT","MNC","MA_QH","HNK")</f>
        <v>0</v>
      </c>
      <c r="K56" s="22">
        <f ca="1">+GETPIVOTDATA("XKL4",'kimlong (2016)'!$A$3,"MA_HT","MNC","MA_QH","CLN")</f>
        <v>0</v>
      </c>
      <c r="L56" s="22">
        <f ca="1">+GETPIVOTDATA("XKL4",'kimlong (2016)'!$A$3,"MA_HT","MNC","MA_QH","RSX")</f>
        <v>0</v>
      </c>
      <c r="M56" s="22">
        <f ca="1">+GETPIVOTDATA("XKL4",'kimlong (2016)'!$A$3,"MA_HT","MNC","MA_QH","RPH")</f>
        <v>0</v>
      </c>
      <c r="N56" s="22">
        <f ca="1">+GETPIVOTDATA("XKL4",'kimlong (2016)'!$A$3,"MA_HT","MNC","MA_QH","RDD")</f>
        <v>0</v>
      </c>
      <c r="O56" s="22">
        <f ca="1">+GETPIVOTDATA("XKL4",'kimlong (2016)'!$A$3,"MA_HT","MNC","MA_QH","NTS")</f>
        <v>0</v>
      </c>
      <c r="P56" s="22">
        <f ca="1">+GETPIVOTDATA("XKL4",'kimlong (2016)'!$A$3,"MA_HT","MNC","MA_QH","LMU")</f>
        <v>0</v>
      </c>
      <c r="Q56" s="22">
        <f ca="1">+GETPIVOTDATA("XKL4",'kimlong (2016)'!$A$3,"MA_HT","MNC","MA_QH","NKH")</f>
        <v>0</v>
      </c>
      <c r="R56" s="79">
        <f ca="1">SUM(S56:AA56,AN56:BB56,BD56)</f>
        <v>0</v>
      </c>
      <c r="S56" s="22">
        <f ca="1">+GETPIVOTDATA("XKL4",'kimlong (2016)'!$A$3,"MA_HT","MNC","MA_QH","CQP")</f>
        <v>0</v>
      </c>
      <c r="T56" s="22">
        <f ca="1">+GETPIVOTDATA("XKL4",'kimlong (2016)'!$A$3,"MA_HT","MNC","MA_QH","CAN")</f>
        <v>0</v>
      </c>
      <c r="U56" s="22">
        <f ca="1">+GETPIVOTDATA("XKL4",'kimlong (2016)'!$A$3,"MA_HT","MNC","MA_QH","SKK")</f>
        <v>0</v>
      </c>
      <c r="V56" s="22">
        <f ca="1">+GETPIVOTDATA("XKL4",'kimlong (2016)'!$A$3,"MA_HT","MNC","MA_QH","SKT")</f>
        <v>0</v>
      </c>
      <c r="W56" s="22">
        <f ca="1">+GETPIVOTDATA("XKL4",'kimlong (2016)'!$A$3,"MA_HT","MNC","MA_QH","SKN")</f>
        <v>0</v>
      </c>
      <c r="X56" s="22">
        <f ca="1">+GETPIVOTDATA("XKL4",'kimlong (2016)'!$A$3,"MA_HT","MNC","MA_QH","TMD")</f>
        <v>0</v>
      </c>
      <c r="Y56" s="22">
        <f ca="1">+GETPIVOTDATA("XKL4",'kimlong (2016)'!$A$3,"MA_HT","MNC","MA_QH","SKC")</f>
        <v>0</v>
      </c>
      <c r="Z56" s="22">
        <f ca="1">+GETPIVOTDATA("XKL4",'kimlong (2016)'!$A$3,"MA_HT","MNC","MA_QH","SKS")</f>
        <v>0</v>
      </c>
      <c r="AA56" s="52">
        <f ca="1" t="shared" si="21"/>
        <v>0</v>
      </c>
      <c r="AB56" s="22">
        <f ca="1">+GETPIVOTDATA("XKL4",'kimlong (2016)'!$A$3,"MA_HT","MNC","MA_QH","DGT")</f>
        <v>0</v>
      </c>
      <c r="AC56" s="22">
        <f ca="1">+GETPIVOTDATA("XKL4",'kimlong (2016)'!$A$3,"MA_HT","MNC","MA_QH","DTL")</f>
        <v>0</v>
      </c>
      <c r="AD56" s="22">
        <f ca="1">+GETPIVOTDATA("XKL4",'kimlong (2016)'!$A$3,"MA_HT","MNC","MA_QH","DNL")</f>
        <v>0</v>
      </c>
      <c r="AE56" s="22">
        <f ca="1">+GETPIVOTDATA("XKL4",'kimlong (2016)'!$A$3,"MA_HT","MNC","MA_QH","DBV")</f>
        <v>0</v>
      </c>
      <c r="AF56" s="22">
        <f ca="1">+GETPIVOTDATA("XKL4",'kimlong (2016)'!$A$3,"MA_HT","MNC","MA_QH","DVH")</f>
        <v>0</v>
      </c>
      <c r="AG56" s="22">
        <f ca="1">+GETPIVOTDATA("XKL4",'kimlong (2016)'!$A$3,"MA_HT","MNC","MA_QH","DYT")</f>
        <v>0</v>
      </c>
      <c r="AH56" s="22">
        <f ca="1">+GETPIVOTDATA("XKL4",'kimlong (2016)'!$A$3,"MA_HT","MNC","MA_QH","DGD")</f>
        <v>0</v>
      </c>
      <c r="AI56" s="22">
        <f ca="1">+GETPIVOTDATA("XKL4",'kimlong (2016)'!$A$3,"MA_HT","MNC","MA_QH","DTT")</f>
        <v>0</v>
      </c>
      <c r="AJ56" s="22">
        <f ca="1">+GETPIVOTDATA("XKL4",'kimlong (2016)'!$A$3,"MA_HT","MNC","MA_QH","NCK")</f>
        <v>0</v>
      </c>
      <c r="AK56" s="22">
        <f ca="1">+GETPIVOTDATA("XKL4",'kimlong (2016)'!$A$3,"MA_HT","MNC","MA_QH","DXH")</f>
        <v>0</v>
      </c>
      <c r="AL56" s="22">
        <f ca="1">+GETPIVOTDATA("XKL4",'kimlong (2016)'!$A$3,"MA_HT","MNC","MA_QH","DCH")</f>
        <v>0</v>
      </c>
      <c r="AM56" s="22">
        <f ca="1">+GETPIVOTDATA("XKL4",'kimlong (2016)'!$A$3,"MA_HT","MNC","MA_QH","DKG")</f>
        <v>0</v>
      </c>
      <c r="AN56" s="22">
        <f ca="1">+GETPIVOTDATA("XKL4",'kimlong (2016)'!$A$3,"MA_HT","MNC","MA_QH","DDT")</f>
        <v>0</v>
      </c>
      <c r="AO56" s="22">
        <f ca="1">+GETPIVOTDATA("XKL4",'kimlong (2016)'!$A$3,"MA_HT","MNC","MA_QH","DDL")</f>
        <v>0</v>
      </c>
      <c r="AP56" s="22">
        <f ca="1">+GETPIVOTDATA("XKL4",'kimlong (2016)'!$A$3,"MA_HT","MNC","MA_QH","DRA")</f>
        <v>0</v>
      </c>
      <c r="AQ56" s="22">
        <f ca="1">+GETPIVOTDATA("XKL4",'kimlong (2016)'!$A$3,"MA_HT","MNC","MA_QH","ONT")</f>
        <v>0</v>
      </c>
      <c r="AR56" s="22">
        <f ca="1">+GETPIVOTDATA("XKL4",'kimlong (2016)'!$A$3,"MA_HT","MNC","MA_QH","ODT")</f>
        <v>0</v>
      </c>
      <c r="AS56" s="22">
        <f ca="1">+GETPIVOTDATA("XKL4",'kimlong (2016)'!$A$3,"MA_HT","MNC","MA_QH","TSC")</f>
        <v>0</v>
      </c>
      <c r="AT56" s="22">
        <f ca="1">+GETPIVOTDATA("XKL4",'kimlong (2016)'!$A$3,"MA_HT","MNC","MA_QH","DTS")</f>
        <v>0</v>
      </c>
      <c r="AU56" s="22">
        <f ca="1">+GETPIVOTDATA("XKL4",'kimlong (2016)'!$A$3,"MA_HT","MNC","MA_QH","DNG")</f>
        <v>0</v>
      </c>
      <c r="AV56" s="22">
        <f ca="1">+GETPIVOTDATA("XKL4",'kimlong (2016)'!$A$3,"MA_HT","MNC","MA_QH","TON")</f>
        <v>0</v>
      </c>
      <c r="AW56" s="22">
        <f ca="1">+GETPIVOTDATA("XKL4",'kimlong (2016)'!$A$3,"MA_HT","MNC","MA_QH","NTD")</f>
        <v>0</v>
      </c>
      <c r="AX56" s="22">
        <f ca="1">+GETPIVOTDATA("XKL4",'kimlong (2016)'!$A$3,"MA_HT","MNC","MA_QH","SKX")</f>
        <v>0</v>
      </c>
      <c r="AY56" s="22">
        <f ca="1">+GETPIVOTDATA("XKL4",'kimlong (2016)'!$A$3,"MA_HT","MNC","MA_QH","DSH")</f>
        <v>0</v>
      </c>
      <c r="AZ56" s="22">
        <f ca="1">+GETPIVOTDATA("XKL4",'kimlong (2016)'!$A$3,"MA_HT","MNC","MA_QH","DKV")</f>
        <v>0</v>
      </c>
      <c r="BA56" s="89">
        <f ca="1">+GETPIVOTDATA("XKL4",'kimlong (2016)'!$A$3,"MA_HT","MNC","MA_QH","TIN")</f>
        <v>0</v>
      </c>
      <c r="BB56" s="50">
        <f ca="1">+GETPIVOTDATA("XKL4",'kimlong (2016)'!$A$3,"MA_HT","MNC","MA_QH","SON")</f>
        <v>0</v>
      </c>
      <c r="BC56" s="43" t="e">
        <f ca="1">$D56-$BF56</f>
        <v>#REF!</v>
      </c>
      <c r="BD56" s="22">
        <f ca="1">+GETPIVOTDATA("XKL4",'kimlong (2016)'!$A$3,"MA_HT","MNC","MA_QH","PNK")</f>
        <v>0</v>
      </c>
      <c r="BE56" s="71">
        <f ca="1">+GETPIVOTDATA("XKL4",'kimlong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+GETPIVOTDATA("XKL4",'kimlong (2016)'!$A$3,"MA_HT","PNK","MA_QH","LUC")</f>
        <v>0</v>
      </c>
      <c r="H57" s="22">
        <f ca="1">+GETPIVOTDATA("XKL4",'kimlong (2016)'!$A$3,"MA_HT","PNK","MA_QH","LUK")</f>
        <v>0</v>
      </c>
      <c r="I57" s="22">
        <f ca="1">+GETPIVOTDATA("XKL4",'kimlong (2016)'!$A$3,"MA_HT","PNK","MA_QH","LUN")</f>
        <v>0</v>
      </c>
      <c r="J57" s="22">
        <f ca="1">+GETPIVOTDATA("XKL4",'kimlong (2016)'!$A$3,"MA_HT","PNK","MA_QH","HNK")</f>
        <v>0</v>
      </c>
      <c r="K57" s="22">
        <f ca="1">+GETPIVOTDATA("XKL4",'kimlong (2016)'!$A$3,"MA_HT","PNK","MA_QH","CLN")</f>
        <v>0</v>
      </c>
      <c r="L57" s="22">
        <f ca="1">+GETPIVOTDATA("XKL4",'kimlong (2016)'!$A$3,"MA_HT","PNK","MA_QH","RSX")</f>
        <v>0</v>
      </c>
      <c r="M57" s="22">
        <f ca="1">+GETPIVOTDATA("XKL4",'kimlong (2016)'!$A$3,"MA_HT","PNK","MA_QH","RPH")</f>
        <v>0</v>
      </c>
      <c r="N57" s="22">
        <f ca="1">+GETPIVOTDATA("XKL4",'kimlong (2016)'!$A$3,"MA_HT","PNK","MA_QH","RDD")</f>
        <v>0</v>
      </c>
      <c r="O57" s="22">
        <f ca="1">+GETPIVOTDATA("XKL4",'kimlong (2016)'!$A$3,"MA_HT","PNK","MA_QH","NTS")</f>
        <v>0</v>
      </c>
      <c r="P57" s="22">
        <f ca="1">+GETPIVOTDATA("XKL4",'kimlong (2016)'!$A$3,"MA_HT","PNK","MA_QH","LMU")</f>
        <v>0</v>
      </c>
      <c r="Q57" s="22">
        <f ca="1">+GETPIVOTDATA("XKL4",'kimlong (2016)'!$A$3,"MA_HT","PNK","MA_QH","NKH")</f>
        <v>0</v>
      </c>
      <c r="R57" s="79">
        <f ca="1">SUM(S57:AA57,AN57:BC57)</f>
        <v>0</v>
      </c>
      <c r="S57" s="22">
        <f ca="1">+GETPIVOTDATA("XKL4",'kimlong (2016)'!$A$3,"MA_HT","PNK","MA_QH","CQP")</f>
        <v>0</v>
      </c>
      <c r="T57" s="22">
        <f ca="1">+GETPIVOTDATA("XKL4",'kimlong (2016)'!$A$3,"MA_HT","PNK","MA_QH","CAN")</f>
        <v>0</v>
      </c>
      <c r="U57" s="22">
        <f ca="1">+GETPIVOTDATA("XKL4",'kimlong (2016)'!$A$3,"MA_HT","PNK","MA_QH","SKK")</f>
        <v>0</v>
      </c>
      <c r="V57" s="22">
        <f ca="1">+GETPIVOTDATA("XKL4",'kimlong (2016)'!$A$3,"MA_HT","PNK","MA_QH","SKT")</f>
        <v>0</v>
      </c>
      <c r="W57" s="22">
        <f ca="1">+GETPIVOTDATA("XKL4",'kimlong (2016)'!$A$3,"MA_HT","PNK","MA_QH","SKN")</f>
        <v>0</v>
      </c>
      <c r="X57" s="22">
        <f ca="1">+GETPIVOTDATA("XKL4",'kimlong (2016)'!$A$3,"MA_HT","PNK","MA_QH","TMD")</f>
        <v>0</v>
      </c>
      <c r="Y57" s="22">
        <f ca="1">+GETPIVOTDATA("XKL4",'kimlong (2016)'!$A$3,"MA_HT","PNK","MA_QH","SKC")</f>
        <v>0</v>
      </c>
      <c r="Z57" s="22">
        <f ca="1">+GETPIVOTDATA("XKL4",'kimlong (2016)'!$A$3,"MA_HT","PNK","MA_QH","SKS")</f>
        <v>0</v>
      </c>
      <c r="AA57" s="52">
        <f ca="1" t="shared" si="21"/>
        <v>0</v>
      </c>
      <c r="AB57" s="22">
        <f ca="1">+GETPIVOTDATA("XKL4",'kimlong (2016)'!$A$3,"MA_HT","PNK","MA_QH","DGT")</f>
        <v>0</v>
      </c>
      <c r="AC57" s="22">
        <f ca="1">+GETPIVOTDATA("XKL4",'kimlong (2016)'!$A$3,"MA_HT","PNK","MA_QH","DTL")</f>
        <v>0</v>
      </c>
      <c r="AD57" s="22">
        <f ca="1">+GETPIVOTDATA("XKL4",'kimlong (2016)'!$A$3,"MA_HT","PNK","MA_QH","DNL")</f>
        <v>0</v>
      </c>
      <c r="AE57" s="22">
        <f ca="1">+GETPIVOTDATA("XKL4",'kimlong (2016)'!$A$3,"MA_HT","PNK","MA_QH","DBV")</f>
        <v>0</v>
      </c>
      <c r="AF57" s="22">
        <f ca="1">+GETPIVOTDATA("XKL4",'kimlong (2016)'!$A$3,"MA_HT","PNK","MA_QH","DVH")</f>
        <v>0</v>
      </c>
      <c r="AG57" s="22">
        <f ca="1">+GETPIVOTDATA("XKL4",'kimlong (2016)'!$A$3,"MA_HT","PNK","MA_QH","DYT")</f>
        <v>0</v>
      </c>
      <c r="AH57" s="22">
        <f ca="1">+GETPIVOTDATA("XKL4",'kimlong (2016)'!$A$3,"MA_HT","PNK","MA_QH","DGD")</f>
        <v>0</v>
      </c>
      <c r="AI57" s="22">
        <f ca="1">+GETPIVOTDATA("XKL4",'kimlong (2016)'!$A$3,"MA_HT","PNK","MA_QH","DTT")</f>
        <v>0</v>
      </c>
      <c r="AJ57" s="22">
        <f ca="1">+GETPIVOTDATA("XKL4",'kimlong (2016)'!$A$3,"MA_HT","PNK","MA_QH","NCK")</f>
        <v>0</v>
      </c>
      <c r="AK57" s="22">
        <f ca="1">+GETPIVOTDATA("XKL4",'kimlong (2016)'!$A$3,"MA_HT","PNK","MA_QH","DXH")</f>
        <v>0</v>
      </c>
      <c r="AL57" s="22">
        <f ca="1">+GETPIVOTDATA("XKL4",'kimlong (2016)'!$A$3,"MA_HT","PNK","MA_QH","DCH")</f>
        <v>0</v>
      </c>
      <c r="AM57" s="22">
        <f ca="1">+GETPIVOTDATA("XKL4",'kimlong (2016)'!$A$3,"MA_HT","PNK","MA_QH","DKG")</f>
        <v>0</v>
      </c>
      <c r="AN57" s="22">
        <f ca="1">+GETPIVOTDATA("XKL4",'kimlong (2016)'!$A$3,"MA_HT","PNK","MA_QH","DDT")</f>
        <v>0</v>
      </c>
      <c r="AO57" s="22">
        <f ca="1">+GETPIVOTDATA("XKL4",'kimlong (2016)'!$A$3,"MA_HT","PNK","MA_QH","DDL")</f>
        <v>0</v>
      </c>
      <c r="AP57" s="22">
        <f ca="1">+GETPIVOTDATA("XKL4",'kimlong (2016)'!$A$3,"MA_HT","PNK","MA_QH","DRA")</f>
        <v>0</v>
      </c>
      <c r="AQ57" s="22">
        <f ca="1">+GETPIVOTDATA("XKL4",'kimlong (2016)'!$A$3,"MA_HT","PNK","MA_QH","ONT")</f>
        <v>0</v>
      </c>
      <c r="AR57" s="22">
        <f ca="1">+GETPIVOTDATA("XKL4",'kimlong (2016)'!$A$3,"MA_HT","PNK","MA_QH","ODT")</f>
        <v>0</v>
      </c>
      <c r="AS57" s="22">
        <f ca="1">+GETPIVOTDATA("XKL4",'kimlong (2016)'!$A$3,"MA_HT","PNK","MA_QH","TSC")</f>
        <v>0</v>
      </c>
      <c r="AT57" s="22">
        <f ca="1">+GETPIVOTDATA("XKL4",'kimlong (2016)'!$A$3,"MA_HT","PNK","MA_QH","DTS")</f>
        <v>0</v>
      </c>
      <c r="AU57" s="22">
        <f ca="1">+GETPIVOTDATA("XKL4",'kimlong (2016)'!$A$3,"MA_HT","PNK","MA_QH","DNG")</f>
        <v>0</v>
      </c>
      <c r="AV57" s="22">
        <f ca="1">+GETPIVOTDATA("XKL4",'kimlong (2016)'!$A$3,"MA_HT","PNK","MA_QH","TON")</f>
        <v>0</v>
      </c>
      <c r="AW57" s="22">
        <f ca="1">+GETPIVOTDATA("XKL4",'kimlong (2016)'!$A$3,"MA_HT","PNK","MA_QH","NTD")</f>
        <v>0</v>
      </c>
      <c r="AX57" s="22">
        <f ca="1">+GETPIVOTDATA("XKL4",'kimlong (2016)'!$A$3,"MA_HT","PNK","MA_QH","SKX")</f>
        <v>0</v>
      </c>
      <c r="AY57" s="22">
        <f ca="1">+GETPIVOTDATA("XKL4",'kimlong (2016)'!$A$3,"MA_HT","PNK","MA_QH","DSH")</f>
        <v>0</v>
      </c>
      <c r="AZ57" s="22">
        <f ca="1">+GETPIVOTDATA("XKL4",'kimlong (2016)'!$A$3,"MA_HT","PNK","MA_QH","DKV")</f>
        <v>0</v>
      </c>
      <c r="BA57" s="89">
        <f ca="1">+GETPIVOTDATA("XKL4",'kimlong (2016)'!$A$3,"MA_HT","PNK","MA_QH","TIN")</f>
        <v>0</v>
      </c>
      <c r="BB57" s="50">
        <f ca="1">+GETPIVOTDATA("XKL4",'kimlong (2016)'!$A$3,"MA_HT","PNK","MA_QH","SON")</f>
        <v>0</v>
      </c>
      <c r="BC57" s="50">
        <f ca="1">+GETPIVOTDATA("XKL4",'kimlong (2016)'!$A$3,"MA_HT","PNK","MA_QH","MNC")</f>
        <v>0</v>
      </c>
      <c r="BD57" s="43" t="e">
        <f ca="1">$D57-$BF57</f>
        <v>#REF!</v>
      </c>
      <c r="BE57" s="71">
        <f ca="1">+GETPIVOTDATA("XKL4",'kimlong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+GETPIVOTDATA("XKL4",'kimlong (2016)'!$A$3,"MA_HT","CSD","MA_QH","LUC")</f>
        <v>0</v>
      </c>
      <c r="H58" s="71">
        <f ca="1">+GETPIVOTDATA("XKL4",'kimlong (2016)'!$A$3,"MA_HT","CSD","MA_QH","LUK")</f>
        <v>0</v>
      </c>
      <c r="I58" s="71">
        <f ca="1">+GETPIVOTDATA("XKL4",'kimlong (2016)'!$A$3,"MA_HT","CSD","MA_QH","LUN")</f>
        <v>0</v>
      </c>
      <c r="J58" s="71">
        <f ca="1">+GETPIVOTDATA("XKL4",'kimlong (2016)'!$A$3,"MA_HT","CSD","MA_QH","HNK")</f>
        <v>0</v>
      </c>
      <c r="K58" s="71">
        <f ca="1">+GETPIVOTDATA("XKL4",'kimlong (2016)'!$A$3,"MA_HT","CSD","MA_QH","CLN")</f>
        <v>0</v>
      </c>
      <c r="L58" s="71">
        <f ca="1">+GETPIVOTDATA("XKL4",'kimlong (2016)'!$A$3,"MA_HT","CSD","MA_QH","RSX")</f>
        <v>0</v>
      </c>
      <c r="M58" s="71">
        <f ca="1">+GETPIVOTDATA("XKL4",'kimlong (2016)'!$A$3,"MA_HT","CSD","MA_QH","RPH")</f>
        <v>0</v>
      </c>
      <c r="N58" s="71">
        <f ca="1">+GETPIVOTDATA("XKL4",'kimlong (2016)'!$A$3,"MA_HT","CSD","MA_QH","RDD")</f>
        <v>0</v>
      </c>
      <c r="O58" s="71">
        <f ca="1">+GETPIVOTDATA("XKL4",'kimlong (2016)'!$A$3,"MA_HT","CSD","MA_QH","NTS")</f>
        <v>0</v>
      </c>
      <c r="P58" s="71">
        <f ca="1">+GETPIVOTDATA("XKL4",'kimlong (2016)'!$A$3,"MA_HT","CSD","MA_QH","LMU")</f>
        <v>0</v>
      </c>
      <c r="Q58" s="71">
        <f ca="1">+GETPIVOTDATA("XKL4",'kimlong (2016)'!$A$3,"MA_HT","CSD","MA_QH","NKH")</f>
        <v>0</v>
      </c>
      <c r="R58" s="79">
        <f ca="1">SUM(S58:AA58,AN58:BD58)</f>
        <v>0</v>
      </c>
      <c r="S58" s="80">
        <f ca="1">+GETPIVOTDATA("XKL4",'kimlong (2016)'!$A$3,"MA_HT","CSD","MA_QH","CQP")</f>
        <v>0</v>
      </c>
      <c r="T58" s="80">
        <f ca="1">+GETPIVOTDATA("XKL4",'kimlong (2016)'!$A$3,"MA_HT","CSD","MA_QH","CAN")</f>
        <v>0</v>
      </c>
      <c r="U58" s="71">
        <f ca="1">+GETPIVOTDATA("XKL4",'kimlong (2016)'!$A$3,"MA_HT","CSD","MA_QH","SKK")</f>
        <v>0</v>
      </c>
      <c r="V58" s="71">
        <f ca="1">+GETPIVOTDATA("XKL4",'kimlong (2016)'!$A$3,"MA_HT","CSD","MA_QH","SKT")</f>
        <v>0</v>
      </c>
      <c r="W58" s="71">
        <f ca="1">+GETPIVOTDATA("XKL4",'kimlong (2016)'!$A$3,"MA_HT","CSD","MA_QH","SKN")</f>
        <v>0</v>
      </c>
      <c r="X58" s="71">
        <f ca="1">+GETPIVOTDATA("XKL4",'kimlong (2016)'!$A$3,"MA_HT","CSD","MA_QH","TMD")</f>
        <v>0</v>
      </c>
      <c r="Y58" s="71">
        <f ca="1">+GETPIVOTDATA("XKL4",'kimlong (2016)'!$A$3,"MA_HT","CSD","MA_QH","SKC")</f>
        <v>0</v>
      </c>
      <c r="Z58" s="71">
        <f ca="1">+GETPIVOTDATA("XKL4",'kimlong (2016)'!$A$3,"MA_HT","CSD","MA_QH","SKS")</f>
        <v>0</v>
      </c>
      <c r="AA58" s="52">
        <f ca="1" t="shared" si="21"/>
        <v>0</v>
      </c>
      <c r="AB58" s="80">
        <f ca="1">+GETPIVOTDATA("XKL4",'kimlong (2016)'!$A$3,"MA_HT","CSD","MA_QH","DGT")</f>
        <v>0</v>
      </c>
      <c r="AC58" s="80">
        <f ca="1">+GETPIVOTDATA("XKL4",'kimlong (2016)'!$A$3,"MA_HT","CSD","MA_QH","DTL")</f>
        <v>0</v>
      </c>
      <c r="AD58" s="80">
        <f ca="1">+GETPIVOTDATA("XKL4",'kimlong (2016)'!$A$3,"MA_HT","CSD","MA_QH","DNL")</f>
        <v>0</v>
      </c>
      <c r="AE58" s="80">
        <f ca="1">+GETPIVOTDATA("XKL4",'kimlong (2016)'!$A$3,"MA_HT","CSD","MA_QH","DBV")</f>
        <v>0</v>
      </c>
      <c r="AF58" s="80">
        <f ca="1">+GETPIVOTDATA("XKL4",'kimlong (2016)'!$A$3,"MA_HT","CSD","MA_QH","DVH")</f>
        <v>0</v>
      </c>
      <c r="AG58" s="80">
        <f ca="1">+GETPIVOTDATA("XKL4",'kimlong (2016)'!$A$3,"MA_HT","CSD","MA_QH","DYT")</f>
        <v>0</v>
      </c>
      <c r="AH58" s="80">
        <f ca="1">+GETPIVOTDATA("XKL4",'kimlong (2016)'!$A$3,"MA_HT","CSD","MA_QH","DGD")</f>
        <v>0</v>
      </c>
      <c r="AI58" s="80">
        <f ca="1">+GETPIVOTDATA("XKL4",'kimlong (2016)'!$A$3,"MA_HT","CSD","MA_QH","DTT")</f>
        <v>0</v>
      </c>
      <c r="AJ58" s="80">
        <f ca="1">+GETPIVOTDATA("XKL4",'kimlong (2016)'!$A$3,"MA_HT","CSD","MA_QH","NCK")</f>
        <v>0</v>
      </c>
      <c r="AK58" s="80">
        <f ca="1">+GETPIVOTDATA("XKL4",'kimlong (2016)'!$A$3,"MA_HT","CSD","MA_QH","DXH")</f>
        <v>0</v>
      </c>
      <c r="AL58" s="80">
        <f ca="1">+GETPIVOTDATA("XKL4",'kimlong (2016)'!$A$3,"MA_HT","CSD","MA_QH","DCH")</f>
        <v>0</v>
      </c>
      <c r="AM58" s="80">
        <f ca="1">+GETPIVOTDATA("XKL4",'kimlong (2016)'!$A$3,"MA_HT","CSD","MA_QH","DKG")</f>
        <v>0</v>
      </c>
      <c r="AN58" s="71">
        <f ca="1">+GETPIVOTDATA("XKL4",'kimlong (2016)'!$A$3,"MA_HT","CSD","MA_QH","DDT")</f>
        <v>0</v>
      </c>
      <c r="AO58" s="71">
        <f ca="1">+GETPIVOTDATA("XKL4",'kimlong (2016)'!$A$3,"MA_HT","CSD","MA_QH","DDL")</f>
        <v>0</v>
      </c>
      <c r="AP58" s="71">
        <f ca="1">+GETPIVOTDATA("XKL4",'kimlong (2016)'!$A$3,"MA_HT","CSD","MA_QH","DRA")</f>
        <v>0</v>
      </c>
      <c r="AQ58" s="71">
        <f ca="1">+GETPIVOTDATA("XKL4",'kimlong (2016)'!$A$3,"MA_HT","CSD","MA_QH","ONT")</f>
        <v>0</v>
      </c>
      <c r="AR58" s="71">
        <f ca="1">+GETPIVOTDATA("XKL4",'kimlong (2016)'!$A$3,"MA_HT","CSD","MA_QH","ODT")</f>
        <v>0</v>
      </c>
      <c r="AS58" s="71">
        <f ca="1">+GETPIVOTDATA("XKL4",'kimlong (2016)'!$A$3,"MA_HT","CSD","MA_QH","TSC")</f>
        <v>0</v>
      </c>
      <c r="AT58" s="71">
        <f ca="1">+GETPIVOTDATA("XKL4",'kimlong (2016)'!$A$3,"MA_HT","CSD","MA_QH","DTS")</f>
        <v>0</v>
      </c>
      <c r="AU58" s="71">
        <f ca="1">+GETPIVOTDATA("XKL4",'kimlong (2016)'!$A$3,"MA_HT","CSD","MA_QH","DNG")</f>
        <v>0</v>
      </c>
      <c r="AV58" s="71">
        <f ca="1">+GETPIVOTDATA("XKL4",'kimlong (2016)'!$A$3,"MA_HT","CSD","MA_QH","TON")</f>
        <v>0</v>
      </c>
      <c r="AW58" s="71">
        <f ca="1">+GETPIVOTDATA("XKL4",'kimlong (2016)'!$A$3,"MA_HT","CSD","MA_QH","NTD")</f>
        <v>0</v>
      </c>
      <c r="AX58" s="71">
        <f ca="1">+GETPIVOTDATA("XKL4",'kimlong (2016)'!$A$3,"MA_HT","CSD","MA_QH","SKX")</f>
        <v>0</v>
      </c>
      <c r="AY58" s="71">
        <f ca="1">+GETPIVOTDATA("XKL4",'kimlong (2016)'!$A$3,"MA_HT","CSD","MA_QH","DSH")</f>
        <v>0</v>
      </c>
      <c r="AZ58" s="71">
        <f ca="1">+GETPIVOTDATA("XKL4",'kimlong (2016)'!$A$3,"MA_HT","CSD","MA_QH","DKV")</f>
        <v>0</v>
      </c>
      <c r="BA58" s="89">
        <f ca="1">+GETPIVOTDATA("XKL4",'kimlong (2016)'!$A$3,"MA_HT","CSD","MA_QH","TIN")</f>
        <v>0</v>
      </c>
      <c r="BB58" s="80">
        <f ca="1">+GETPIVOTDATA("XKL4",'kimlong (2016)'!$A$3,"MA_HT","CSD","MA_QH","SON")</f>
        <v>0</v>
      </c>
      <c r="BC58" s="80">
        <f ca="1">+GETPIVOTDATA("XKL4",'kimlong (2016)'!$A$3,"MA_HT","CSD","MA_QH","MNC")</f>
        <v>0</v>
      </c>
      <c r="BD58" s="71">
        <f ca="1">+GETPIVOTDATA("XKL4",'kimlong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7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+GETPIVOTDATA("XLL4",'langlon (2016)'!$A$3,"MA_HT","LUC","MA_QH","LUK")</f>
        <v>0</v>
      </c>
      <c r="I8" s="50">
        <f ca="1">+GETPIVOTDATA("XLL4",'langlon (2016)'!$A$3,"MA_HT","LUC","MA_QH","LUN")</f>
        <v>0</v>
      </c>
      <c r="J8" s="50">
        <f ca="1">+GETPIVOTDATA("XLL4",'langlon (2016)'!$A$3,"MA_HT","LUC","MA_QH","HNK")</f>
        <v>0</v>
      </c>
      <c r="K8" s="50">
        <f ca="1">+GETPIVOTDATA("XLL4",'langlon (2016)'!$A$3,"MA_HT","LUC","MA_QH","CLN")</f>
        <v>0</v>
      </c>
      <c r="L8" s="50">
        <f ca="1">+GETPIVOTDATA("XLL4",'langlon (2016)'!$A$3,"MA_HT","LUC","MA_QH","RSX")</f>
        <v>0</v>
      </c>
      <c r="M8" s="50">
        <f ca="1">+GETPIVOTDATA("XLL4",'langlon (2016)'!$A$3,"MA_HT","LUC","MA_QH","RPH")</f>
        <v>0</v>
      </c>
      <c r="N8" s="50">
        <f ca="1">+GETPIVOTDATA("XLL4",'langlon (2016)'!$A$3,"MA_HT","LUC","MA_QH","RDD")</f>
        <v>0</v>
      </c>
      <c r="O8" s="50">
        <f ca="1">+GETPIVOTDATA("XLL4",'langlon (2016)'!$A$3,"MA_HT","LUC","MA_QH","NTS")</f>
        <v>0</v>
      </c>
      <c r="P8" s="50">
        <f ca="1">+GETPIVOTDATA("XLL4",'langlon (2016)'!$A$3,"MA_HT","LUC","MA_QH","LMU")</f>
        <v>0</v>
      </c>
      <c r="Q8" s="50">
        <f ca="1">+GETPIVOTDATA("XLL4",'langlon (2016)'!$A$3,"MA_HT","LUC","MA_QH","NKH")</f>
        <v>0</v>
      </c>
      <c r="R8" s="48">
        <f ca="1" t="shared" si="2"/>
        <v>0</v>
      </c>
      <c r="S8" s="50">
        <f ca="1">+GETPIVOTDATA("XLL4",'langlon (2016)'!$A$3,"MA_HT","LUC","MA_QH","CQP")</f>
        <v>0</v>
      </c>
      <c r="T8" s="50">
        <f ca="1">+GETPIVOTDATA("XLL4",'langlon (2016)'!$A$3,"MA_HT","LUC","MA_QH","CAN")</f>
        <v>0</v>
      </c>
      <c r="U8" s="50">
        <f ca="1">+GETPIVOTDATA("XLL4",'langlon (2016)'!$A$3,"MA_HT","LUC","MA_QH","SKK")</f>
        <v>0</v>
      </c>
      <c r="V8" s="50">
        <f ca="1">+GETPIVOTDATA("XLL4",'langlon (2016)'!$A$3,"MA_HT","LUC","MA_QH","SKT")</f>
        <v>0</v>
      </c>
      <c r="W8" s="50">
        <f ca="1">+GETPIVOTDATA("XLL4",'langlon (2016)'!$A$3,"MA_HT","LUC","MA_QH","SKN")</f>
        <v>0</v>
      </c>
      <c r="X8" s="50">
        <f ca="1">+GETPIVOTDATA("XLL4",'langlon (2016)'!$A$3,"MA_HT","LUC","MA_QH","TMD")</f>
        <v>0</v>
      </c>
      <c r="Y8" s="50">
        <f ca="1">+GETPIVOTDATA("XLL4",'langlon (2016)'!$A$3,"MA_HT","LUC","MA_QH","SKC")</f>
        <v>0</v>
      </c>
      <c r="Z8" s="50">
        <f ca="1">+GETPIVOTDATA("XLL4",'langlon (2016)'!$A$3,"MA_HT","LUC","MA_QH","SKS")</f>
        <v>0</v>
      </c>
      <c r="AA8" s="52">
        <f ca="1" t="shared" si="4"/>
        <v>0</v>
      </c>
      <c r="AB8" s="50">
        <f ca="1">+GETPIVOTDATA("XLL4",'langlon (2016)'!$A$3,"MA_HT","LUC","MA_QH","DGT")</f>
        <v>0</v>
      </c>
      <c r="AC8" s="50">
        <f ca="1">+GETPIVOTDATA("XLL4",'langlon (2016)'!$A$3,"MA_HT","LUC","MA_QH","DTL")</f>
        <v>0</v>
      </c>
      <c r="AD8" s="50">
        <f ca="1">+GETPIVOTDATA("XLL4",'langlon (2016)'!$A$3,"MA_HT","LUC","MA_QH","DNL")</f>
        <v>0</v>
      </c>
      <c r="AE8" s="50">
        <f ca="1">+GETPIVOTDATA("XLL4",'langlon (2016)'!$A$3,"MA_HT","LUC","MA_QH","DBV")</f>
        <v>0</v>
      </c>
      <c r="AF8" s="50">
        <f ca="1">+GETPIVOTDATA("XLL4",'langlon (2016)'!$A$3,"MA_HT","LUC","MA_QH","DVH")</f>
        <v>0</v>
      </c>
      <c r="AG8" s="50">
        <f ca="1">+GETPIVOTDATA("XLL4",'langlon (2016)'!$A$3,"MA_HT","LUC","MA_QH","DYT")</f>
        <v>0</v>
      </c>
      <c r="AH8" s="50">
        <f ca="1">+GETPIVOTDATA("XLL4",'langlon (2016)'!$A$3,"MA_HT","LUC","MA_QH","DGD")</f>
        <v>0</v>
      </c>
      <c r="AI8" s="50">
        <f ca="1">+GETPIVOTDATA("XLL4",'langlon (2016)'!$A$3,"MA_HT","LUC","MA_QH","DTT")</f>
        <v>0</v>
      </c>
      <c r="AJ8" s="50">
        <f ca="1">+GETPIVOTDATA("XLL4",'langlon (2016)'!$A$3,"MA_HT","LUC","MA_QH","NCK")</f>
        <v>0</v>
      </c>
      <c r="AK8" s="50">
        <f ca="1">+GETPIVOTDATA("XLL4",'langlon (2016)'!$A$3,"MA_HT","LUC","MA_QH","DXH")</f>
        <v>0</v>
      </c>
      <c r="AL8" s="50">
        <f ca="1">+GETPIVOTDATA("XLL4",'langlon (2016)'!$A$3,"MA_HT","LUC","MA_QH","DCH")</f>
        <v>0</v>
      </c>
      <c r="AM8" s="50">
        <f ca="1">+GETPIVOTDATA("XLL4",'langlon (2016)'!$A$3,"MA_HT","LUC","MA_QH","DKG")</f>
        <v>0</v>
      </c>
      <c r="AN8" s="50">
        <f ca="1">+GETPIVOTDATA("XLL4",'langlon (2016)'!$A$3,"MA_HT","LUC","MA_QH","DDT")</f>
        <v>0</v>
      </c>
      <c r="AO8" s="50">
        <f ca="1">+GETPIVOTDATA("XLL4",'langlon (2016)'!$A$3,"MA_HT","LUC","MA_QH","DDL")</f>
        <v>0</v>
      </c>
      <c r="AP8" s="50">
        <f ca="1">+GETPIVOTDATA("XLL4",'langlon (2016)'!$A$3,"MA_HT","LUC","MA_QH","DRA")</f>
        <v>0</v>
      </c>
      <c r="AQ8" s="50">
        <f ca="1">+GETPIVOTDATA("XLL4",'langlon (2016)'!$A$3,"MA_HT","LUC","MA_QH","ONT")</f>
        <v>0</v>
      </c>
      <c r="AR8" s="50">
        <f ca="1">+GETPIVOTDATA("XLL4",'langlon (2016)'!$A$3,"MA_HT","LUC","MA_QH","ODT")</f>
        <v>0</v>
      </c>
      <c r="AS8" s="50">
        <f ca="1">+GETPIVOTDATA("XLL4",'langlon (2016)'!$A$3,"MA_HT","LUC","MA_QH","TSC")</f>
        <v>0</v>
      </c>
      <c r="AT8" s="50">
        <f ca="1">+GETPIVOTDATA("XLL4",'langlon (2016)'!$A$3,"MA_HT","LUC","MA_QH","DTS")</f>
        <v>0</v>
      </c>
      <c r="AU8" s="50">
        <f ca="1">+GETPIVOTDATA("XLL4",'langlon (2016)'!$A$3,"MA_HT","LUC","MA_QH","DNG")</f>
        <v>0</v>
      </c>
      <c r="AV8" s="50">
        <f ca="1">+GETPIVOTDATA("XLL4",'langlon (2016)'!$A$3,"MA_HT","LUC","MA_QH","TON")</f>
        <v>0</v>
      </c>
      <c r="AW8" s="50">
        <f ca="1">+GETPIVOTDATA("XLL4",'langlon (2016)'!$A$3,"MA_HT","LUC","MA_QH","NTD")</f>
        <v>0</v>
      </c>
      <c r="AX8" s="50">
        <f ca="1">+GETPIVOTDATA("XLL4",'langlon (2016)'!$A$3,"MA_HT","LUC","MA_QH","SKX")</f>
        <v>0</v>
      </c>
      <c r="AY8" s="50">
        <f ca="1">+GETPIVOTDATA("XLL4",'langlon (2016)'!$A$3,"MA_HT","LUC","MA_QH","DSH")</f>
        <v>0</v>
      </c>
      <c r="AZ8" s="50">
        <f ca="1">+GETPIVOTDATA("XLL4",'langlon (2016)'!$A$3,"MA_HT","LUC","MA_QH","DKV")</f>
        <v>0</v>
      </c>
      <c r="BA8" s="88">
        <f ca="1">+GETPIVOTDATA("XLL4",'langlon (2016)'!$A$3,"MA_HT","LUC","MA_QH","TIN")</f>
        <v>0</v>
      </c>
      <c r="BB8" s="50">
        <f ca="1">+GETPIVOTDATA("XLL4",'langlon (2016)'!$A$3,"MA_HT","LUC","MA_QH","SON")</f>
        <v>0</v>
      </c>
      <c r="BC8" s="50">
        <f ca="1">+GETPIVOTDATA("XLL4",'langlon (2016)'!$A$3,"MA_HT","LUC","MA_QH","MNC")</f>
        <v>0</v>
      </c>
      <c r="BD8" s="50">
        <f ca="1">+GETPIVOTDATA("XLL4",'langlon (2016)'!$A$3,"MA_HT","LUC","MA_QH","PNK")</f>
        <v>0</v>
      </c>
      <c r="BE8" s="80">
        <f ca="1">+GETPIVOTDATA("XLL4",'langlon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+GETPIVOTDATA("XLL4",'langlon (2016)'!$A$3,"MA_HT","LUK","MA_QH","LUC")</f>
        <v>0</v>
      </c>
      <c r="H9" s="49" t="e">
        <f ca="1">$D9-$BF9</f>
        <v>#REF!</v>
      </c>
      <c r="I9" s="50">
        <f ca="1">+GETPIVOTDATA("XLL4",'langlon (2016)'!$A$3,"MA_HT","LUK","MA_QH","LUN")</f>
        <v>0</v>
      </c>
      <c r="J9" s="50">
        <f ca="1">+GETPIVOTDATA("XLL4",'langlon (2016)'!$A$3,"MA_HT","LUK","MA_QH","HNK")</f>
        <v>0</v>
      </c>
      <c r="K9" s="50">
        <f ca="1">+GETPIVOTDATA("XLL4",'langlon (2016)'!$A$3,"MA_HT","LUK","MA_QH","CLN")</f>
        <v>0</v>
      </c>
      <c r="L9" s="50">
        <f ca="1">+GETPIVOTDATA("XLL4",'langlon (2016)'!$A$3,"MA_HT","LUK","MA_QH","RSX")</f>
        <v>0</v>
      </c>
      <c r="M9" s="50">
        <f ca="1">+GETPIVOTDATA("XLL4",'langlon (2016)'!$A$3,"MA_HT","LUK","MA_QH","RPH")</f>
        <v>0</v>
      </c>
      <c r="N9" s="50">
        <f ca="1">+GETPIVOTDATA("XLL4",'langlon (2016)'!$A$3,"MA_HT","LUK","MA_QH","RDD")</f>
        <v>0</v>
      </c>
      <c r="O9" s="50">
        <f ca="1">+GETPIVOTDATA("XLL4",'langlon (2016)'!$A$3,"MA_HT","LUK","MA_QH","NTS")</f>
        <v>0</v>
      </c>
      <c r="P9" s="50">
        <f ca="1">+GETPIVOTDATA("XLL4",'langlon (2016)'!$A$3,"MA_HT","LUK","MA_QH","LMU")</f>
        <v>0</v>
      </c>
      <c r="Q9" s="50">
        <f ca="1">+GETPIVOTDATA("XLL4",'langlon (2016)'!$A$3,"MA_HT","LUK","MA_QH","NKH")</f>
        <v>0</v>
      </c>
      <c r="R9" s="48">
        <f ca="1" t="shared" si="2"/>
        <v>0</v>
      </c>
      <c r="S9" s="50">
        <f ca="1">+GETPIVOTDATA("XLL4",'langlon (2016)'!$A$3,"MA_HT","LUK","MA_QH","CQP")</f>
        <v>0</v>
      </c>
      <c r="T9" s="50">
        <f ca="1">+GETPIVOTDATA("XLL4",'langlon (2016)'!$A$3,"MA_HT","LUK","MA_QH","CAN")</f>
        <v>0</v>
      </c>
      <c r="U9" s="50">
        <f ca="1">+GETPIVOTDATA("XLL4",'langlon (2016)'!$A$3,"MA_HT","LUK","MA_QH","SKK")</f>
        <v>0</v>
      </c>
      <c r="V9" s="50">
        <f ca="1">+GETPIVOTDATA("XLL4",'langlon (2016)'!$A$3,"MA_HT","LUK","MA_QH","SKT")</f>
        <v>0</v>
      </c>
      <c r="W9" s="50">
        <f ca="1">+GETPIVOTDATA("XLL4",'langlon (2016)'!$A$3,"MA_HT","LUK","MA_QH","SKN")</f>
        <v>0</v>
      </c>
      <c r="X9" s="50">
        <f ca="1">+GETPIVOTDATA("XLL4",'langlon (2016)'!$A$3,"MA_HT","LUK","MA_QH","TMD")</f>
        <v>0</v>
      </c>
      <c r="Y9" s="50">
        <f ca="1">+GETPIVOTDATA("XLL4",'langlon (2016)'!$A$3,"MA_HT","LUK","MA_QH","SKC")</f>
        <v>0</v>
      </c>
      <c r="Z9" s="50">
        <f ca="1">+GETPIVOTDATA("XLL4",'langlon (2016)'!$A$3,"MA_HT","LUK","MA_QH","SKS")</f>
        <v>0</v>
      </c>
      <c r="AA9" s="52">
        <f ca="1" t="shared" si="4"/>
        <v>0</v>
      </c>
      <c r="AB9" s="50">
        <f ca="1">+GETPIVOTDATA("XLL4",'langlon (2016)'!$A$3,"MA_HT","LUK","MA_QH","DGT")</f>
        <v>0</v>
      </c>
      <c r="AC9" s="50">
        <f ca="1">+GETPIVOTDATA("XLL4",'langlon (2016)'!$A$3,"MA_HT","LUK","MA_QH","DTL")</f>
        <v>0</v>
      </c>
      <c r="AD9" s="50">
        <f ca="1">+GETPIVOTDATA("XLL4",'langlon (2016)'!$A$3,"MA_HT","LUK","MA_QH","DNL")</f>
        <v>0</v>
      </c>
      <c r="AE9" s="50">
        <f ca="1">+GETPIVOTDATA("XLL4",'langlon (2016)'!$A$3,"MA_HT","LUK","MA_QH","DBV")</f>
        <v>0</v>
      </c>
      <c r="AF9" s="50">
        <f ca="1">+GETPIVOTDATA("XLL4",'langlon (2016)'!$A$3,"MA_HT","LUK","MA_QH","DVH")</f>
        <v>0</v>
      </c>
      <c r="AG9" s="50">
        <f ca="1">+GETPIVOTDATA("XLL4",'langlon (2016)'!$A$3,"MA_HT","LUK","MA_QH","DYT")</f>
        <v>0</v>
      </c>
      <c r="AH9" s="50">
        <f ca="1">+GETPIVOTDATA("XLL4",'langlon (2016)'!$A$3,"MA_HT","LUK","MA_QH","DGD")</f>
        <v>0</v>
      </c>
      <c r="AI9" s="50">
        <f ca="1">+GETPIVOTDATA("XLL4",'langlon (2016)'!$A$3,"MA_HT","LUK","MA_QH","DTT")</f>
        <v>0</v>
      </c>
      <c r="AJ9" s="50">
        <f ca="1">+GETPIVOTDATA("XLL4",'langlon (2016)'!$A$3,"MA_HT","LUK","MA_QH","NCK")</f>
        <v>0</v>
      </c>
      <c r="AK9" s="50">
        <f ca="1">+GETPIVOTDATA("XLL4",'langlon (2016)'!$A$3,"MA_HT","LUK","MA_QH","DXH")</f>
        <v>0</v>
      </c>
      <c r="AL9" s="50">
        <f ca="1">+GETPIVOTDATA("XLL4",'langlon (2016)'!$A$3,"MA_HT","LUK","MA_QH","DCH")</f>
        <v>0</v>
      </c>
      <c r="AM9" s="50">
        <f ca="1">+GETPIVOTDATA("XLL4",'langlon (2016)'!$A$3,"MA_HT","LUK","MA_QH","DKG")</f>
        <v>0</v>
      </c>
      <c r="AN9" s="50">
        <f ca="1">+GETPIVOTDATA("XLL4",'langlon (2016)'!$A$3,"MA_HT","LUK","MA_QH","DDT")</f>
        <v>0</v>
      </c>
      <c r="AO9" s="50">
        <f ca="1">+GETPIVOTDATA("XLL4",'langlon (2016)'!$A$3,"MA_HT","LUK","MA_QH","DDL")</f>
        <v>0</v>
      </c>
      <c r="AP9" s="50">
        <f ca="1">+GETPIVOTDATA("XLL4",'langlon (2016)'!$A$3,"MA_HT","LUK","MA_QH","DRA")</f>
        <v>0</v>
      </c>
      <c r="AQ9" s="50">
        <f ca="1">+GETPIVOTDATA("XLL4",'langlon (2016)'!$A$3,"MA_HT","LUK","MA_QH","ONT")</f>
        <v>0</v>
      </c>
      <c r="AR9" s="50">
        <f ca="1">+GETPIVOTDATA("XLL4",'langlon (2016)'!$A$3,"MA_HT","LUK","MA_QH","ODT")</f>
        <v>0</v>
      </c>
      <c r="AS9" s="50">
        <f ca="1">+GETPIVOTDATA("XLL4",'langlon (2016)'!$A$3,"MA_HT","LUK","MA_QH","TSC")</f>
        <v>0</v>
      </c>
      <c r="AT9" s="50">
        <f ca="1">+GETPIVOTDATA("XLL4",'langlon (2016)'!$A$3,"MA_HT","LUK","MA_QH","DTS")</f>
        <v>0</v>
      </c>
      <c r="AU9" s="50">
        <f ca="1">+GETPIVOTDATA("XLL4",'langlon (2016)'!$A$3,"MA_HT","LUK","MA_QH","DNG")</f>
        <v>0</v>
      </c>
      <c r="AV9" s="50">
        <f ca="1">+GETPIVOTDATA("XLL4",'langlon (2016)'!$A$3,"MA_HT","LUK","MA_QH","TON")</f>
        <v>0</v>
      </c>
      <c r="AW9" s="50">
        <f ca="1">+GETPIVOTDATA("XLL4",'langlon (2016)'!$A$3,"MA_HT","LUK","MA_QH","NTD")</f>
        <v>0</v>
      </c>
      <c r="AX9" s="50">
        <f ca="1">+GETPIVOTDATA("XLL4",'langlon (2016)'!$A$3,"MA_HT","LUK","MA_QH","SKX")</f>
        <v>0</v>
      </c>
      <c r="AY9" s="50">
        <f ca="1">+GETPIVOTDATA("XLL4",'langlon (2016)'!$A$3,"MA_HT","LUK","MA_QH","DSH")</f>
        <v>0</v>
      </c>
      <c r="AZ9" s="50">
        <f ca="1">+GETPIVOTDATA("XLL4",'langlon (2016)'!$A$3,"MA_HT","LUK","MA_QH","DKV")</f>
        <v>0</v>
      </c>
      <c r="BA9" s="88">
        <f ca="1">+GETPIVOTDATA("XLL4",'langlon (2016)'!$A$3,"MA_HT","LUK","MA_QH","TIN")</f>
        <v>0</v>
      </c>
      <c r="BB9" s="50">
        <f ca="1">+GETPIVOTDATA("XLL4",'langlon (2016)'!$A$3,"MA_HT","LUK","MA_QH","SON")</f>
        <v>0</v>
      </c>
      <c r="BC9" s="50">
        <f ca="1">+GETPIVOTDATA("XLL4",'langlon (2016)'!$A$3,"MA_HT","LUK","MA_QH","MNC")</f>
        <v>0</v>
      </c>
      <c r="BD9" s="50">
        <f ca="1">+GETPIVOTDATA("XLL4",'langlon (2016)'!$A$3,"MA_HT","LUK","MA_QH","PNK")</f>
        <v>0</v>
      </c>
      <c r="BE9" s="80">
        <f ca="1">+GETPIVOTDATA("XLL4",'langlon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+GETPIVOTDATA("XLL4",'langlon (2016)'!$A$3,"MA_HT","LUN","MA_QH","LUC")</f>
        <v>0</v>
      </c>
      <c r="H10" s="50">
        <f ca="1">+GETPIVOTDATA("XLL4",'langlon (2016)'!$A$3,"MA_HT","LUN","MA_QH","LUK")</f>
        <v>0</v>
      </c>
      <c r="I10" s="49" t="e">
        <f ca="1">$D10-$BF10</f>
        <v>#REF!</v>
      </c>
      <c r="J10" s="50">
        <f ca="1">+GETPIVOTDATA("XLL4",'langlon (2016)'!$A$3,"MA_HT","LUN","MA_QH","HNK")</f>
        <v>0</v>
      </c>
      <c r="K10" s="50">
        <f ca="1">+GETPIVOTDATA("XLL4",'langlon (2016)'!$A$3,"MA_HT","LUN","MA_QH","CLN")</f>
        <v>0</v>
      </c>
      <c r="L10" s="50">
        <f ca="1">+GETPIVOTDATA("XLL4",'langlon (2016)'!$A$3,"MA_HT","LUN","MA_QH","RSX")</f>
        <v>0</v>
      </c>
      <c r="M10" s="50">
        <f ca="1">+GETPIVOTDATA("XLL4",'langlon (2016)'!$A$3,"MA_HT","LUN","MA_QH","RPH")</f>
        <v>0</v>
      </c>
      <c r="N10" s="50">
        <f ca="1">+GETPIVOTDATA("XLL4",'langlon (2016)'!$A$3,"MA_HT","LUN","MA_QH","RDD")</f>
        <v>0</v>
      </c>
      <c r="O10" s="50">
        <f ca="1">+GETPIVOTDATA("XLL4",'langlon (2016)'!$A$3,"MA_HT","LUN","MA_QH","NTS")</f>
        <v>0</v>
      </c>
      <c r="P10" s="50">
        <f ca="1">+GETPIVOTDATA("XLL4",'langlon (2016)'!$A$3,"MA_HT","LUN","MA_QH","LMU")</f>
        <v>0</v>
      </c>
      <c r="Q10" s="50">
        <f ca="1">+GETPIVOTDATA("XLL4",'langlon (2016)'!$A$3,"MA_HT","LUN","MA_QH","NKH")</f>
        <v>0</v>
      </c>
      <c r="R10" s="48">
        <f ca="1" t="shared" si="2"/>
        <v>0</v>
      </c>
      <c r="S10" s="50">
        <f ca="1">+GETPIVOTDATA("XLL4",'langlon (2016)'!$A$3,"MA_HT","LUN","MA_QH","CQP")</f>
        <v>0</v>
      </c>
      <c r="T10" s="50">
        <f ca="1">+GETPIVOTDATA("XLL4",'langlon (2016)'!$A$3,"MA_HT","LUN","MA_QH","CAN")</f>
        <v>0</v>
      </c>
      <c r="U10" s="50">
        <f ca="1">+GETPIVOTDATA("XLL4",'langlon (2016)'!$A$3,"MA_HT","LUN","MA_QH","SKK")</f>
        <v>0</v>
      </c>
      <c r="V10" s="50">
        <f ca="1">+GETPIVOTDATA("XLL4",'langlon (2016)'!$A$3,"MA_HT","LUN","MA_QH","SKT")</f>
        <v>0</v>
      </c>
      <c r="W10" s="50">
        <f ca="1">+GETPIVOTDATA("XLL4",'langlon (2016)'!$A$3,"MA_HT","LUN","MA_QH","SKN")</f>
        <v>0</v>
      </c>
      <c r="X10" s="50">
        <f ca="1">+GETPIVOTDATA("XLL4",'langlon (2016)'!$A$3,"MA_HT","LUN","MA_QH","TMD")</f>
        <v>0</v>
      </c>
      <c r="Y10" s="50">
        <f ca="1">+GETPIVOTDATA("XLL4",'langlon (2016)'!$A$3,"MA_HT","LUN","MA_QH","SKC")</f>
        <v>0</v>
      </c>
      <c r="Z10" s="50">
        <f ca="1">+GETPIVOTDATA("XLL4",'langlon (2016)'!$A$3,"MA_HT","LUN","MA_QH","SKS")</f>
        <v>0</v>
      </c>
      <c r="AA10" s="52">
        <f ca="1" t="shared" si="4"/>
        <v>0</v>
      </c>
      <c r="AB10" s="50">
        <f ca="1">+GETPIVOTDATA("XLL4",'langlon (2016)'!$A$3,"MA_HT","LUN","MA_QH","DGT")</f>
        <v>0</v>
      </c>
      <c r="AC10" s="50">
        <f ca="1">+GETPIVOTDATA("XLL4",'langlon (2016)'!$A$3,"MA_HT","LUN","MA_QH","DTL")</f>
        <v>0</v>
      </c>
      <c r="AD10" s="50">
        <f ca="1">+GETPIVOTDATA("XLL4",'langlon (2016)'!$A$3,"MA_HT","LUN","MA_QH","DNL")</f>
        <v>0</v>
      </c>
      <c r="AE10" s="50">
        <f ca="1">+GETPIVOTDATA("XLL4",'langlon (2016)'!$A$3,"MA_HT","LUN","MA_QH","DBV")</f>
        <v>0</v>
      </c>
      <c r="AF10" s="50">
        <f ca="1">+GETPIVOTDATA("XLL4",'langlon (2016)'!$A$3,"MA_HT","LUN","MA_QH","DVH")</f>
        <v>0</v>
      </c>
      <c r="AG10" s="50">
        <f ca="1">+GETPIVOTDATA("XLL4",'langlon (2016)'!$A$3,"MA_HT","LUN","MA_QH","DYT")</f>
        <v>0</v>
      </c>
      <c r="AH10" s="50">
        <f ca="1">+GETPIVOTDATA("XLL4",'langlon (2016)'!$A$3,"MA_HT","LUN","MA_QH","DGD")</f>
        <v>0</v>
      </c>
      <c r="AI10" s="50">
        <f ca="1">+GETPIVOTDATA("XLL4",'langlon (2016)'!$A$3,"MA_HT","LUN","MA_QH","DTT")</f>
        <v>0</v>
      </c>
      <c r="AJ10" s="50">
        <f ca="1">+GETPIVOTDATA("XLL4",'langlon (2016)'!$A$3,"MA_HT","LUN","MA_QH","NCK")</f>
        <v>0</v>
      </c>
      <c r="AK10" s="50">
        <f ca="1">+GETPIVOTDATA("XLL4",'langlon (2016)'!$A$3,"MA_HT","LUN","MA_QH","DXH")</f>
        <v>0</v>
      </c>
      <c r="AL10" s="50">
        <f ca="1">+GETPIVOTDATA("XLL4",'langlon (2016)'!$A$3,"MA_HT","LUN","MA_QH","DCH")</f>
        <v>0</v>
      </c>
      <c r="AM10" s="50">
        <f ca="1">+GETPIVOTDATA("XLL4",'langlon (2016)'!$A$3,"MA_HT","LUN","MA_QH","DKG")</f>
        <v>0</v>
      </c>
      <c r="AN10" s="50">
        <f ca="1">+GETPIVOTDATA("XLL4",'langlon (2016)'!$A$3,"MA_HT","LUN","MA_QH","DDT")</f>
        <v>0</v>
      </c>
      <c r="AO10" s="50">
        <f ca="1">+GETPIVOTDATA("XLL4",'langlon (2016)'!$A$3,"MA_HT","LUN","MA_QH","DDL")</f>
        <v>0</v>
      </c>
      <c r="AP10" s="50">
        <f ca="1">+GETPIVOTDATA("XLL4",'langlon (2016)'!$A$3,"MA_HT","LUN","MA_QH","DRA")</f>
        <v>0</v>
      </c>
      <c r="AQ10" s="50">
        <f ca="1">+GETPIVOTDATA("XLL4",'langlon (2016)'!$A$3,"MA_HT","LUN","MA_QH","ONT")</f>
        <v>0</v>
      </c>
      <c r="AR10" s="50">
        <f ca="1">+GETPIVOTDATA("XLL4",'langlon (2016)'!$A$3,"MA_HT","LUN","MA_QH","ODT")</f>
        <v>0</v>
      </c>
      <c r="AS10" s="50">
        <f ca="1">+GETPIVOTDATA("XLL4",'langlon (2016)'!$A$3,"MA_HT","LUN","MA_QH","TSC")</f>
        <v>0</v>
      </c>
      <c r="AT10" s="50">
        <f ca="1">+GETPIVOTDATA("XLL4",'langlon (2016)'!$A$3,"MA_HT","LUN","MA_QH","DTS")</f>
        <v>0</v>
      </c>
      <c r="AU10" s="50">
        <f ca="1">+GETPIVOTDATA("XLL4",'langlon (2016)'!$A$3,"MA_HT","LUN","MA_QH","DNG")</f>
        <v>0</v>
      </c>
      <c r="AV10" s="50">
        <f ca="1">+GETPIVOTDATA("XLL4",'langlon (2016)'!$A$3,"MA_HT","LUN","MA_QH","TON")</f>
        <v>0</v>
      </c>
      <c r="AW10" s="50">
        <f ca="1">+GETPIVOTDATA("XLL4",'langlon (2016)'!$A$3,"MA_HT","LUN","MA_QH","NTD")</f>
        <v>0</v>
      </c>
      <c r="AX10" s="50">
        <f ca="1">+GETPIVOTDATA("XLL4",'langlon (2016)'!$A$3,"MA_HT","LUN","MA_QH","SKX")</f>
        <v>0</v>
      </c>
      <c r="AY10" s="50">
        <f ca="1">+GETPIVOTDATA("XLL4",'langlon (2016)'!$A$3,"MA_HT","LUN","MA_QH","DSH")</f>
        <v>0</v>
      </c>
      <c r="AZ10" s="50">
        <f ca="1">+GETPIVOTDATA("XLL4",'langlon (2016)'!$A$3,"MA_HT","LUN","MA_QH","DKV")</f>
        <v>0</v>
      </c>
      <c r="BA10" s="88">
        <f ca="1">+GETPIVOTDATA("XLL4",'langlon (2016)'!$A$3,"MA_HT","LUN","MA_QH","TIN")</f>
        <v>0</v>
      </c>
      <c r="BB10" s="50">
        <f ca="1">+GETPIVOTDATA("XLL4",'langlon (2016)'!$A$3,"MA_HT","LUN","MA_QH","SON")</f>
        <v>0</v>
      </c>
      <c r="BC10" s="50">
        <f ca="1">+GETPIVOTDATA("XLL4",'langlon (2016)'!$A$3,"MA_HT","LUN","MA_QH","MNC")</f>
        <v>0</v>
      </c>
      <c r="BD10" s="50">
        <f ca="1">+GETPIVOTDATA("XLL4",'langlon (2016)'!$A$3,"MA_HT","LUN","MA_QH","PNK")</f>
        <v>0</v>
      </c>
      <c r="BE10" s="80">
        <f ca="1">+GETPIVOTDATA("XLL4",'langlon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+GETPIVOTDATA("XLL4",'langlon (2016)'!$A$3,"MA_HT","HNK","MA_QH","LUC")</f>
        <v>0</v>
      </c>
      <c r="H11" s="22">
        <f ca="1">+GETPIVOTDATA("XLL4",'langlon (2016)'!$A$3,"MA_HT","HNK","MA_QH","LUK")</f>
        <v>0</v>
      </c>
      <c r="I11" s="22">
        <f ca="1">+GETPIVOTDATA("XLL4",'langlon (2016)'!$A$3,"MA_HT","HNK","MA_QH","LUN")</f>
        <v>0</v>
      </c>
      <c r="J11" s="43" t="e">
        <f ca="1">$D11-$BF11</f>
        <v>#REF!</v>
      </c>
      <c r="K11" s="22">
        <f ca="1">+GETPIVOTDATA("XLL4",'langlon (2016)'!$A$3,"MA_HT","HNK","MA_QH","CLN")</f>
        <v>0</v>
      </c>
      <c r="L11" s="22">
        <f ca="1">+GETPIVOTDATA("XLL4",'langlon (2016)'!$A$3,"MA_HT","HNK","MA_QH","RSX")</f>
        <v>0</v>
      </c>
      <c r="M11" s="22">
        <f ca="1">+GETPIVOTDATA("XLL4",'langlon (2016)'!$A$3,"MA_HT","HNK","MA_QH","RPH")</f>
        <v>0</v>
      </c>
      <c r="N11" s="22">
        <f ca="1">+GETPIVOTDATA("XLL4",'langlon (2016)'!$A$3,"MA_HT","HNK","MA_QH","RDD")</f>
        <v>0</v>
      </c>
      <c r="O11" s="22">
        <f ca="1">+GETPIVOTDATA("XLL4",'langlon (2016)'!$A$3,"MA_HT","HNK","MA_QH","NTS")</f>
        <v>0</v>
      </c>
      <c r="P11" s="22">
        <f ca="1">+GETPIVOTDATA("XLL4",'langlon (2016)'!$A$3,"MA_HT","HNK","MA_QH","LMU")</f>
        <v>0</v>
      </c>
      <c r="Q11" s="22">
        <f ca="1">+GETPIVOTDATA("XLL4",'langlon (2016)'!$A$3,"MA_HT","HNK","MA_QH","NKH")</f>
        <v>0</v>
      </c>
      <c r="R11" s="42">
        <f ca="1" t="shared" si="2"/>
        <v>0</v>
      </c>
      <c r="S11" s="22">
        <f ca="1">+GETPIVOTDATA("XLL4",'langlon (2016)'!$A$3,"MA_HT","HNK","MA_QH","CQP")</f>
        <v>0</v>
      </c>
      <c r="T11" s="22">
        <f ca="1">+GETPIVOTDATA("XLL4",'langlon (2016)'!$A$3,"MA_HT","HNK","MA_QH","CAN")</f>
        <v>0</v>
      </c>
      <c r="U11" s="22">
        <f ca="1">+GETPIVOTDATA("XLL4",'langlon (2016)'!$A$3,"MA_HT","HNK","MA_QH","SKK")</f>
        <v>0</v>
      </c>
      <c r="V11" s="22">
        <f ca="1">+GETPIVOTDATA("XLL4",'langlon (2016)'!$A$3,"MA_HT","HNK","MA_QH","SKT")</f>
        <v>0</v>
      </c>
      <c r="W11" s="22">
        <f ca="1">+GETPIVOTDATA("XLL4",'langlon (2016)'!$A$3,"MA_HT","HNK","MA_QH","SKN")</f>
        <v>0</v>
      </c>
      <c r="X11" s="22">
        <f ca="1">+GETPIVOTDATA("XLL4",'langlon (2016)'!$A$3,"MA_HT","HNK","MA_QH","TMD")</f>
        <v>0</v>
      </c>
      <c r="Y11" s="22">
        <f ca="1">+GETPIVOTDATA("XLL4",'langlon (2016)'!$A$3,"MA_HT","HNK","MA_QH","SKC")</f>
        <v>0</v>
      </c>
      <c r="Z11" s="22">
        <f ca="1">+GETPIVOTDATA("XLL4",'langlon (2016)'!$A$3,"MA_HT","HNK","MA_QH","SKS")</f>
        <v>0</v>
      </c>
      <c r="AA11" s="52">
        <f ca="1" t="shared" si="4"/>
        <v>0</v>
      </c>
      <c r="AB11" s="22">
        <f ca="1">+GETPIVOTDATA("XLL4",'langlon (2016)'!$A$3,"MA_HT","HNK","MA_QH","DGT")</f>
        <v>0</v>
      </c>
      <c r="AC11" s="22">
        <f ca="1">+GETPIVOTDATA("XLL4",'langlon (2016)'!$A$3,"MA_HT","HNK","MA_QH","DTL")</f>
        <v>0</v>
      </c>
      <c r="AD11" s="22">
        <f ca="1">+GETPIVOTDATA("XLL4",'langlon (2016)'!$A$3,"MA_HT","HNK","MA_QH","DNL")</f>
        <v>0</v>
      </c>
      <c r="AE11" s="22">
        <f ca="1">+GETPIVOTDATA("XLL4",'langlon (2016)'!$A$3,"MA_HT","HNK","MA_QH","DBV")</f>
        <v>0</v>
      </c>
      <c r="AF11" s="22">
        <f ca="1">+GETPIVOTDATA("XLL4",'langlon (2016)'!$A$3,"MA_HT","HNK","MA_QH","DVH")</f>
        <v>0</v>
      </c>
      <c r="AG11" s="22">
        <f ca="1">+GETPIVOTDATA("XLL4",'langlon (2016)'!$A$3,"MA_HT","HNK","MA_QH","DYT")</f>
        <v>0</v>
      </c>
      <c r="AH11" s="22">
        <f ca="1">+GETPIVOTDATA("XLL4",'langlon (2016)'!$A$3,"MA_HT","HNK","MA_QH","DGD")</f>
        <v>0</v>
      </c>
      <c r="AI11" s="22">
        <f ca="1">+GETPIVOTDATA("XLL4",'langlon (2016)'!$A$3,"MA_HT","HNK","MA_QH","DTT")</f>
        <v>0</v>
      </c>
      <c r="AJ11" s="22">
        <f ca="1">+GETPIVOTDATA("XLL4",'langlon (2016)'!$A$3,"MA_HT","HNK","MA_QH","NCK")</f>
        <v>0</v>
      </c>
      <c r="AK11" s="22">
        <f ca="1">+GETPIVOTDATA("XLL4",'langlon (2016)'!$A$3,"MA_HT","HNK","MA_QH","DXH")</f>
        <v>0</v>
      </c>
      <c r="AL11" s="22">
        <f ca="1">+GETPIVOTDATA("XLL4",'langlon (2016)'!$A$3,"MA_HT","HNK","MA_QH","DCH")</f>
        <v>0</v>
      </c>
      <c r="AM11" s="22">
        <f ca="1">+GETPIVOTDATA("XLL4",'langlon (2016)'!$A$3,"MA_HT","HNK","MA_QH","DKG")</f>
        <v>0</v>
      </c>
      <c r="AN11" s="22">
        <f ca="1">+GETPIVOTDATA("XLL4",'langlon (2016)'!$A$3,"MA_HT","HNK","MA_QH","DDT")</f>
        <v>0</v>
      </c>
      <c r="AO11" s="22">
        <f ca="1">+GETPIVOTDATA("XLL4",'langlon (2016)'!$A$3,"MA_HT","HNK","MA_QH","DDL")</f>
        <v>0</v>
      </c>
      <c r="AP11" s="22">
        <f ca="1">+GETPIVOTDATA("XLL4",'langlon (2016)'!$A$3,"MA_HT","HNK","MA_QH","DRA")</f>
        <v>0</v>
      </c>
      <c r="AQ11" s="22">
        <f ca="1">+GETPIVOTDATA("XLL4",'langlon (2016)'!$A$3,"MA_HT","HNK","MA_QH","ONT")</f>
        <v>0</v>
      </c>
      <c r="AR11" s="22">
        <f ca="1">+GETPIVOTDATA("XLL4",'langlon (2016)'!$A$3,"MA_HT","HNK","MA_QH","ODT")</f>
        <v>0</v>
      </c>
      <c r="AS11" s="22">
        <f ca="1">+GETPIVOTDATA("XLL4",'langlon (2016)'!$A$3,"MA_HT","HNK","MA_QH","TSC")</f>
        <v>0</v>
      </c>
      <c r="AT11" s="22">
        <f ca="1">+GETPIVOTDATA("XLL4",'langlon (2016)'!$A$3,"MA_HT","HNK","MA_QH","DTS")</f>
        <v>0</v>
      </c>
      <c r="AU11" s="22">
        <f ca="1">+GETPIVOTDATA("XLL4",'langlon (2016)'!$A$3,"MA_HT","HNK","MA_QH","DNG")</f>
        <v>0</v>
      </c>
      <c r="AV11" s="22">
        <f ca="1">+GETPIVOTDATA("XLL4",'langlon (2016)'!$A$3,"MA_HT","HNK","MA_QH","TON")</f>
        <v>0</v>
      </c>
      <c r="AW11" s="22">
        <f ca="1">+GETPIVOTDATA("XLL4",'langlon (2016)'!$A$3,"MA_HT","HNK","MA_QH","NTD")</f>
        <v>0</v>
      </c>
      <c r="AX11" s="22">
        <f ca="1">+GETPIVOTDATA("XLL4",'langlon (2016)'!$A$3,"MA_HT","HNK","MA_QH","SKX")</f>
        <v>0</v>
      </c>
      <c r="AY11" s="22">
        <f ca="1">+GETPIVOTDATA("XLL4",'langlon (2016)'!$A$3,"MA_HT","HNK","MA_QH","DSH")</f>
        <v>0</v>
      </c>
      <c r="AZ11" s="22">
        <f ca="1">+GETPIVOTDATA("XLL4",'langlon (2016)'!$A$3,"MA_HT","HNK","MA_QH","DKV")</f>
        <v>0</v>
      </c>
      <c r="BA11" s="89">
        <f ca="1">+GETPIVOTDATA("XLL4",'langlon (2016)'!$A$3,"MA_HT","HNK","MA_QH","TIN")</f>
        <v>0</v>
      </c>
      <c r="BB11" s="50">
        <f ca="1">+GETPIVOTDATA("XLL4",'langlon (2016)'!$A$3,"MA_HT","HNK","MA_QH","SON")</f>
        <v>0</v>
      </c>
      <c r="BC11" s="50">
        <f ca="1">+GETPIVOTDATA("XLL4",'langlon (2016)'!$A$3,"MA_HT","HNK","MA_QH","MNC")</f>
        <v>0</v>
      </c>
      <c r="BD11" s="22">
        <f ca="1">+GETPIVOTDATA("XLL4",'langlon (2016)'!$A$3,"MA_HT","HNK","MA_QH","PNK")</f>
        <v>0</v>
      </c>
      <c r="BE11" s="71">
        <f ca="1">+GETPIVOTDATA("XLL4",'langlon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+GETPIVOTDATA("XLL4",'langlon (2016)'!$A$3,"MA_HT","CLN","MA_QH","LUC")</f>
        <v>0</v>
      </c>
      <c r="H12" s="22">
        <f ca="1">+GETPIVOTDATA("XLL4",'langlon (2016)'!$A$3,"MA_HT","CLN","MA_QH","LUK")</f>
        <v>0</v>
      </c>
      <c r="I12" s="22">
        <f ca="1">+GETPIVOTDATA("XLL4",'langlon (2016)'!$A$3,"MA_HT","CLN","MA_QH","LUN")</f>
        <v>0</v>
      </c>
      <c r="J12" s="22">
        <f ca="1">+GETPIVOTDATA("XLL4",'langlon (2016)'!$A$3,"MA_HT","CLN","MA_QH","HNK")</f>
        <v>0</v>
      </c>
      <c r="K12" s="43" t="e">
        <f ca="1">$D12-$BF12</f>
        <v>#REF!</v>
      </c>
      <c r="L12" s="22">
        <f ca="1">+GETPIVOTDATA("XLL4",'langlon (2016)'!$A$3,"MA_HT","CLN","MA_QH","RSX")</f>
        <v>0</v>
      </c>
      <c r="M12" s="22">
        <f ca="1">+GETPIVOTDATA("XLL4",'langlon (2016)'!$A$3,"MA_HT","CLN","MA_QH","RPH")</f>
        <v>0</v>
      </c>
      <c r="N12" s="22">
        <f ca="1">+GETPIVOTDATA("XLL4",'langlon (2016)'!$A$3,"MA_HT","CLN","MA_QH","RDD")</f>
        <v>0</v>
      </c>
      <c r="O12" s="22">
        <f ca="1">+GETPIVOTDATA("XLL4",'langlon (2016)'!$A$3,"MA_HT","CLN","MA_QH","NTS")</f>
        <v>0</v>
      </c>
      <c r="P12" s="22">
        <f ca="1">+GETPIVOTDATA("XLL4",'langlon (2016)'!$A$3,"MA_HT","CLN","MA_QH","LMU")</f>
        <v>0</v>
      </c>
      <c r="Q12" s="22">
        <f ca="1">+GETPIVOTDATA("XLL4",'langlon (2016)'!$A$3,"MA_HT","CLN","MA_QH","NKH")</f>
        <v>0</v>
      </c>
      <c r="R12" s="42">
        <f ca="1" t="shared" si="2"/>
        <v>0</v>
      </c>
      <c r="S12" s="22">
        <f ca="1">+GETPIVOTDATA("XLL4",'langlon (2016)'!$A$3,"MA_HT","CLN","MA_QH","CQP")</f>
        <v>0</v>
      </c>
      <c r="T12" s="22">
        <f ca="1">+GETPIVOTDATA("XLL4",'langlon (2016)'!$A$3,"MA_HT","CLN","MA_QH","CAN")</f>
        <v>0</v>
      </c>
      <c r="U12" s="22">
        <f ca="1">+GETPIVOTDATA("XLL4",'langlon (2016)'!$A$3,"MA_HT","CLN","MA_QH","SKK")</f>
        <v>0</v>
      </c>
      <c r="V12" s="22">
        <f ca="1">+GETPIVOTDATA("XLL4",'langlon (2016)'!$A$3,"MA_HT","CLN","MA_QH","SKT")</f>
        <v>0</v>
      </c>
      <c r="W12" s="22">
        <f ca="1">+GETPIVOTDATA("XLL4",'langlon (2016)'!$A$3,"MA_HT","CLN","MA_QH","SKN")</f>
        <v>0</v>
      </c>
      <c r="X12" s="22">
        <f ca="1">+GETPIVOTDATA("XLL4",'langlon (2016)'!$A$3,"MA_HT","CLN","MA_QH","TMD")</f>
        <v>0</v>
      </c>
      <c r="Y12" s="22">
        <f ca="1">+GETPIVOTDATA("XLL4",'langlon (2016)'!$A$3,"MA_HT","CLN","MA_QH","SKC")</f>
        <v>0</v>
      </c>
      <c r="Z12" s="22">
        <f ca="1">+GETPIVOTDATA("XLL4",'langlon (2016)'!$A$3,"MA_HT","CLN","MA_QH","SKS")</f>
        <v>0</v>
      </c>
      <c r="AA12" s="52">
        <f ca="1" t="shared" si="4"/>
        <v>0</v>
      </c>
      <c r="AB12" s="22">
        <f ca="1">+GETPIVOTDATA("XLL4",'langlon (2016)'!$A$3,"MA_HT","CLN","MA_QH","DGT")</f>
        <v>0</v>
      </c>
      <c r="AC12" s="22">
        <f ca="1">+GETPIVOTDATA("XLL4",'langlon (2016)'!$A$3,"MA_HT","CLN","MA_QH","DTL")</f>
        <v>0</v>
      </c>
      <c r="AD12" s="22">
        <f ca="1">+GETPIVOTDATA("XLL4",'langlon (2016)'!$A$3,"MA_HT","CLN","MA_QH","DNL")</f>
        <v>0</v>
      </c>
      <c r="AE12" s="22">
        <f ca="1">+GETPIVOTDATA("XLL4",'langlon (2016)'!$A$3,"MA_HT","CLN","MA_QH","DBV")</f>
        <v>0</v>
      </c>
      <c r="AF12" s="22">
        <f ca="1">+GETPIVOTDATA("XLL4",'langlon (2016)'!$A$3,"MA_HT","CLN","MA_QH","DVH")</f>
        <v>0</v>
      </c>
      <c r="AG12" s="22">
        <f ca="1">+GETPIVOTDATA("XLL4",'langlon (2016)'!$A$3,"MA_HT","CLN","MA_QH","DYT")</f>
        <v>0</v>
      </c>
      <c r="AH12" s="22">
        <f ca="1">+GETPIVOTDATA("XLL4",'langlon (2016)'!$A$3,"MA_HT","CLN","MA_QH","DGD")</f>
        <v>0</v>
      </c>
      <c r="AI12" s="22">
        <f ca="1">+GETPIVOTDATA("XLL4",'langlon (2016)'!$A$3,"MA_HT","CLN","MA_QH","DTT")</f>
        <v>0</v>
      </c>
      <c r="AJ12" s="22">
        <f ca="1">+GETPIVOTDATA("XLL4",'langlon (2016)'!$A$3,"MA_HT","CLN","MA_QH","NCK")</f>
        <v>0</v>
      </c>
      <c r="AK12" s="22">
        <f ca="1">+GETPIVOTDATA("XLL4",'langlon (2016)'!$A$3,"MA_HT","CLN","MA_QH","DXH")</f>
        <v>0</v>
      </c>
      <c r="AL12" s="22">
        <f ca="1">+GETPIVOTDATA("XLL4",'langlon (2016)'!$A$3,"MA_HT","CLN","MA_QH","DCH")</f>
        <v>0</v>
      </c>
      <c r="AM12" s="22">
        <f ca="1">+GETPIVOTDATA("XLL4",'langlon (2016)'!$A$3,"MA_HT","CLN","MA_QH","DKG")</f>
        <v>0</v>
      </c>
      <c r="AN12" s="22">
        <f ca="1">+GETPIVOTDATA("XLL4",'langlon (2016)'!$A$3,"MA_HT","CLN","MA_QH","DDT")</f>
        <v>0</v>
      </c>
      <c r="AO12" s="22">
        <f ca="1">+GETPIVOTDATA("XLL4",'langlon (2016)'!$A$3,"MA_HT","CLN","MA_QH","DDL")</f>
        <v>0</v>
      </c>
      <c r="AP12" s="22">
        <f ca="1">+GETPIVOTDATA("XLL4",'langlon (2016)'!$A$3,"MA_HT","CLN","MA_QH","DRA")</f>
        <v>0</v>
      </c>
      <c r="AQ12" s="22">
        <f ca="1">+GETPIVOTDATA("XLL4",'langlon (2016)'!$A$3,"MA_HT","CLN","MA_QH","ONT")</f>
        <v>0</v>
      </c>
      <c r="AR12" s="22">
        <f ca="1">+GETPIVOTDATA("XLL4",'langlon (2016)'!$A$3,"MA_HT","CLN","MA_QH","ODT")</f>
        <v>0</v>
      </c>
      <c r="AS12" s="22">
        <f ca="1">+GETPIVOTDATA("XLL4",'langlon (2016)'!$A$3,"MA_HT","CLN","MA_QH","TSC")</f>
        <v>0</v>
      </c>
      <c r="AT12" s="22">
        <f ca="1">+GETPIVOTDATA("XLL4",'langlon (2016)'!$A$3,"MA_HT","CLN","MA_QH","DTS")</f>
        <v>0</v>
      </c>
      <c r="AU12" s="22">
        <f ca="1">+GETPIVOTDATA("XLL4",'langlon (2016)'!$A$3,"MA_HT","CLN","MA_QH","DNG")</f>
        <v>0</v>
      </c>
      <c r="AV12" s="22">
        <f ca="1">+GETPIVOTDATA("XLL4",'langlon (2016)'!$A$3,"MA_HT","CLN","MA_QH","TON")</f>
        <v>0</v>
      </c>
      <c r="AW12" s="22">
        <f ca="1">+GETPIVOTDATA("XLL4",'langlon (2016)'!$A$3,"MA_HT","CLN","MA_QH","NTD")</f>
        <v>0</v>
      </c>
      <c r="AX12" s="22">
        <f ca="1">+GETPIVOTDATA("XLL4",'langlon (2016)'!$A$3,"MA_HT","CLN","MA_QH","SKX")</f>
        <v>0</v>
      </c>
      <c r="AY12" s="22">
        <f ca="1">+GETPIVOTDATA("XLL4",'langlon (2016)'!$A$3,"MA_HT","CLN","MA_QH","DSH")</f>
        <v>0</v>
      </c>
      <c r="AZ12" s="22">
        <f ca="1">+GETPIVOTDATA("XLL4",'langlon (2016)'!$A$3,"MA_HT","CLN","MA_QH","DKV")</f>
        <v>0</v>
      </c>
      <c r="BA12" s="89">
        <f ca="1">+GETPIVOTDATA("XLL4",'langlon (2016)'!$A$3,"MA_HT","CLN","MA_QH","TIN")</f>
        <v>0</v>
      </c>
      <c r="BB12" s="50">
        <f ca="1">+GETPIVOTDATA("XLL4",'langlon (2016)'!$A$3,"MA_HT","CLN","MA_QH","SON")</f>
        <v>0</v>
      </c>
      <c r="BC12" s="50">
        <f ca="1">+GETPIVOTDATA("XLL4",'langlon (2016)'!$A$3,"MA_HT","CLN","MA_QH","MNC")</f>
        <v>0</v>
      </c>
      <c r="BD12" s="22">
        <f ca="1">+GETPIVOTDATA("XLL4",'langlon (2016)'!$A$3,"MA_HT","CLN","MA_QH","PNK")</f>
        <v>0</v>
      </c>
      <c r="BE12" s="71">
        <f ca="1">+GETPIVOTDATA("XLL4",'langlon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+GETPIVOTDATA("XLL4",'langlon (2016)'!$A$3,"MA_HT","RSX","MA_QH","LUC")</f>
        <v>0</v>
      </c>
      <c r="H13" s="22">
        <f ca="1">+GETPIVOTDATA("XLL4",'langlon (2016)'!$A$3,"MA_HT","RSX","MA_QH","LUK")</f>
        <v>0</v>
      </c>
      <c r="I13" s="22">
        <f ca="1">+GETPIVOTDATA("XLL4",'langlon (2016)'!$A$3,"MA_HT","RSX","MA_QH","LUN")</f>
        <v>0</v>
      </c>
      <c r="J13" s="22">
        <f ca="1">+GETPIVOTDATA("XLL4",'langlon (2016)'!$A$3,"MA_HT","RSX","MA_QH","HNK")</f>
        <v>0</v>
      </c>
      <c r="K13" s="22">
        <f ca="1">+GETPIVOTDATA("XLL4",'langlon (2016)'!$A$3,"MA_HT","RSX","MA_QH","CLN")</f>
        <v>0</v>
      </c>
      <c r="L13" s="43" t="e">
        <f ca="1">$D13-$BF13</f>
        <v>#REF!</v>
      </c>
      <c r="M13" s="22">
        <f ca="1">+GETPIVOTDATA("XLL4",'langlon (2016)'!$A$3,"MA_HT","RSX","MA_QH","RPH")</f>
        <v>0</v>
      </c>
      <c r="N13" s="22">
        <f ca="1">+GETPIVOTDATA("XLL4",'langlon (2016)'!$A$3,"MA_HT","RSX","MA_QH","RDD")</f>
        <v>0</v>
      </c>
      <c r="O13" s="22">
        <f ca="1">+GETPIVOTDATA("XLL4",'langlon (2016)'!$A$3,"MA_HT","RSX","MA_QH","NTS")</f>
        <v>0</v>
      </c>
      <c r="P13" s="22">
        <f ca="1">+GETPIVOTDATA("XLL4",'langlon (2016)'!$A$3,"MA_HT","RSX","MA_QH","LMU")</f>
        <v>0</v>
      </c>
      <c r="Q13" s="22">
        <f ca="1">+GETPIVOTDATA("XLL4",'langlon (2016)'!$A$3,"MA_HT","RSX","MA_QH","NKH")</f>
        <v>0</v>
      </c>
      <c r="R13" s="42">
        <f ca="1" t="shared" si="2"/>
        <v>0</v>
      </c>
      <c r="S13" s="22">
        <f ca="1">+GETPIVOTDATA("XLL4",'langlon (2016)'!$A$3,"MA_HT","RSX","MA_QH","CQP")</f>
        <v>0</v>
      </c>
      <c r="T13" s="22">
        <f ca="1">+GETPIVOTDATA("XLL4",'langlon (2016)'!$A$3,"MA_HT","RSX","MA_QH","CAN")</f>
        <v>0</v>
      </c>
      <c r="U13" s="22">
        <f ca="1">+GETPIVOTDATA("XLL4",'langlon (2016)'!$A$3,"MA_HT","RSX","MA_QH","SKK")</f>
        <v>0</v>
      </c>
      <c r="V13" s="22">
        <f ca="1">+GETPIVOTDATA("XLL4",'langlon (2016)'!$A$3,"MA_HT","RSX","MA_QH","SKT")</f>
        <v>0</v>
      </c>
      <c r="W13" s="22">
        <f ca="1">+GETPIVOTDATA("XLL4",'langlon (2016)'!$A$3,"MA_HT","RSX","MA_QH","SKN")</f>
        <v>0</v>
      </c>
      <c r="X13" s="22">
        <f ca="1">+GETPIVOTDATA("XLL4",'langlon (2016)'!$A$3,"MA_HT","RSX","MA_QH","TMD")</f>
        <v>0</v>
      </c>
      <c r="Y13" s="22">
        <f ca="1">+GETPIVOTDATA("XLL4",'langlon (2016)'!$A$3,"MA_HT","RSX","MA_QH","SKC")</f>
        <v>0</v>
      </c>
      <c r="Z13" s="22">
        <f ca="1">+GETPIVOTDATA("XLL4",'langlon (2016)'!$A$3,"MA_HT","RSX","MA_QH","SKS")</f>
        <v>0</v>
      </c>
      <c r="AA13" s="52">
        <f ca="1" t="shared" si="4"/>
        <v>0</v>
      </c>
      <c r="AB13" s="22">
        <f ca="1">+GETPIVOTDATA("XLL4",'langlon (2016)'!$A$3,"MA_HT","RSX","MA_QH","DGT")</f>
        <v>0</v>
      </c>
      <c r="AC13" s="22">
        <f ca="1">+GETPIVOTDATA("XLL4",'langlon (2016)'!$A$3,"MA_HT","RSX","MA_QH","DTL")</f>
        <v>0</v>
      </c>
      <c r="AD13" s="22">
        <f ca="1">+GETPIVOTDATA("XLL4",'langlon (2016)'!$A$3,"MA_HT","RSX","MA_QH","DNL")</f>
        <v>0</v>
      </c>
      <c r="AE13" s="22">
        <f ca="1">+GETPIVOTDATA("XLL4",'langlon (2016)'!$A$3,"MA_HT","RSX","MA_QH","DBV")</f>
        <v>0</v>
      </c>
      <c r="AF13" s="22">
        <f ca="1">+GETPIVOTDATA("XLL4",'langlon (2016)'!$A$3,"MA_HT","RSX","MA_QH","DVH")</f>
        <v>0</v>
      </c>
      <c r="AG13" s="22">
        <f ca="1">+GETPIVOTDATA("XLL4",'langlon (2016)'!$A$3,"MA_HT","RSX","MA_QH","DYT")</f>
        <v>0</v>
      </c>
      <c r="AH13" s="22">
        <f ca="1">+GETPIVOTDATA("XLL4",'langlon (2016)'!$A$3,"MA_HT","RSX","MA_QH","DGD")</f>
        <v>0</v>
      </c>
      <c r="AI13" s="22">
        <f ca="1">+GETPIVOTDATA("XLL4",'langlon (2016)'!$A$3,"MA_HT","RSX","MA_QH","DTT")</f>
        <v>0</v>
      </c>
      <c r="AJ13" s="22">
        <f ca="1">+GETPIVOTDATA("XLL4",'langlon (2016)'!$A$3,"MA_HT","RSX","MA_QH","NCK")</f>
        <v>0</v>
      </c>
      <c r="AK13" s="22">
        <f ca="1">+GETPIVOTDATA("XLL4",'langlon (2016)'!$A$3,"MA_HT","RSX","MA_QH","DXH")</f>
        <v>0</v>
      </c>
      <c r="AL13" s="22">
        <f ca="1">+GETPIVOTDATA("XLL4",'langlon (2016)'!$A$3,"MA_HT","RSX","MA_QH","DCH")</f>
        <v>0</v>
      </c>
      <c r="AM13" s="22">
        <f ca="1">+GETPIVOTDATA("XLL4",'langlon (2016)'!$A$3,"MA_HT","RSX","MA_QH","DKG")</f>
        <v>0</v>
      </c>
      <c r="AN13" s="22">
        <f ca="1">+GETPIVOTDATA("XLL4",'langlon (2016)'!$A$3,"MA_HT","RSX","MA_QH","DDT")</f>
        <v>0</v>
      </c>
      <c r="AO13" s="22">
        <f ca="1">+GETPIVOTDATA("XLL4",'langlon (2016)'!$A$3,"MA_HT","RSX","MA_QH","DDL")</f>
        <v>0</v>
      </c>
      <c r="AP13" s="22">
        <f ca="1">+GETPIVOTDATA("XLL4",'langlon (2016)'!$A$3,"MA_HT","RSX","MA_QH","DRA")</f>
        <v>0</v>
      </c>
      <c r="AQ13" s="22">
        <f ca="1">+GETPIVOTDATA("XLL4",'langlon (2016)'!$A$3,"MA_HT","RSX","MA_QH","ONT")</f>
        <v>0</v>
      </c>
      <c r="AR13" s="22">
        <f ca="1">+GETPIVOTDATA("XLL4",'langlon (2016)'!$A$3,"MA_HT","RSX","MA_QH","ODT")</f>
        <v>0</v>
      </c>
      <c r="AS13" s="22">
        <f ca="1">+GETPIVOTDATA("XLL4",'langlon (2016)'!$A$3,"MA_HT","RSX","MA_QH","TSC")</f>
        <v>0</v>
      </c>
      <c r="AT13" s="22">
        <f ca="1">+GETPIVOTDATA("XLL4",'langlon (2016)'!$A$3,"MA_HT","RSX","MA_QH","DTS")</f>
        <v>0</v>
      </c>
      <c r="AU13" s="22">
        <f ca="1">+GETPIVOTDATA("XLL4",'langlon (2016)'!$A$3,"MA_HT","RSX","MA_QH","DNG")</f>
        <v>0</v>
      </c>
      <c r="AV13" s="22">
        <f ca="1">+GETPIVOTDATA("XLL4",'langlon (2016)'!$A$3,"MA_HT","RSX","MA_QH","TON")</f>
        <v>0</v>
      </c>
      <c r="AW13" s="22">
        <f ca="1">+GETPIVOTDATA("XLL4",'langlon (2016)'!$A$3,"MA_HT","RSX","MA_QH","NTD")</f>
        <v>0</v>
      </c>
      <c r="AX13" s="22">
        <f ca="1">+GETPIVOTDATA("XLL4",'langlon (2016)'!$A$3,"MA_HT","RSX","MA_QH","SKX")</f>
        <v>0</v>
      </c>
      <c r="AY13" s="22">
        <f ca="1">+GETPIVOTDATA("XLL4",'langlon (2016)'!$A$3,"MA_HT","RSX","MA_QH","DSH")</f>
        <v>0</v>
      </c>
      <c r="AZ13" s="22">
        <f ca="1">+GETPIVOTDATA("XLL4",'langlon (2016)'!$A$3,"MA_HT","RSX","MA_QH","DKV")</f>
        <v>0</v>
      </c>
      <c r="BA13" s="89">
        <f ca="1">+GETPIVOTDATA("XLL4",'langlon (2016)'!$A$3,"MA_HT","RSX","MA_QH","TIN")</f>
        <v>0</v>
      </c>
      <c r="BB13" s="50">
        <f ca="1">+GETPIVOTDATA("XLL4",'langlon (2016)'!$A$3,"MA_HT","RSX","MA_QH","SON")</f>
        <v>0</v>
      </c>
      <c r="BC13" s="50">
        <f ca="1">+GETPIVOTDATA("XLL4",'langlon (2016)'!$A$3,"MA_HT","RSX","MA_QH","MNC")</f>
        <v>0</v>
      </c>
      <c r="BD13" s="22">
        <f ca="1">+GETPIVOTDATA("XLL4",'langlon (2016)'!$A$3,"MA_HT","RSX","MA_QH","PNK")</f>
        <v>0</v>
      </c>
      <c r="BE13" s="71">
        <f ca="1">+GETPIVOTDATA("XLL4",'langlon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+GETPIVOTDATA("XLL4",'langlon (2016)'!$A$3,"MA_HT","RPH","MA_QH","LUC")</f>
        <v>0</v>
      </c>
      <c r="H14" s="22">
        <f ca="1">+GETPIVOTDATA("XLL4",'langlon (2016)'!$A$3,"MA_HT","RPH","MA_QH","LUK")</f>
        <v>0</v>
      </c>
      <c r="I14" s="22">
        <f ca="1">+GETPIVOTDATA("XLL4",'langlon (2016)'!$A$3,"MA_HT","RPH","MA_QH","LUN")</f>
        <v>0</v>
      </c>
      <c r="J14" s="22">
        <f ca="1">+GETPIVOTDATA("XLL4",'langlon (2016)'!$A$3,"MA_HT","RPH","MA_QH","HNK")</f>
        <v>0</v>
      </c>
      <c r="K14" s="22">
        <f ca="1">+GETPIVOTDATA("XLL4",'langlon (2016)'!$A$3,"MA_HT","RPH","MA_QH","CLN")</f>
        <v>0</v>
      </c>
      <c r="L14" s="22">
        <f ca="1">+GETPIVOTDATA("XLL4",'langlon (2016)'!$A$3,"MA_HT","RPH","MA_QH","RSX")</f>
        <v>0</v>
      </c>
      <c r="M14" s="43" t="e">
        <f ca="1">$D14-$BF14</f>
        <v>#REF!</v>
      </c>
      <c r="N14" s="22">
        <f ca="1">+GETPIVOTDATA("XLL4",'langlon (2016)'!$A$3,"MA_HT","RPH","MA_QH","RDD")</f>
        <v>0</v>
      </c>
      <c r="O14" s="22">
        <f ca="1">+GETPIVOTDATA("XLL4",'langlon (2016)'!$A$3,"MA_HT","RPH","MA_QH","NTS")</f>
        <v>0</v>
      </c>
      <c r="P14" s="22">
        <f ca="1">+GETPIVOTDATA("XLL4",'langlon (2016)'!$A$3,"MA_HT","RPH","MA_QH","LMU")</f>
        <v>0</v>
      </c>
      <c r="Q14" s="22">
        <f ca="1">+GETPIVOTDATA("XLL4",'langlon (2016)'!$A$3,"MA_HT","RPH","MA_QH","NKH")</f>
        <v>0</v>
      </c>
      <c r="R14" s="42">
        <f ca="1" t="shared" si="2"/>
        <v>0</v>
      </c>
      <c r="S14" s="22">
        <f ca="1">+GETPIVOTDATA("XLL4",'langlon (2016)'!$A$3,"MA_HT","RPH","MA_QH","CQP")</f>
        <v>0</v>
      </c>
      <c r="T14" s="22">
        <f ca="1">+GETPIVOTDATA("XLL4",'langlon (2016)'!$A$3,"MA_HT","RPH","MA_QH","CAN")</f>
        <v>0</v>
      </c>
      <c r="U14" s="22">
        <f ca="1">+GETPIVOTDATA("XLL4",'langlon (2016)'!$A$3,"MA_HT","RPH","MA_QH","SKK")</f>
        <v>0</v>
      </c>
      <c r="V14" s="22">
        <f ca="1">+GETPIVOTDATA("XLL4",'langlon (2016)'!$A$3,"MA_HT","RPH","MA_QH","SKT")</f>
        <v>0</v>
      </c>
      <c r="W14" s="22">
        <f ca="1">+GETPIVOTDATA("XLL4",'langlon (2016)'!$A$3,"MA_HT","RPH","MA_QH","SKN")</f>
        <v>0</v>
      </c>
      <c r="X14" s="22">
        <f ca="1">+GETPIVOTDATA("XLL4",'langlon (2016)'!$A$3,"MA_HT","RPH","MA_QH","TMD")</f>
        <v>0</v>
      </c>
      <c r="Y14" s="22">
        <f ca="1">+GETPIVOTDATA("XLL4",'langlon (2016)'!$A$3,"MA_HT","RPH","MA_QH","SKC")</f>
        <v>0</v>
      </c>
      <c r="Z14" s="22">
        <f ca="1">+GETPIVOTDATA("XLL4",'langlon (2016)'!$A$3,"MA_HT","RPH","MA_QH","SKS")</f>
        <v>0</v>
      </c>
      <c r="AA14" s="52">
        <f ca="1" t="shared" si="4"/>
        <v>0</v>
      </c>
      <c r="AB14" s="22">
        <f ca="1">+GETPIVOTDATA("XLL4",'langlon (2016)'!$A$3,"MA_HT","RPH","MA_QH","DGT")</f>
        <v>0</v>
      </c>
      <c r="AC14" s="22">
        <f ca="1">+GETPIVOTDATA("XLL4",'langlon (2016)'!$A$3,"MA_HT","RPH","MA_QH","DTL")</f>
        <v>0</v>
      </c>
      <c r="AD14" s="22">
        <f ca="1">+GETPIVOTDATA("XLL4",'langlon (2016)'!$A$3,"MA_HT","RPH","MA_QH","DNL")</f>
        <v>0</v>
      </c>
      <c r="AE14" s="22">
        <f ca="1">+GETPIVOTDATA("XLL4",'langlon (2016)'!$A$3,"MA_HT","RPH","MA_QH","DBV")</f>
        <v>0</v>
      </c>
      <c r="AF14" s="22">
        <f ca="1">+GETPIVOTDATA("XLL4",'langlon (2016)'!$A$3,"MA_HT","RPH","MA_QH","DVH")</f>
        <v>0</v>
      </c>
      <c r="AG14" s="22">
        <f ca="1">+GETPIVOTDATA("XLL4",'langlon (2016)'!$A$3,"MA_HT","RPH","MA_QH","DYT")</f>
        <v>0</v>
      </c>
      <c r="AH14" s="22">
        <f ca="1">+GETPIVOTDATA("XLL4",'langlon (2016)'!$A$3,"MA_HT","RPH","MA_QH","DGD")</f>
        <v>0</v>
      </c>
      <c r="AI14" s="22">
        <f ca="1">+GETPIVOTDATA("XLL4",'langlon (2016)'!$A$3,"MA_HT","RPH","MA_QH","DTT")</f>
        <v>0</v>
      </c>
      <c r="AJ14" s="22">
        <f ca="1">+GETPIVOTDATA("XLL4",'langlon (2016)'!$A$3,"MA_HT","RPH","MA_QH","NCK")</f>
        <v>0</v>
      </c>
      <c r="AK14" s="22">
        <f ca="1">+GETPIVOTDATA("XLL4",'langlon (2016)'!$A$3,"MA_HT","RPH","MA_QH","DXH")</f>
        <v>0</v>
      </c>
      <c r="AL14" s="22">
        <f ca="1">+GETPIVOTDATA("XLL4",'langlon (2016)'!$A$3,"MA_HT","RPH","MA_QH","DCH")</f>
        <v>0</v>
      </c>
      <c r="AM14" s="22">
        <f ca="1">+GETPIVOTDATA("XLL4",'langlon (2016)'!$A$3,"MA_HT","RPH","MA_QH","DKG")</f>
        <v>0</v>
      </c>
      <c r="AN14" s="22">
        <f ca="1">+GETPIVOTDATA("XLL4",'langlon (2016)'!$A$3,"MA_HT","RPH","MA_QH","DDT")</f>
        <v>0</v>
      </c>
      <c r="AO14" s="22">
        <f ca="1">+GETPIVOTDATA("XLL4",'langlon (2016)'!$A$3,"MA_HT","RPH","MA_QH","DDL")</f>
        <v>0</v>
      </c>
      <c r="AP14" s="22">
        <f ca="1">+GETPIVOTDATA("XLL4",'langlon (2016)'!$A$3,"MA_HT","RPH","MA_QH","DRA")</f>
        <v>0</v>
      </c>
      <c r="AQ14" s="22">
        <f ca="1">+GETPIVOTDATA("XLL4",'langlon (2016)'!$A$3,"MA_HT","RPH","MA_QH","ONT")</f>
        <v>0</v>
      </c>
      <c r="AR14" s="22">
        <f ca="1">+GETPIVOTDATA("XLL4",'langlon (2016)'!$A$3,"MA_HT","RPH","MA_QH","ODT")</f>
        <v>0</v>
      </c>
      <c r="AS14" s="22">
        <f ca="1">+GETPIVOTDATA("XLL4",'langlon (2016)'!$A$3,"MA_HT","RPH","MA_QH","TSC")</f>
        <v>0</v>
      </c>
      <c r="AT14" s="22">
        <f ca="1">+GETPIVOTDATA("XLL4",'langlon (2016)'!$A$3,"MA_HT","RPH","MA_QH","DTS")</f>
        <v>0</v>
      </c>
      <c r="AU14" s="22">
        <f ca="1">+GETPIVOTDATA("XLL4",'langlon (2016)'!$A$3,"MA_HT","RPH","MA_QH","DNG")</f>
        <v>0</v>
      </c>
      <c r="AV14" s="22">
        <f ca="1">+GETPIVOTDATA("XLL4",'langlon (2016)'!$A$3,"MA_HT","RPH","MA_QH","TON")</f>
        <v>0</v>
      </c>
      <c r="AW14" s="22">
        <f ca="1">+GETPIVOTDATA("XLL4",'langlon (2016)'!$A$3,"MA_HT","RPH","MA_QH","NTD")</f>
        <v>0</v>
      </c>
      <c r="AX14" s="22">
        <f ca="1">+GETPIVOTDATA("XLL4",'langlon (2016)'!$A$3,"MA_HT","RPH","MA_QH","SKX")</f>
        <v>0</v>
      </c>
      <c r="AY14" s="22">
        <f ca="1">+GETPIVOTDATA("XLL4",'langlon (2016)'!$A$3,"MA_HT","RPH","MA_QH","DSH")</f>
        <v>0</v>
      </c>
      <c r="AZ14" s="22">
        <f ca="1">+GETPIVOTDATA("XLL4",'langlon (2016)'!$A$3,"MA_HT","RPH","MA_QH","DKV")</f>
        <v>0</v>
      </c>
      <c r="BA14" s="89">
        <f ca="1">+GETPIVOTDATA("XLL4",'langlon (2016)'!$A$3,"MA_HT","RPH","MA_QH","TIN")</f>
        <v>0</v>
      </c>
      <c r="BB14" s="50">
        <f ca="1">+GETPIVOTDATA("XLL4",'langlon (2016)'!$A$3,"MA_HT","RPH","MA_QH","SON")</f>
        <v>0</v>
      </c>
      <c r="BC14" s="50">
        <f ca="1">+GETPIVOTDATA("XLL4",'langlon (2016)'!$A$3,"MA_HT","RPH","MA_QH","MNC")</f>
        <v>0</v>
      </c>
      <c r="BD14" s="22">
        <f ca="1">+GETPIVOTDATA("XLL4",'langlon (2016)'!$A$3,"MA_HT","RPH","MA_QH","PNK")</f>
        <v>0</v>
      </c>
      <c r="BE14" s="71">
        <f ca="1">+GETPIVOTDATA("XLL4",'langlon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+GETPIVOTDATA("XLL4",'langlon (2016)'!$A$3,"MA_HT","RDD","MA_QH","LUC")</f>
        <v>0</v>
      </c>
      <c r="H15" s="22">
        <f ca="1">+GETPIVOTDATA("XLL4",'langlon (2016)'!$A$3,"MA_HT","RDD","MA_QH","LUK")</f>
        <v>0</v>
      </c>
      <c r="I15" s="22">
        <f ca="1">+GETPIVOTDATA("XLL4",'langlon (2016)'!$A$3,"MA_HT","RDD","MA_QH","LUN")</f>
        <v>0</v>
      </c>
      <c r="J15" s="22">
        <f ca="1">+GETPIVOTDATA("XLL4",'langlon (2016)'!$A$3,"MA_HT","RDD","MA_QH","HNK")</f>
        <v>0</v>
      </c>
      <c r="K15" s="22">
        <f ca="1">+GETPIVOTDATA("XLL4",'langlon (2016)'!$A$3,"MA_HT","RDD","MA_QH","CLN")</f>
        <v>0</v>
      </c>
      <c r="L15" s="22">
        <f ca="1">+GETPIVOTDATA("XLL4",'langlon (2016)'!$A$3,"MA_HT","RDD","MA_QH","RSX")</f>
        <v>0</v>
      </c>
      <c r="M15" s="22">
        <f ca="1">+GETPIVOTDATA("XLL4",'langlon (2016)'!$A$3,"MA_HT","RDD","MA_QH","RPH")</f>
        <v>0</v>
      </c>
      <c r="N15" s="43" t="e">
        <f ca="1">$D15-$BF15</f>
        <v>#REF!</v>
      </c>
      <c r="O15" s="22">
        <f ca="1">+GETPIVOTDATA("XLL4",'langlon (2016)'!$A$3,"MA_HT","RDD","MA_QH","NTS")</f>
        <v>0</v>
      </c>
      <c r="P15" s="22">
        <f ca="1">+GETPIVOTDATA("XLL4",'langlon (2016)'!$A$3,"MA_HT","RDD","MA_QH","LMU")</f>
        <v>0</v>
      </c>
      <c r="Q15" s="22">
        <f ca="1">+GETPIVOTDATA("XLL4",'langlon (2016)'!$A$3,"MA_HT","RDD","MA_QH","NKH")</f>
        <v>0</v>
      </c>
      <c r="R15" s="42">
        <f ca="1" t="shared" si="2"/>
        <v>0</v>
      </c>
      <c r="S15" s="22">
        <f ca="1">+GETPIVOTDATA("XLL4",'langlon (2016)'!$A$3,"MA_HT","RDD","MA_QH","CQP")</f>
        <v>0</v>
      </c>
      <c r="T15" s="22">
        <f ca="1">+GETPIVOTDATA("XLL4",'langlon (2016)'!$A$3,"MA_HT","RDD","MA_QH","CAN")</f>
        <v>0</v>
      </c>
      <c r="U15" s="22">
        <f ca="1">+GETPIVOTDATA("XLL4",'langlon (2016)'!$A$3,"MA_HT","RDD","MA_QH","SKK")</f>
        <v>0</v>
      </c>
      <c r="V15" s="22">
        <f ca="1">+GETPIVOTDATA("XLL4",'langlon (2016)'!$A$3,"MA_HT","RDD","MA_QH","SKT")</f>
        <v>0</v>
      </c>
      <c r="W15" s="22">
        <f ca="1">+GETPIVOTDATA("XLL4",'langlon (2016)'!$A$3,"MA_HT","RDD","MA_QH","SKN")</f>
        <v>0</v>
      </c>
      <c r="X15" s="22">
        <f ca="1">+GETPIVOTDATA("XLL4",'langlon (2016)'!$A$3,"MA_HT","RDD","MA_QH","TMD")</f>
        <v>0</v>
      </c>
      <c r="Y15" s="22">
        <f ca="1">+GETPIVOTDATA("XLL4",'langlon (2016)'!$A$3,"MA_HT","RDD","MA_QH","SKC")</f>
        <v>0</v>
      </c>
      <c r="Z15" s="22">
        <f ca="1">+GETPIVOTDATA("XLL4",'langlon (2016)'!$A$3,"MA_HT","RDD","MA_QH","SKS")</f>
        <v>0</v>
      </c>
      <c r="AA15" s="52">
        <f ca="1" t="shared" si="4"/>
        <v>0</v>
      </c>
      <c r="AB15" s="22">
        <f ca="1">+GETPIVOTDATA("XLL4",'langlon (2016)'!$A$3,"MA_HT","RDD","MA_QH","DGT")</f>
        <v>0</v>
      </c>
      <c r="AC15" s="22">
        <f ca="1">+GETPIVOTDATA("XLL4",'langlon (2016)'!$A$3,"MA_HT","RDD","MA_QH","DTL")</f>
        <v>0</v>
      </c>
      <c r="AD15" s="22">
        <f ca="1">+GETPIVOTDATA("XLL4",'langlon (2016)'!$A$3,"MA_HT","RDD","MA_QH","DNL")</f>
        <v>0</v>
      </c>
      <c r="AE15" s="22">
        <f ca="1">+GETPIVOTDATA("XLL4",'langlon (2016)'!$A$3,"MA_HT","RDD","MA_QH","DBV")</f>
        <v>0</v>
      </c>
      <c r="AF15" s="22">
        <f ca="1">+GETPIVOTDATA("XLL4",'langlon (2016)'!$A$3,"MA_HT","RDD","MA_QH","DVH")</f>
        <v>0</v>
      </c>
      <c r="AG15" s="22">
        <f ca="1">+GETPIVOTDATA("XLL4",'langlon (2016)'!$A$3,"MA_HT","RDD","MA_QH","DYT")</f>
        <v>0</v>
      </c>
      <c r="AH15" s="22">
        <f ca="1">+GETPIVOTDATA("XLL4",'langlon (2016)'!$A$3,"MA_HT","RDD","MA_QH","DGD")</f>
        <v>0</v>
      </c>
      <c r="AI15" s="22">
        <f ca="1">+GETPIVOTDATA("XLL4",'langlon (2016)'!$A$3,"MA_HT","RDD","MA_QH","DTT")</f>
        <v>0</v>
      </c>
      <c r="AJ15" s="22">
        <f ca="1">+GETPIVOTDATA("XLL4",'langlon (2016)'!$A$3,"MA_HT","RDD","MA_QH","NCK")</f>
        <v>0</v>
      </c>
      <c r="AK15" s="22">
        <f ca="1">+GETPIVOTDATA("XLL4",'langlon (2016)'!$A$3,"MA_HT","RDD","MA_QH","DXH")</f>
        <v>0</v>
      </c>
      <c r="AL15" s="22">
        <f ca="1">+GETPIVOTDATA("XLL4",'langlon (2016)'!$A$3,"MA_HT","RDD","MA_QH","DCH")</f>
        <v>0</v>
      </c>
      <c r="AM15" s="22">
        <f ca="1">+GETPIVOTDATA("XLL4",'langlon (2016)'!$A$3,"MA_HT","RDD","MA_QH","DKG")</f>
        <v>0</v>
      </c>
      <c r="AN15" s="22">
        <f ca="1">+GETPIVOTDATA("XLL4",'langlon (2016)'!$A$3,"MA_HT","RDD","MA_QH","DDT")</f>
        <v>0</v>
      </c>
      <c r="AO15" s="22">
        <f ca="1">+GETPIVOTDATA("XLL4",'langlon (2016)'!$A$3,"MA_HT","RDD","MA_QH","DDL")</f>
        <v>0</v>
      </c>
      <c r="AP15" s="22">
        <f ca="1">+GETPIVOTDATA("XLL4",'langlon (2016)'!$A$3,"MA_HT","RDD","MA_QH","DRA")</f>
        <v>0</v>
      </c>
      <c r="AQ15" s="22">
        <f ca="1">+GETPIVOTDATA("XLL4",'langlon (2016)'!$A$3,"MA_HT","RDD","MA_QH","ONT")</f>
        <v>0</v>
      </c>
      <c r="AR15" s="22">
        <f ca="1">+GETPIVOTDATA("XLL4",'langlon (2016)'!$A$3,"MA_HT","RDD","MA_QH","ODT")</f>
        <v>0</v>
      </c>
      <c r="AS15" s="22">
        <f ca="1">+GETPIVOTDATA("XLL4",'langlon (2016)'!$A$3,"MA_HT","RDD","MA_QH","TSC")</f>
        <v>0</v>
      </c>
      <c r="AT15" s="22">
        <f ca="1">+GETPIVOTDATA("XLL4",'langlon (2016)'!$A$3,"MA_HT","RDD","MA_QH","DTS")</f>
        <v>0</v>
      </c>
      <c r="AU15" s="22">
        <f ca="1">+GETPIVOTDATA("XLL4",'langlon (2016)'!$A$3,"MA_HT","RDD","MA_QH","DNG")</f>
        <v>0</v>
      </c>
      <c r="AV15" s="22">
        <f ca="1">+GETPIVOTDATA("XLL4",'langlon (2016)'!$A$3,"MA_HT","RDD","MA_QH","TON")</f>
        <v>0</v>
      </c>
      <c r="AW15" s="22">
        <f ca="1">+GETPIVOTDATA("XLL4",'langlon (2016)'!$A$3,"MA_HT","RDD","MA_QH","NTD")</f>
        <v>0</v>
      </c>
      <c r="AX15" s="22">
        <f ca="1">+GETPIVOTDATA("XLL4",'langlon (2016)'!$A$3,"MA_HT","RDD","MA_QH","SKX")</f>
        <v>0</v>
      </c>
      <c r="AY15" s="22">
        <f ca="1">+GETPIVOTDATA("XLL4",'langlon (2016)'!$A$3,"MA_HT","RDD","MA_QH","DSH")</f>
        <v>0</v>
      </c>
      <c r="AZ15" s="22">
        <f ca="1">+GETPIVOTDATA("XLL4",'langlon (2016)'!$A$3,"MA_HT","RDD","MA_QH","DKV")</f>
        <v>0</v>
      </c>
      <c r="BA15" s="89">
        <f ca="1">+GETPIVOTDATA("XLL4",'langlon (2016)'!$A$3,"MA_HT","RDD","MA_QH","TIN")</f>
        <v>0</v>
      </c>
      <c r="BB15" s="50">
        <f ca="1">+GETPIVOTDATA("XLL4",'langlon (2016)'!$A$3,"MA_HT","RDD","MA_QH","SON")</f>
        <v>0</v>
      </c>
      <c r="BC15" s="50">
        <f ca="1">+GETPIVOTDATA("XLL4",'langlon (2016)'!$A$3,"MA_HT","RDD","MA_QH","MNC")</f>
        <v>0</v>
      </c>
      <c r="BD15" s="22">
        <f ca="1">+GETPIVOTDATA("XLL4",'langlon (2016)'!$A$3,"MA_HT","RDD","MA_QH","PNK")</f>
        <v>0</v>
      </c>
      <c r="BE15" s="71">
        <f ca="1">+GETPIVOTDATA("XLL4",'langlon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+GETPIVOTDATA("XLL4",'langlon (2016)'!$A$3,"MA_HT","NTS","MA_QH","LUC")</f>
        <v>0</v>
      </c>
      <c r="H16" s="22">
        <f ca="1">+GETPIVOTDATA("XLL4",'langlon (2016)'!$A$3,"MA_HT","NTS","MA_QH","LUK")</f>
        <v>0</v>
      </c>
      <c r="I16" s="22">
        <f ca="1">+GETPIVOTDATA("XLL4",'langlon (2016)'!$A$3,"MA_HT","NTS","MA_QH","LUN")</f>
        <v>0</v>
      </c>
      <c r="J16" s="22">
        <f ca="1">+GETPIVOTDATA("XLL4",'langlon (2016)'!$A$3,"MA_HT","NTS","MA_QH","HNK")</f>
        <v>0</v>
      </c>
      <c r="K16" s="22">
        <f ca="1">+GETPIVOTDATA("XLL4",'langlon (2016)'!$A$3,"MA_HT","NTS","MA_QH","CLN")</f>
        <v>0</v>
      </c>
      <c r="L16" s="22">
        <f ca="1">+GETPIVOTDATA("XLL4",'langlon (2016)'!$A$3,"MA_HT","NTS","MA_QH","RSX")</f>
        <v>0</v>
      </c>
      <c r="M16" s="22">
        <f ca="1">+GETPIVOTDATA("XLL4",'langlon (2016)'!$A$3,"MA_HT","NTS","MA_QH","RPH")</f>
        <v>0</v>
      </c>
      <c r="N16" s="22">
        <f ca="1">+GETPIVOTDATA("XLL4",'langlon (2016)'!$A$3,"MA_HT","NTS","MA_QH","RDD")</f>
        <v>0</v>
      </c>
      <c r="O16" s="43" t="e">
        <f ca="1">$D16-$BF16</f>
        <v>#REF!</v>
      </c>
      <c r="P16" s="22">
        <f ca="1">+GETPIVOTDATA("XLL4",'langlon (2016)'!$A$3,"MA_HT","NTS","MA_QH","LMU")</f>
        <v>0</v>
      </c>
      <c r="Q16" s="22">
        <f ca="1">+GETPIVOTDATA("XLL4",'langlon (2016)'!$A$3,"MA_HT","NTS","MA_QH","NKH")</f>
        <v>0</v>
      </c>
      <c r="R16" s="42">
        <f ca="1" t="shared" si="2"/>
        <v>0</v>
      </c>
      <c r="S16" s="22">
        <f ca="1">+GETPIVOTDATA("XLL4",'langlon (2016)'!$A$3,"MA_HT","NTS","MA_QH","CQP")</f>
        <v>0</v>
      </c>
      <c r="T16" s="22">
        <f ca="1">+GETPIVOTDATA("XLL4",'langlon (2016)'!$A$3,"MA_HT","NTS","MA_QH","CAN")</f>
        <v>0</v>
      </c>
      <c r="U16" s="22">
        <f ca="1">+GETPIVOTDATA("XLL4",'langlon (2016)'!$A$3,"MA_HT","NTS","MA_QH","SKK")</f>
        <v>0</v>
      </c>
      <c r="V16" s="22">
        <f ca="1">+GETPIVOTDATA("XLL4",'langlon (2016)'!$A$3,"MA_HT","NTS","MA_QH","SKT")</f>
        <v>0</v>
      </c>
      <c r="W16" s="22">
        <f ca="1">+GETPIVOTDATA("XLL4",'langlon (2016)'!$A$3,"MA_HT","NTS","MA_QH","SKN")</f>
        <v>0</v>
      </c>
      <c r="X16" s="22">
        <f ca="1">+GETPIVOTDATA("XLL4",'langlon (2016)'!$A$3,"MA_HT","NTS","MA_QH","TMD")</f>
        <v>0</v>
      </c>
      <c r="Y16" s="22">
        <f ca="1">+GETPIVOTDATA("XLL4",'langlon (2016)'!$A$3,"MA_HT","NTS","MA_QH","SKC")</f>
        <v>0</v>
      </c>
      <c r="Z16" s="22">
        <f ca="1">+GETPIVOTDATA("XLL4",'langlon (2016)'!$A$3,"MA_HT","NTS","MA_QH","SKS")</f>
        <v>0</v>
      </c>
      <c r="AA16" s="52">
        <f ca="1" t="shared" si="4"/>
        <v>0</v>
      </c>
      <c r="AB16" s="22">
        <f ca="1">+GETPIVOTDATA("XLL4",'langlon (2016)'!$A$3,"MA_HT","NTS","MA_QH","DGT")</f>
        <v>0</v>
      </c>
      <c r="AC16" s="22">
        <f ca="1">+GETPIVOTDATA("XLL4",'langlon (2016)'!$A$3,"MA_HT","NTS","MA_QH","DTL")</f>
        <v>0</v>
      </c>
      <c r="AD16" s="22">
        <f ca="1">+GETPIVOTDATA("XLL4",'langlon (2016)'!$A$3,"MA_HT","NTS","MA_QH","DNL")</f>
        <v>0</v>
      </c>
      <c r="AE16" s="22">
        <f ca="1">+GETPIVOTDATA("XLL4",'langlon (2016)'!$A$3,"MA_HT","NTS","MA_QH","DBV")</f>
        <v>0</v>
      </c>
      <c r="AF16" s="22">
        <f ca="1">+GETPIVOTDATA("XLL4",'langlon (2016)'!$A$3,"MA_HT","NTS","MA_QH","DVH")</f>
        <v>0</v>
      </c>
      <c r="AG16" s="22">
        <f ca="1">+GETPIVOTDATA("XLL4",'langlon (2016)'!$A$3,"MA_HT","NTS","MA_QH","DYT")</f>
        <v>0</v>
      </c>
      <c r="AH16" s="22">
        <f ca="1">+GETPIVOTDATA("XLL4",'langlon (2016)'!$A$3,"MA_HT","NTS","MA_QH","DGD")</f>
        <v>0</v>
      </c>
      <c r="AI16" s="22">
        <f ca="1">+GETPIVOTDATA("XLL4",'langlon (2016)'!$A$3,"MA_HT","NTS","MA_QH","DTT")</f>
        <v>0</v>
      </c>
      <c r="AJ16" s="22">
        <f ca="1">+GETPIVOTDATA("XLL4",'langlon (2016)'!$A$3,"MA_HT","NTS","MA_QH","NCK")</f>
        <v>0</v>
      </c>
      <c r="AK16" s="22">
        <f ca="1">+GETPIVOTDATA("XLL4",'langlon (2016)'!$A$3,"MA_HT","NTS","MA_QH","DXH")</f>
        <v>0</v>
      </c>
      <c r="AL16" s="22">
        <f ca="1">+GETPIVOTDATA("XLL4",'langlon (2016)'!$A$3,"MA_HT","NTS","MA_QH","DCH")</f>
        <v>0</v>
      </c>
      <c r="AM16" s="22">
        <f ca="1">+GETPIVOTDATA("XLL4",'langlon (2016)'!$A$3,"MA_HT","NTS","MA_QH","DKG")</f>
        <v>0</v>
      </c>
      <c r="AN16" s="22">
        <f ca="1">+GETPIVOTDATA("XLL4",'langlon (2016)'!$A$3,"MA_HT","NTS","MA_QH","DDT")</f>
        <v>0</v>
      </c>
      <c r="AO16" s="22">
        <f ca="1">+GETPIVOTDATA("XLL4",'langlon (2016)'!$A$3,"MA_HT","NTS","MA_QH","DDL")</f>
        <v>0</v>
      </c>
      <c r="AP16" s="22">
        <f ca="1">+GETPIVOTDATA("XLL4",'langlon (2016)'!$A$3,"MA_HT","NTS","MA_QH","DRA")</f>
        <v>0</v>
      </c>
      <c r="AQ16" s="22">
        <f ca="1">+GETPIVOTDATA("XLL4",'langlon (2016)'!$A$3,"MA_HT","NTS","MA_QH","ONT")</f>
        <v>0</v>
      </c>
      <c r="AR16" s="22">
        <f ca="1">+GETPIVOTDATA("XLL4",'langlon (2016)'!$A$3,"MA_HT","NTS","MA_QH","ODT")</f>
        <v>0</v>
      </c>
      <c r="AS16" s="22">
        <f ca="1">+GETPIVOTDATA("XLL4",'langlon (2016)'!$A$3,"MA_HT","NTS","MA_QH","TSC")</f>
        <v>0</v>
      </c>
      <c r="AT16" s="22">
        <f ca="1">+GETPIVOTDATA("XLL4",'langlon (2016)'!$A$3,"MA_HT","NTS","MA_QH","DTS")</f>
        <v>0</v>
      </c>
      <c r="AU16" s="22">
        <f ca="1">+GETPIVOTDATA("XLL4",'langlon (2016)'!$A$3,"MA_HT","NTS","MA_QH","DNG")</f>
        <v>0</v>
      </c>
      <c r="AV16" s="22">
        <f ca="1">+GETPIVOTDATA("XLL4",'langlon (2016)'!$A$3,"MA_HT","NTS","MA_QH","TON")</f>
        <v>0</v>
      </c>
      <c r="AW16" s="22">
        <f ca="1">+GETPIVOTDATA("XLL4",'langlon (2016)'!$A$3,"MA_HT","NTS","MA_QH","NTD")</f>
        <v>0</v>
      </c>
      <c r="AX16" s="22">
        <f ca="1">+GETPIVOTDATA("XLL4",'langlon (2016)'!$A$3,"MA_HT","NTS","MA_QH","SKX")</f>
        <v>0</v>
      </c>
      <c r="AY16" s="22">
        <f ca="1">+GETPIVOTDATA("XLL4",'langlon (2016)'!$A$3,"MA_HT","NTS","MA_QH","DSH")</f>
        <v>0</v>
      </c>
      <c r="AZ16" s="22">
        <f ca="1">+GETPIVOTDATA("XLL4",'langlon (2016)'!$A$3,"MA_HT","NTS","MA_QH","DKV")</f>
        <v>0</v>
      </c>
      <c r="BA16" s="89">
        <f ca="1">+GETPIVOTDATA("XLL4",'langlon (2016)'!$A$3,"MA_HT","NTS","MA_QH","TIN")</f>
        <v>0</v>
      </c>
      <c r="BB16" s="50">
        <f ca="1">+GETPIVOTDATA("XLL4",'langlon (2016)'!$A$3,"MA_HT","NTS","MA_QH","SON")</f>
        <v>0</v>
      </c>
      <c r="BC16" s="50">
        <f ca="1">+GETPIVOTDATA("XLL4",'langlon (2016)'!$A$3,"MA_HT","NTS","MA_QH","MNC")</f>
        <v>0</v>
      </c>
      <c r="BD16" s="22">
        <f ca="1">+GETPIVOTDATA("XLL4",'langlon (2016)'!$A$3,"MA_HT","NTS","MA_QH","PNK")</f>
        <v>0</v>
      </c>
      <c r="BE16" s="71">
        <f ca="1">+GETPIVOTDATA("XLL4",'langlon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+GETPIVOTDATA("XLL4",'langlon (2016)'!$A$3,"MA_HT","LMU","MA_QH","LUC")</f>
        <v>0</v>
      </c>
      <c r="H17" s="22">
        <f ca="1">+GETPIVOTDATA("XLL4",'langlon (2016)'!$A$3,"MA_HT","LMU","MA_QH","LUK")</f>
        <v>0</v>
      </c>
      <c r="I17" s="22">
        <f ca="1">+GETPIVOTDATA("XLL4",'langlon (2016)'!$A$3,"MA_HT","LMU","MA_QH","LUN")</f>
        <v>0</v>
      </c>
      <c r="J17" s="22">
        <f ca="1">+GETPIVOTDATA("XLL4",'langlon (2016)'!$A$3,"MA_HT","LMU","MA_QH","HNK")</f>
        <v>0</v>
      </c>
      <c r="K17" s="22">
        <f ca="1">+GETPIVOTDATA("XLL4",'langlon (2016)'!$A$3,"MA_HT","LMU","MA_QH","CLN")</f>
        <v>0</v>
      </c>
      <c r="L17" s="22">
        <f ca="1">+GETPIVOTDATA("XLL4",'langlon (2016)'!$A$3,"MA_HT","LMU","MA_QH","RSX")</f>
        <v>0</v>
      </c>
      <c r="M17" s="22">
        <f ca="1">+GETPIVOTDATA("XLL4",'langlon (2016)'!$A$3,"MA_HT","LMU","MA_QH","RPH")</f>
        <v>0</v>
      </c>
      <c r="N17" s="22">
        <f ca="1">+GETPIVOTDATA("XLL4",'langlon (2016)'!$A$3,"MA_HT","LMU","MA_QH","RDD")</f>
        <v>0</v>
      </c>
      <c r="O17" s="22">
        <f ca="1">+GETPIVOTDATA("XLL4",'langlon (2016)'!$A$3,"MA_HT","LMU","MA_QH","NTS")</f>
        <v>0</v>
      </c>
      <c r="P17" s="43" t="e">
        <f ca="1">$D17-$BF17</f>
        <v>#REF!</v>
      </c>
      <c r="Q17" s="22">
        <f ca="1">+GETPIVOTDATA("XLL4",'langlon (2016)'!$A$3,"MA_HT","LMU","MA_QH","NKH")</f>
        <v>0</v>
      </c>
      <c r="R17" s="42">
        <f ca="1" t="shared" si="2"/>
        <v>0</v>
      </c>
      <c r="S17" s="22">
        <f ca="1">+GETPIVOTDATA("XLL4",'langlon (2016)'!$A$3,"MA_HT","LMU","MA_QH","CQP")</f>
        <v>0</v>
      </c>
      <c r="T17" s="22">
        <f ca="1">+GETPIVOTDATA("XLL4",'langlon (2016)'!$A$3,"MA_HT","LMU","MA_QH","CAN")</f>
        <v>0</v>
      </c>
      <c r="U17" s="22">
        <f ca="1">+GETPIVOTDATA("XLL4",'langlon (2016)'!$A$3,"MA_HT","LMU","MA_QH","SKK")</f>
        <v>0</v>
      </c>
      <c r="V17" s="22">
        <f ca="1">+GETPIVOTDATA("XLL4",'langlon (2016)'!$A$3,"MA_HT","LMU","MA_QH","SKT")</f>
        <v>0</v>
      </c>
      <c r="W17" s="22">
        <f ca="1">+GETPIVOTDATA("XLL4",'langlon (2016)'!$A$3,"MA_HT","LMU","MA_QH","SKN")</f>
        <v>0</v>
      </c>
      <c r="X17" s="22">
        <f ca="1">+GETPIVOTDATA("XLL4",'langlon (2016)'!$A$3,"MA_HT","LMU","MA_QH","TMD")</f>
        <v>0</v>
      </c>
      <c r="Y17" s="22">
        <f ca="1">+GETPIVOTDATA("XLL4",'langlon (2016)'!$A$3,"MA_HT","LMU","MA_QH","SKC")</f>
        <v>0</v>
      </c>
      <c r="Z17" s="22">
        <f ca="1">+GETPIVOTDATA("XLL4",'langlon (2016)'!$A$3,"MA_HT","LMU","MA_QH","SKS")</f>
        <v>0</v>
      </c>
      <c r="AA17" s="52">
        <f ca="1" t="shared" si="4"/>
        <v>0</v>
      </c>
      <c r="AB17" s="22">
        <f ca="1">+GETPIVOTDATA("XLL4",'langlon (2016)'!$A$3,"MA_HT","LMU","MA_QH","DGT")</f>
        <v>0</v>
      </c>
      <c r="AC17" s="22">
        <f ca="1">+GETPIVOTDATA("XLL4",'langlon (2016)'!$A$3,"MA_HT","LMU","MA_QH","DTL")</f>
        <v>0</v>
      </c>
      <c r="AD17" s="22">
        <f ca="1">+GETPIVOTDATA("XLL4",'langlon (2016)'!$A$3,"MA_HT","LMU","MA_QH","DNL")</f>
        <v>0</v>
      </c>
      <c r="AE17" s="22">
        <f ca="1">+GETPIVOTDATA("XLL4",'langlon (2016)'!$A$3,"MA_HT","LMU","MA_QH","DBV")</f>
        <v>0</v>
      </c>
      <c r="AF17" s="22">
        <f ca="1">+GETPIVOTDATA("XLL4",'langlon (2016)'!$A$3,"MA_HT","LMU","MA_QH","DVH")</f>
        <v>0</v>
      </c>
      <c r="AG17" s="22">
        <f ca="1">+GETPIVOTDATA("XLL4",'langlon (2016)'!$A$3,"MA_HT","LMU","MA_QH","DYT")</f>
        <v>0</v>
      </c>
      <c r="AH17" s="22">
        <f ca="1">+GETPIVOTDATA("XLL4",'langlon (2016)'!$A$3,"MA_HT","LMU","MA_QH","DGD")</f>
        <v>0</v>
      </c>
      <c r="AI17" s="22">
        <f ca="1">+GETPIVOTDATA("XLL4",'langlon (2016)'!$A$3,"MA_HT","LMU","MA_QH","DTT")</f>
        <v>0</v>
      </c>
      <c r="AJ17" s="22">
        <f ca="1">+GETPIVOTDATA("XLL4",'langlon (2016)'!$A$3,"MA_HT","LMU","MA_QH","NCK")</f>
        <v>0</v>
      </c>
      <c r="AK17" s="22">
        <f ca="1">+GETPIVOTDATA("XLL4",'langlon (2016)'!$A$3,"MA_HT","LMU","MA_QH","DXH")</f>
        <v>0</v>
      </c>
      <c r="AL17" s="22">
        <f ca="1">+GETPIVOTDATA("XLL4",'langlon (2016)'!$A$3,"MA_HT","LMU","MA_QH","DCH")</f>
        <v>0</v>
      </c>
      <c r="AM17" s="22">
        <f ca="1">+GETPIVOTDATA("XLL4",'langlon (2016)'!$A$3,"MA_HT","LMU","MA_QH","DKG")</f>
        <v>0</v>
      </c>
      <c r="AN17" s="22">
        <f ca="1">+GETPIVOTDATA("XLL4",'langlon (2016)'!$A$3,"MA_HT","LMU","MA_QH","DDT")</f>
        <v>0</v>
      </c>
      <c r="AO17" s="22">
        <f ca="1">+GETPIVOTDATA("XLL4",'langlon (2016)'!$A$3,"MA_HT","LMU","MA_QH","DDL")</f>
        <v>0</v>
      </c>
      <c r="AP17" s="22">
        <f ca="1">+GETPIVOTDATA("XLL4",'langlon (2016)'!$A$3,"MA_HT","LMU","MA_QH","DRA")</f>
        <v>0</v>
      </c>
      <c r="AQ17" s="22">
        <f ca="1">+GETPIVOTDATA("XLL4",'langlon (2016)'!$A$3,"MA_HT","LMU","MA_QH","ONT")</f>
        <v>0</v>
      </c>
      <c r="AR17" s="22">
        <f ca="1">+GETPIVOTDATA("XLL4",'langlon (2016)'!$A$3,"MA_HT","LMU","MA_QH","ODT")</f>
        <v>0</v>
      </c>
      <c r="AS17" s="22">
        <f ca="1">+GETPIVOTDATA("XLL4",'langlon (2016)'!$A$3,"MA_HT","LMU","MA_QH","TSC")</f>
        <v>0</v>
      </c>
      <c r="AT17" s="22">
        <f ca="1">+GETPIVOTDATA("XLL4",'langlon (2016)'!$A$3,"MA_HT","LMU","MA_QH","DTS")</f>
        <v>0</v>
      </c>
      <c r="AU17" s="22">
        <f ca="1">+GETPIVOTDATA("XLL4",'langlon (2016)'!$A$3,"MA_HT","LMU","MA_QH","DNG")</f>
        <v>0</v>
      </c>
      <c r="AV17" s="22">
        <f ca="1">+GETPIVOTDATA("XLL4",'langlon (2016)'!$A$3,"MA_HT","LMU","MA_QH","TON")</f>
        <v>0</v>
      </c>
      <c r="AW17" s="22">
        <f ca="1">+GETPIVOTDATA("XLL4",'langlon (2016)'!$A$3,"MA_HT","LMU","MA_QH","NTD")</f>
        <v>0</v>
      </c>
      <c r="AX17" s="22">
        <f ca="1">+GETPIVOTDATA("XLL4",'langlon (2016)'!$A$3,"MA_HT","LMU","MA_QH","SKX")</f>
        <v>0</v>
      </c>
      <c r="AY17" s="22">
        <f ca="1">+GETPIVOTDATA("XLL4",'langlon (2016)'!$A$3,"MA_HT","LMU","MA_QH","DSH")</f>
        <v>0</v>
      </c>
      <c r="AZ17" s="22">
        <f ca="1">+GETPIVOTDATA("XLL4",'langlon (2016)'!$A$3,"MA_HT","LMU","MA_QH","DKV")</f>
        <v>0</v>
      </c>
      <c r="BA17" s="89">
        <f ca="1">+GETPIVOTDATA("XLL4",'langlon (2016)'!$A$3,"MA_HT","LMU","MA_QH","TIN")</f>
        <v>0</v>
      </c>
      <c r="BB17" s="50">
        <f ca="1">+GETPIVOTDATA("XLL4",'langlon (2016)'!$A$3,"MA_HT","LMU","MA_QH","SON")</f>
        <v>0</v>
      </c>
      <c r="BC17" s="50">
        <f ca="1">+GETPIVOTDATA("XLL4",'langlon (2016)'!$A$3,"MA_HT","LMU","MA_QH","MNC")</f>
        <v>0</v>
      </c>
      <c r="BD17" s="22">
        <f ca="1">+GETPIVOTDATA("XLL4",'langlon (2016)'!$A$3,"MA_HT","LMU","MA_QH","PNK")</f>
        <v>0</v>
      </c>
      <c r="BE17" s="71">
        <f ca="1">+GETPIVOTDATA("XLL4",'langlon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+GETPIVOTDATA("XLL4",'langlon (2016)'!$A$3,"MA_HT","NKH","MA_QH","LUC")</f>
        <v>0</v>
      </c>
      <c r="H18" s="22">
        <f ca="1">+GETPIVOTDATA("XLL4",'langlon (2016)'!$A$3,"MA_HT","NKH","MA_QH","LUK")</f>
        <v>0</v>
      </c>
      <c r="I18" s="22">
        <f ca="1">+GETPIVOTDATA("XLL4",'langlon (2016)'!$A$3,"MA_HT","NKH","MA_QH","LUN")</f>
        <v>0</v>
      </c>
      <c r="J18" s="22">
        <f ca="1">+GETPIVOTDATA("XLL4",'langlon (2016)'!$A$3,"MA_HT","NKH","MA_QH","HNK")</f>
        <v>0</v>
      </c>
      <c r="K18" s="22">
        <f ca="1">+GETPIVOTDATA("XLL4",'langlon (2016)'!$A$3,"MA_HT","NKH","MA_QH","CLN")</f>
        <v>0</v>
      </c>
      <c r="L18" s="22">
        <f ca="1">+GETPIVOTDATA("XLL4",'langlon (2016)'!$A$3,"MA_HT","NKH","MA_QH","RSX")</f>
        <v>0</v>
      </c>
      <c r="M18" s="22">
        <f ca="1">+GETPIVOTDATA("XLL4",'langlon (2016)'!$A$3,"MA_HT","NKH","MA_QH","RPH")</f>
        <v>0</v>
      </c>
      <c r="N18" s="22">
        <f ca="1">+GETPIVOTDATA("XLL4",'langlon (2016)'!$A$3,"MA_HT","NKH","MA_QH","RDD")</f>
        <v>0</v>
      </c>
      <c r="O18" s="22">
        <f ca="1">+GETPIVOTDATA("XLL4",'langlon (2016)'!$A$3,"MA_HT","NKH","MA_QH","NTS")</f>
        <v>0</v>
      </c>
      <c r="P18" s="22">
        <f ca="1">+GETPIVOTDATA("XLL4",'langlon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+GETPIVOTDATA("XLL4",'langlon (2016)'!$A$3,"MA_HT","NKH","MA_QH","CQP")</f>
        <v>0</v>
      </c>
      <c r="T18" s="22">
        <f ca="1">+GETPIVOTDATA("XLL4",'langlon (2016)'!$A$3,"MA_HT","NKH","MA_QH","CAN")</f>
        <v>0</v>
      </c>
      <c r="U18" s="22">
        <f ca="1">+GETPIVOTDATA("XLL4",'langlon (2016)'!$A$3,"MA_HT","NKH","MA_QH","SKK")</f>
        <v>0</v>
      </c>
      <c r="V18" s="22">
        <f ca="1">+GETPIVOTDATA("XLL4",'langlon (2016)'!$A$3,"MA_HT","NKH","MA_QH","SKT")</f>
        <v>0</v>
      </c>
      <c r="W18" s="22">
        <f ca="1">+GETPIVOTDATA("XLL4",'langlon (2016)'!$A$3,"MA_HT","NKH","MA_QH","SKN")</f>
        <v>0</v>
      </c>
      <c r="X18" s="22">
        <f ca="1">+GETPIVOTDATA("XLL4",'langlon (2016)'!$A$3,"MA_HT","NKH","MA_QH","TMD")</f>
        <v>0</v>
      </c>
      <c r="Y18" s="22">
        <f ca="1">+GETPIVOTDATA("XLL4",'langlon (2016)'!$A$3,"MA_HT","NKH","MA_QH","SKC")</f>
        <v>0</v>
      </c>
      <c r="Z18" s="22">
        <f ca="1">+GETPIVOTDATA("XLL4",'langlon (2016)'!$A$3,"MA_HT","NKH","MA_QH","SKS")</f>
        <v>0</v>
      </c>
      <c r="AA18" s="52">
        <f ca="1" t="shared" si="4"/>
        <v>0</v>
      </c>
      <c r="AB18" s="22">
        <f ca="1">+GETPIVOTDATA("XLL4",'langlon (2016)'!$A$3,"MA_HT","NKH","MA_QH","DGT")</f>
        <v>0</v>
      </c>
      <c r="AC18" s="22">
        <f ca="1">+GETPIVOTDATA("XLL4",'langlon (2016)'!$A$3,"MA_HT","NKH","MA_QH","DTL")</f>
        <v>0</v>
      </c>
      <c r="AD18" s="22">
        <f ca="1">+GETPIVOTDATA("XLL4",'langlon (2016)'!$A$3,"MA_HT","NKH","MA_QH","DNL")</f>
        <v>0</v>
      </c>
      <c r="AE18" s="22">
        <f ca="1">+GETPIVOTDATA("XLL4",'langlon (2016)'!$A$3,"MA_HT","NKH","MA_QH","DBV")</f>
        <v>0</v>
      </c>
      <c r="AF18" s="22">
        <f ca="1">+GETPIVOTDATA("XLL4",'langlon (2016)'!$A$3,"MA_HT","NKH","MA_QH","DVH")</f>
        <v>0</v>
      </c>
      <c r="AG18" s="22">
        <f ca="1">+GETPIVOTDATA("XLL4",'langlon (2016)'!$A$3,"MA_HT","NKH","MA_QH","DYT")</f>
        <v>0</v>
      </c>
      <c r="AH18" s="22">
        <f ca="1">+GETPIVOTDATA("XLL4",'langlon (2016)'!$A$3,"MA_HT","NKH","MA_QH","DGD")</f>
        <v>0</v>
      </c>
      <c r="AI18" s="22">
        <f ca="1">+GETPIVOTDATA("XLL4",'langlon (2016)'!$A$3,"MA_HT","NKH","MA_QH","DTT")</f>
        <v>0</v>
      </c>
      <c r="AJ18" s="22">
        <f ca="1">+GETPIVOTDATA("XLL4",'langlon (2016)'!$A$3,"MA_HT","NKH","MA_QH","NCK")</f>
        <v>0</v>
      </c>
      <c r="AK18" s="22">
        <f ca="1">+GETPIVOTDATA("XLL4",'langlon (2016)'!$A$3,"MA_HT","NKH","MA_QH","DXH")</f>
        <v>0</v>
      </c>
      <c r="AL18" s="22">
        <f ca="1">+GETPIVOTDATA("XLL4",'langlon (2016)'!$A$3,"MA_HT","NKH","MA_QH","DCH")</f>
        <v>0</v>
      </c>
      <c r="AM18" s="22">
        <f ca="1">+GETPIVOTDATA("XLL4",'langlon (2016)'!$A$3,"MA_HT","NKH","MA_QH","DKG")</f>
        <v>0</v>
      </c>
      <c r="AN18" s="22">
        <f ca="1">+GETPIVOTDATA("XLL4",'langlon (2016)'!$A$3,"MA_HT","NKH","MA_QH","DDT")</f>
        <v>0</v>
      </c>
      <c r="AO18" s="22">
        <f ca="1">+GETPIVOTDATA("XLL4",'langlon (2016)'!$A$3,"MA_HT","NKH","MA_QH","DDL")</f>
        <v>0</v>
      </c>
      <c r="AP18" s="22">
        <f ca="1">+GETPIVOTDATA("XLL4",'langlon (2016)'!$A$3,"MA_HT","NKH","MA_QH","DRA")</f>
        <v>0</v>
      </c>
      <c r="AQ18" s="22">
        <f ca="1">+GETPIVOTDATA("XLL4",'langlon (2016)'!$A$3,"MA_HT","NKH","MA_QH","ONT")</f>
        <v>0</v>
      </c>
      <c r="AR18" s="22">
        <f ca="1">+GETPIVOTDATA("XLL4",'langlon (2016)'!$A$3,"MA_HT","NKH","MA_QH","ODT")</f>
        <v>0</v>
      </c>
      <c r="AS18" s="22">
        <f ca="1">+GETPIVOTDATA("XLL4",'langlon (2016)'!$A$3,"MA_HT","NKH","MA_QH","TSC")</f>
        <v>0</v>
      </c>
      <c r="AT18" s="22">
        <f ca="1">+GETPIVOTDATA("XLL4",'langlon (2016)'!$A$3,"MA_HT","NKH","MA_QH","DTS")</f>
        <v>0</v>
      </c>
      <c r="AU18" s="22">
        <f ca="1">+GETPIVOTDATA("XLL4",'langlon (2016)'!$A$3,"MA_HT","NKH","MA_QH","DNG")</f>
        <v>0</v>
      </c>
      <c r="AV18" s="22">
        <f ca="1">+GETPIVOTDATA("XLL4",'langlon (2016)'!$A$3,"MA_HT","NKH","MA_QH","TON")</f>
        <v>0</v>
      </c>
      <c r="AW18" s="22">
        <f ca="1">+GETPIVOTDATA("XLL4",'langlon (2016)'!$A$3,"MA_HT","NKH","MA_QH","NTD")</f>
        <v>0</v>
      </c>
      <c r="AX18" s="22">
        <f ca="1">+GETPIVOTDATA("XLL4",'langlon (2016)'!$A$3,"MA_HT","NKH","MA_QH","SKX")</f>
        <v>0</v>
      </c>
      <c r="AY18" s="22">
        <f ca="1">+GETPIVOTDATA("XLL4",'langlon (2016)'!$A$3,"MA_HT","NKH","MA_QH","DSH")</f>
        <v>0</v>
      </c>
      <c r="AZ18" s="22">
        <f ca="1">+GETPIVOTDATA("XLL4",'langlon (2016)'!$A$3,"MA_HT","NKH","MA_QH","DKV")</f>
        <v>0</v>
      </c>
      <c r="BA18" s="89">
        <f ca="1">+GETPIVOTDATA("XLL4",'langlon (2016)'!$A$3,"MA_HT","NKH","MA_QH","TIN")</f>
        <v>0</v>
      </c>
      <c r="BB18" s="50">
        <f ca="1">+GETPIVOTDATA("XLL4",'langlon (2016)'!$A$3,"MA_HT","NKH","MA_QH","SON")</f>
        <v>0</v>
      </c>
      <c r="BC18" s="50">
        <f ca="1">+GETPIVOTDATA("XLL4",'langlon (2016)'!$A$3,"MA_HT","NKH","MA_QH","MNC")</f>
        <v>0</v>
      </c>
      <c r="BD18" s="22">
        <f ca="1">+GETPIVOTDATA("XLL4",'langlon (2016)'!$A$3,"MA_HT","NKH","MA_QH","PNK")</f>
        <v>0</v>
      </c>
      <c r="BE18" s="71">
        <f ca="1">+GETPIVOTDATA("XLL4",'langlon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+GETPIVOTDATA("XLL4",'langlon (2016)'!$A$3,"MA_HT","CQP","MA_QH","LUC")</f>
        <v>0</v>
      </c>
      <c r="H20" s="22">
        <f ca="1">+GETPIVOTDATA("XLL4",'langlon (2016)'!$A$3,"MA_HT","CQP","MA_QH","LUK")</f>
        <v>0</v>
      </c>
      <c r="I20" s="22">
        <f ca="1">+GETPIVOTDATA("XLL4",'langlon (2016)'!$A$3,"MA_HT","CQP","MA_QH","LUN")</f>
        <v>0</v>
      </c>
      <c r="J20" s="22">
        <f ca="1">+GETPIVOTDATA("XLL4",'langlon (2016)'!$A$3,"MA_HT","CQP","MA_QH","HNK")</f>
        <v>0</v>
      </c>
      <c r="K20" s="22">
        <f ca="1">+GETPIVOTDATA("XLL4",'langlon (2016)'!$A$3,"MA_HT","CQP","MA_QH","CLN")</f>
        <v>0</v>
      </c>
      <c r="L20" s="22">
        <f ca="1">+GETPIVOTDATA("XLL4",'langlon (2016)'!$A$3,"MA_HT","CQP","MA_QH","RSX")</f>
        <v>0</v>
      </c>
      <c r="M20" s="22">
        <f ca="1">+GETPIVOTDATA("XLL4",'langlon (2016)'!$A$3,"MA_HT","CQP","MA_QH","RPH")</f>
        <v>0</v>
      </c>
      <c r="N20" s="22">
        <f ca="1">+GETPIVOTDATA("XLL4",'langlon (2016)'!$A$3,"MA_HT","CQP","MA_QH","RDD")</f>
        <v>0</v>
      </c>
      <c r="O20" s="22">
        <f ca="1">+GETPIVOTDATA("XLL4",'langlon (2016)'!$A$3,"MA_HT","CQP","MA_QH","NTS")</f>
        <v>0</v>
      </c>
      <c r="P20" s="22">
        <f ca="1">+GETPIVOTDATA("XLL4",'langlon (2016)'!$A$3,"MA_HT","CQP","MA_QH","LMU")</f>
        <v>0</v>
      </c>
      <c r="Q20" s="22">
        <f ca="1">+GETPIVOTDATA("XLL4",'langlon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+GETPIVOTDATA("XLL4",'langlon (2016)'!$A$3,"MA_HT","CQP","MA_QH","CAN")</f>
        <v>0</v>
      </c>
      <c r="U20" s="22">
        <f ca="1">+GETPIVOTDATA("XLL4",'langlon (2016)'!$A$3,"MA_HT","CQP","MA_QH","SKK")</f>
        <v>0</v>
      </c>
      <c r="V20" s="22">
        <f ca="1">+GETPIVOTDATA("XLL4",'langlon (2016)'!$A$3,"MA_HT","CQP","MA_QH","SKT")</f>
        <v>0</v>
      </c>
      <c r="W20" s="22">
        <f ca="1">+GETPIVOTDATA("XLL4",'langlon (2016)'!$A$3,"MA_HT","CQP","MA_QH","SKN")</f>
        <v>0</v>
      </c>
      <c r="X20" s="22">
        <f ca="1">+GETPIVOTDATA("XLL4",'langlon (2016)'!$A$3,"MA_HT","CQP","MA_QH","TMD")</f>
        <v>0</v>
      </c>
      <c r="Y20" s="22">
        <f ca="1">+GETPIVOTDATA("XLL4",'langlon (2016)'!$A$3,"MA_HT","CQP","MA_QH","SKC")</f>
        <v>0</v>
      </c>
      <c r="Z20" s="22">
        <f ca="1">+GETPIVOTDATA("XLL4",'langlon (2016)'!$A$3,"MA_HT","CQP","MA_QH","SKS")</f>
        <v>0</v>
      </c>
      <c r="AA20" s="52">
        <f ca="1" t="shared" ref="AA20:AA27" si="12">+SUM(AB20:AM20)</f>
        <v>0</v>
      </c>
      <c r="AB20" s="22">
        <f ca="1">+GETPIVOTDATA("XLL4",'langlon (2016)'!$A$3,"MA_HT","CQP","MA_QH","DGT")</f>
        <v>0</v>
      </c>
      <c r="AC20" s="22">
        <f ca="1">+GETPIVOTDATA("XLL4",'langlon (2016)'!$A$3,"MA_HT","CQP","MA_QH","DTL")</f>
        <v>0</v>
      </c>
      <c r="AD20" s="22">
        <f ca="1">+GETPIVOTDATA("XLL4",'langlon (2016)'!$A$3,"MA_HT","CQP","MA_QH","DNL")</f>
        <v>0</v>
      </c>
      <c r="AE20" s="22">
        <f ca="1">+GETPIVOTDATA("XLL4",'langlon (2016)'!$A$3,"MA_HT","CQP","MA_QH","DBV")</f>
        <v>0</v>
      </c>
      <c r="AF20" s="22">
        <f ca="1">+GETPIVOTDATA("XLL4",'langlon (2016)'!$A$3,"MA_HT","CQP","MA_QH","DVH")</f>
        <v>0</v>
      </c>
      <c r="AG20" s="22">
        <f ca="1">+GETPIVOTDATA("XLL4",'langlon (2016)'!$A$3,"MA_HT","CQP","MA_QH","DYT")</f>
        <v>0</v>
      </c>
      <c r="AH20" s="22">
        <f ca="1">+GETPIVOTDATA("XLL4",'langlon (2016)'!$A$3,"MA_HT","CQP","MA_QH","DGD")</f>
        <v>0</v>
      </c>
      <c r="AI20" s="22">
        <f ca="1">+GETPIVOTDATA("XLL4",'langlon (2016)'!$A$3,"MA_HT","CQP","MA_QH","DTT")</f>
        <v>0</v>
      </c>
      <c r="AJ20" s="22">
        <f ca="1">+GETPIVOTDATA("XLL4",'langlon (2016)'!$A$3,"MA_HT","CQP","MA_QH","NCK")</f>
        <v>0</v>
      </c>
      <c r="AK20" s="22">
        <f ca="1">+GETPIVOTDATA("XLL4",'langlon (2016)'!$A$3,"MA_HT","CQP","MA_QH","DXH")</f>
        <v>0</v>
      </c>
      <c r="AL20" s="22">
        <f ca="1">+GETPIVOTDATA("XLL4",'langlon (2016)'!$A$3,"MA_HT","CQP","MA_QH","DCH")</f>
        <v>0</v>
      </c>
      <c r="AM20" s="22">
        <f ca="1">+GETPIVOTDATA("XLL4",'langlon (2016)'!$A$3,"MA_HT","CQP","MA_QH","DKG")</f>
        <v>0</v>
      </c>
      <c r="AN20" s="22">
        <f ca="1">+GETPIVOTDATA("XLL4",'langlon (2016)'!$A$3,"MA_HT","CQP","MA_QH","DDT")</f>
        <v>0</v>
      </c>
      <c r="AO20" s="22">
        <f ca="1">+GETPIVOTDATA("XLL4",'langlon (2016)'!$A$3,"MA_HT","CQP","MA_QH","DDL")</f>
        <v>0</v>
      </c>
      <c r="AP20" s="22">
        <f ca="1">+GETPIVOTDATA("XLL4",'langlon (2016)'!$A$3,"MA_HT","CQP","MA_QH","DRA")</f>
        <v>0</v>
      </c>
      <c r="AQ20" s="22">
        <f ca="1">+GETPIVOTDATA("XLL4",'langlon (2016)'!$A$3,"MA_HT","CQP","MA_QH","ONT")</f>
        <v>0</v>
      </c>
      <c r="AR20" s="22">
        <f ca="1">+GETPIVOTDATA("XLL4",'langlon (2016)'!$A$3,"MA_HT","CQP","MA_QH","ODT")</f>
        <v>0</v>
      </c>
      <c r="AS20" s="22">
        <f ca="1">+GETPIVOTDATA("XLL4",'langlon (2016)'!$A$3,"MA_HT","CQP","MA_QH","TSC")</f>
        <v>0</v>
      </c>
      <c r="AT20" s="22">
        <f ca="1">+GETPIVOTDATA("XLL4",'langlon (2016)'!$A$3,"MA_HT","CQP","MA_QH","DTS")</f>
        <v>0</v>
      </c>
      <c r="AU20" s="22">
        <f ca="1">+GETPIVOTDATA("XLL4",'langlon (2016)'!$A$3,"MA_HT","CQP","MA_QH","DNG")</f>
        <v>0</v>
      </c>
      <c r="AV20" s="22">
        <f ca="1">+GETPIVOTDATA("XLL4",'langlon (2016)'!$A$3,"MA_HT","CQP","MA_QH","TON")</f>
        <v>0</v>
      </c>
      <c r="AW20" s="22">
        <f ca="1">+GETPIVOTDATA("XLL4",'langlon (2016)'!$A$3,"MA_HT","CQP","MA_QH","NTD")</f>
        <v>0</v>
      </c>
      <c r="AX20" s="22">
        <f ca="1">+GETPIVOTDATA("XLL4",'langlon (2016)'!$A$3,"MA_HT","CQP","MA_QH","SKX")</f>
        <v>0</v>
      </c>
      <c r="AY20" s="22">
        <f ca="1">+GETPIVOTDATA("XLL4",'langlon (2016)'!$A$3,"MA_HT","CQP","MA_QH","DSH")</f>
        <v>0</v>
      </c>
      <c r="AZ20" s="22">
        <f ca="1">+GETPIVOTDATA("XLL4",'langlon (2016)'!$A$3,"MA_HT","CQP","MA_QH","DKV")</f>
        <v>0</v>
      </c>
      <c r="BA20" s="89">
        <f ca="1">+GETPIVOTDATA("XLL4",'langlon (2016)'!$A$3,"MA_HT","CQP","MA_QH","TIN")</f>
        <v>0</v>
      </c>
      <c r="BB20" s="50">
        <f ca="1">+GETPIVOTDATA("XLL4",'langlon (2016)'!$A$3,"MA_HT","CQP","MA_QH","SON")</f>
        <v>0</v>
      </c>
      <c r="BC20" s="50">
        <f ca="1">+GETPIVOTDATA("XLL4",'langlon (2016)'!$A$3,"MA_HT","CQP","MA_QH","MNC")</f>
        <v>0</v>
      </c>
      <c r="BD20" s="22">
        <f ca="1">+GETPIVOTDATA("XLL4",'langlon (2016)'!$A$3,"MA_HT","CQP","MA_QH","PNK")</f>
        <v>0</v>
      </c>
      <c r="BE20" s="71">
        <f ca="1">+GETPIVOTDATA("XLL4",'langlon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+GETPIVOTDATA("XLL4",'langlon (2016)'!$A$3,"MA_HT","CAN","MA_QH","LUC")</f>
        <v>0</v>
      </c>
      <c r="H21" s="22">
        <f ca="1">+GETPIVOTDATA("XLL4",'langlon (2016)'!$A$3,"MA_HT","CAN","MA_QH","LUK")</f>
        <v>0</v>
      </c>
      <c r="I21" s="22">
        <f ca="1">+GETPIVOTDATA("XLL4",'langlon (2016)'!$A$3,"MA_HT","CAN","MA_QH","LUN")</f>
        <v>0</v>
      </c>
      <c r="J21" s="22">
        <f ca="1">+GETPIVOTDATA("XLL4",'langlon (2016)'!$A$3,"MA_HT","CAN","MA_QH","HNK")</f>
        <v>0</v>
      </c>
      <c r="K21" s="22">
        <f ca="1">+GETPIVOTDATA("XLL4",'langlon (2016)'!$A$3,"MA_HT","CAN","MA_QH","CLN")</f>
        <v>0</v>
      </c>
      <c r="L21" s="22">
        <f ca="1">+GETPIVOTDATA("XLL4",'langlon (2016)'!$A$3,"MA_HT","CAN","MA_QH","RSX")</f>
        <v>0</v>
      </c>
      <c r="M21" s="22">
        <f ca="1">+GETPIVOTDATA("XLL4",'langlon (2016)'!$A$3,"MA_HT","CAN","MA_QH","RPH")</f>
        <v>0</v>
      </c>
      <c r="N21" s="22">
        <f ca="1">+GETPIVOTDATA("XLL4",'langlon (2016)'!$A$3,"MA_HT","CAN","MA_QH","RDD")</f>
        <v>0</v>
      </c>
      <c r="O21" s="22">
        <f ca="1">+GETPIVOTDATA("XLL4",'langlon (2016)'!$A$3,"MA_HT","CAN","MA_QH","NTS")</f>
        <v>0</v>
      </c>
      <c r="P21" s="22">
        <f ca="1">+GETPIVOTDATA("XLL4",'langlon (2016)'!$A$3,"MA_HT","CAN","MA_QH","LMU")</f>
        <v>0</v>
      </c>
      <c r="Q21" s="22">
        <f ca="1">+GETPIVOTDATA("XLL4",'langlon (2016)'!$A$3,"MA_HT","CAN","MA_QH","NKH")</f>
        <v>0</v>
      </c>
      <c r="R21" s="42">
        <f ca="1">SUM(S21,U21:AA21,AN21:BD21)</f>
        <v>0</v>
      </c>
      <c r="S21" s="22">
        <f ca="1">+GETPIVOTDATA("XLL4",'langlon (2016)'!$A$3,"MA_HT","CAN","MA_QH","CQP")</f>
        <v>0</v>
      </c>
      <c r="T21" s="43" t="e">
        <f ca="1">$D21-$BF21</f>
        <v>#REF!</v>
      </c>
      <c r="U21" s="22">
        <f ca="1">+GETPIVOTDATA("XLL4",'langlon (2016)'!$A$3,"MA_HT","CAN","MA_QH","SKK")</f>
        <v>0</v>
      </c>
      <c r="V21" s="22">
        <f ca="1">+GETPIVOTDATA("XLL4",'langlon (2016)'!$A$3,"MA_HT","CAN","MA_QH","SKT")</f>
        <v>0</v>
      </c>
      <c r="W21" s="22">
        <f ca="1">+GETPIVOTDATA("XLL4",'langlon (2016)'!$A$3,"MA_HT","CAN","MA_QH","SKN")</f>
        <v>0</v>
      </c>
      <c r="X21" s="22">
        <f ca="1">+GETPIVOTDATA("XLL4",'langlon (2016)'!$A$3,"MA_HT","CAN","MA_QH","TMD")</f>
        <v>0</v>
      </c>
      <c r="Y21" s="22">
        <f ca="1">+GETPIVOTDATA("XLL4",'langlon (2016)'!$A$3,"MA_HT","CAN","MA_QH","SKC")</f>
        <v>0</v>
      </c>
      <c r="Z21" s="22">
        <f ca="1">+GETPIVOTDATA("XLL4",'langlon (2016)'!$A$3,"MA_HT","CAN","MA_QH","SKS")</f>
        <v>0</v>
      </c>
      <c r="AA21" s="52">
        <f ca="1" t="shared" si="12"/>
        <v>0</v>
      </c>
      <c r="AB21" s="22">
        <f ca="1">+GETPIVOTDATA("XLL4",'langlon (2016)'!$A$3,"MA_HT","CAN","MA_QH","DGT")</f>
        <v>0</v>
      </c>
      <c r="AC21" s="22">
        <f ca="1">+GETPIVOTDATA("XLL4",'langlon (2016)'!$A$3,"MA_HT","CAN","MA_QH","DTL")</f>
        <v>0</v>
      </c>
      <c r="AD21" s="22">
        <f ca="1">+GETPIVOTDATA("XLL4",'langlon (2016)'!$A$3,"MA_HT","CAN","MA_QH","DNL")</f>
        <v>0</v>
      </c>
      <c r="AE21" s="22">
        <f ca="1">+GETPIVOTDATA("XLL4",'langlon (2016)'!$A$3,"MA_HT","CAN","MA_QH","DBV")</f>
        <v>0</v>
      </c>
      <c r="AF21" s="22">
        <f ca="1">+GETPIVOTDATA("XLL4",'langlon (2016)'!$A$3,"MA_HT","CAN","MA_QH","DVH")</f>
        <v>0</v>
      </c>
      <c r="AG21" s="22">
        <f ca="1">+GETPIVOTDATA("XLL4",'langlon (2016)'!$A$3,"MA_HT","CAN","MA_QH","DYT")</f>
        <v>0</v>
      </c>
      <c r="AH21" s="22">
        <f ca="1">+GETPIVOTDATA("XLL4",'langlon (2016)'!$A$3,"MA_HT","CAN","MA_QH","DGD")</f>
        <v>0</v>
      </c>
      <c r="AI21" s="22">
        <f ca="1">+GETPIVOTDATA("XLL4",'langlon (2016)'!$A$3,"MA_HT","CAN","MA_QH","DTT")</f>
        <v>0</v>
      </c>
      <c r="AJ21" s="22">
        <f ca="1">+GETPIVOTDATA("XLL4",'langlon (2016)'!$A$3,"MA_HT","CAN","MA_QH","NCK")</f>
        <v>0</v>
      </c>
      <c r="AK21" s="22">
        <f ca="1">+GETPIVOTDATA("XLL4",'langlon (2016)'!$A$3,"MA_HT","CAN","MA_QH","DXH")</f>
        <v>0</v>
      </c>
      <c r="AL21" s="22">
        <f ca="1">+GETPIVOTDATA("XLL4",'langlon (2016)'!$A$3,"MA_HT","CAN","MA_QH","DCH")</f>
        <v>0</v>
      </c>
      <c r="AM21" s="22">
        <f ca="1">+GETPIVOTDATA("XLL4",'langlon (2016)'!$A$3,"MA_HT","CAN","MA_QH","DKG")</f>
        <v>0</v>
      </c>
      <c r="AN21" s="22">
        <f ca="1">+GETPIVOTDATA("XLL4",'langlon (2016)'!$A$3,"MA_HT","CAN","MA_QH","DDT")</f>
        <v>0</v>
      </c>
      <c r="AO21" s="22">
        <f ca="1">+GETPIVOTDATA("XLL4",'langlon (2016)'!$A$3,"MA_HT","CAN","MA_QH","DDL")</f>
        <v>0</v>
      </c>
      <c r="AP21" s="22">
        <f ca="1">+GETPIVOTDATA("XLL4",'langlon (2016)'!$A$3,"MA_HT","CAN","MA_QH","DRA")</f>
        <v>0</v>
      </c>
      <c r="AQ21" s="22">
        <f ca="1">+GETPIVOTDATA("XLL4",'langlon (2016)'!$A$3,"MA_HT","CAN","MA_QH","ONT")</f>
        <v>0</v>
      </c>
      <c r="AR21" s="22">
        <f ca="1">+GETPIVOTDATA("XLL4",'langlon (2016)'!$A$3,"MA_HT","CAN","MA_QH","ODT")</f>
        <v>0</v>
      </c>
      <c r="AS21" s="22">
        <f ca="1">+GETPIVOTDATA("XLL4",'langlon (2016)'!$A$3,"MA_HT","CAN","MA_QH","TSC")</f>
        <v>0</v>
      </c>
      <c r="AT21" s="22">
        <f ca="1">+GETPIVOTDATA("XLL4",'langlon (2016)'!$A$3,"MA_HT","CAN","MA_QH","DTS")</f>
        <v>0</v>
      </c>
      <c r="AU21" s="22">
        <f ca="1">+GETPIVOTDATA("XLL4",'langlon (2016)'!$A$3,"MA_HT","CAN","MA_QH","DNG")</f>
        <v>0</v>
      </c>
      <c r="AV21" s="22">
        <f ca="1">+GETPIVOTDATA("XLL4",'langlon (2016)'!$A$3,"MA_HT","CAN","MA_QH","TON")</f>
        <v>0</v>
      </c>
      <c r="AW21" s="22">
        <f ca="1">+GETPIVOTDATA("XLL4",'langlon (2016)'!$A$3,"MA_HT","CAN","MA_QH","NTD")</f>
        <v>0</v>
      </c>
      <c r="AX21" s="22">
        <f ca="1">+GETPIVOTDATA("XLL4",'langlon (2016)'!$A$3,"MA_HT","CAN","MA_QH","SKX")</f>
        <v>0</v>
      </c>
      <c r="AY21" s="22">
        <f ca="1">+GETPIVOTDATA("XLL4",'langlon (2016)'!$A$3,"MA_HT","CAN","MA_QH","DSH")</f>
        <v>0</v>
      </c>
      <c r="AZ21" s="22">
        <f ca="1">+GETPIVOTDATA("XLL4",'langlon (2016)'!$A$3,"MA_HT","CAN","MA_QH","DKV")</f>
        <v>0</v>
      </c>
      <c r="BA21" s="89">
        <f ca="1">+GETPIVOTDATA("XLL4",'langlon (2016)'!$A$3,"MA_HT","CAN","MA_QH","TIN")</f>
        <v>0</v>
      </c>
      <c r="BB21" s="50">
        <f ca="1">+GETPIVOTDATA("XLL4",'langlon (2016)'!$A$3,"MA_HT","CAN","MA_QH","SON")</f>
        <v>0</v>
      </c>
      <c r="BC21" s="50">
        <f ca="1">+GETPIVOTDATA("XLL4",'langlon (2016)'!$A$3,"MA_HT","CAN","MA_QH","MNC")</f>
        <v>0</v>
      </c>
      <c r="BD21" s="22">
        <f ca="1">+GETPIVOTDATA("XLL4",'langlon (2016)'!$A$3,"MA_HT","CAN","MA_QH","PNK")</f>
        <v>0</v>
      </c>
      <c r="BE21" s="71">
        <f ca="1">+GETPIVOTDATA("XLL4",'langlon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+GETPIVOTDATA("XLL4",'langlon (2016)'!$A$3,"MA_HT","SKK","MA_QH","LUC")</f>
        <v>0</v>
      </c>
      <c r="H22" s="22">
        <f ca="1">+GETPIVOTDATA("XLL4",'langlon (2016)'!$A$3,"MA_HT","SKK","MA_QH","LUK")</f>
        <v>0</v>
      </c>
      <c r="I22" s="22">
        <f ca="1">+GETPIVOTDATA("XLL4",'langlon (2016)'!$A$3,"MA_HT","SKK","MA_QH","LUN")</f>
        <v>0</v>
      </c>
      <c r="J22" s="22">
        <f ca="1">+GETPIVOTDATA("XLL4",'langlon (2016)'!$A$3,"MA_HT","SKK","MA_QH","HNK")</f>
        <v>0</v>
      </c>
      <c r="K22" s="22">
        <f ca="1">+GETPIVOTDATA("XLL4",'langlon (2016)'!$A$3,"MA_HT","SKK","MA_QH","CLN")</f>
        <v>0</v>
      </c>
      <c r="L22" s="22">
        <f ca="1">+GETPIVOTDATA("XLL4",'langlon (2016)'!$A$3,"MA_HT","SKK","MA_QH","RSX")</f>
        <v>0</v>
      </c>
      <c r="M22" s="22">
        <f ca="1">+GETPIVOTDATA("XLL4",'langlon (2016)'!$A$3,"MA_HT","SKK","MA_QH","RPH")</f>
        <v>0</v>
      </c>
      <c r="N22" s="22">
        <f ca="1">+GETPIVOTDATA("XLL4",'langlon (2016)'!$A$3,"MA_HT","SKK","MA_QH","RDD")</f>
        <v>0</v>
      </c>
      <c r="O22" s="22">
        <f ca="1">+GETPIVOTDATA("XLL4",'langlon (2016)'!$A$3,"MA_HT","SKK","MA_QH","NTS")</f>
        <v>0</v>
      </c>
      <c r="P22" s="22">
        <f ca="1">+GETPIVOTDATA("XLL4",'langlon (2016)'!$A$3,"MA_HT","SKK","MA_QH","LMU")</f>
        <v>0</v>
      </c>
      <c r="Q22" s="22">
        <f ca="1">+GETPIVOTDATA("XLL4",'langlon (2016)'!$A$3,"MA_HT","SKK","MA_QH","NKH")</f>
        <v>0</v>
      </c>
      <c r="R22" s="42">
        <f ca="1">SUM(S22:T22,V22:AA22,AN22:BD22)</f>
        <v>0</v>
      </c>
      <c r="S22" s="22">
        <f ca="1">+GETPIVOTDATA("XLL4",'langlon (2016)'!$A$3,"MA_HT","SKK","MA_QH","CQP")</f>
        <v>0</v>
      </c>
      <c r="T22" s="22">
        <f ca="1">+GETPIVOTDATA("XLL4",'langlon (2016)'!$A$3,"MA_HT","SKK","MA_QH","CAN")</f>
        <v>0</v>
      </c>
      <c r="U22" s="43" t="e">
        <f ca="1">$D22-$BF22</f>
        <v>#REF!</v>
      </c>
      <c r="V22" s="22">
        <f ca="1">+GETPIVOTDATA("XLL4",'langlon (2016)'!$A$3,"MA_HT","SKK","MA_QH","SKT")</f>
        <v>0</v>
      </c>
      <c r="W22" s="22">
        <f ca="1">+GETPIVOTDATA("XLL4",'langlon (2016)'!$A$3,"MA_HT","SKK","MA_QH","SKN")</f>
        <v>0</v>
      </c>
      <c r="X22" s="22">
        <f ca="1">+GETPIVOTDATA("XLL4",'langlon (2016)'!$A$3,"MA_HT","SKK","MA_QH","TMD")</f>
        <v>0</v>
      </c>
      <c r="Y22" s="22">
        <f ca="1">+GETPIVOTDATA("XLL4",'langlon (2016)'!$A$3,"MA_HT","SKK","MA_QH","SKC")</f>
        <v>0</v>
      </c>
      <c r="Z22" s="22">
        <f ca="1">+GETPIVOTDATA("XLL4",'langlon (2016)'!$A$3,"MA_HT","SKK","MA_QH","SKS")</f>
        <v>0</v>
      </c>
      <c r="AA22" s="52">
        <f ca="1" t="shared" si="12"/>
        <v>0</v>
      </c>
      <c r="AB22" s="22">
        <f ca="1">+GETPIVOTDATA("XLL4",'langlon (2016)'!$A$3,"MA_HT","SKK","MA_QH","DGT")</f>
        <v>0</v>
      </c>
      <c r="AC22" s="22">
        <f ca="1">+GETPIVOTDATA("XLL4",'langlon (2016)'!$A$3,"MA_HT","SKK","MA_QH","DTL")</f>
        <v>0</v>
      </c>
      <c r="AD22" s="22">
        <f ca="1">+GETPIVOTDATA("XLL4",'langlon (2016)'!$A$3,"MA_HT","SKK","MA_QH","DNL")</f>
        <v>0</v>
      </c>
      <c r="AE22" s="22">
        <f ca="1">+GETPIVOTDATA("XLL4",'langlon (2016)'!$A$3,"MA_HT","SKK","MA_QH","DBV")</f>
        <v>0</v>
      </c>
      <c r="AF22" s="22">
        <f ca="1">+GETPIVOTDATA("XLL4",'langlon (2016)'!$A$3,"MA_HT","SKK","MA_QH","DVH")</f>
        <v>0</v>
      </c>
      <c r="AG22" s="22">
        <f ca="1">+GETPIVOTDATA("XLL4",'langlon (2016)'!$A$3,"MA_HT","SKK","MA_QH","DYT")</f>
        <v>0</v>
      </c>
      <c r="AH22" s="22">
        <f ca="1">+GETPIVOTDATA("XLL4",'langlon (2016)'!$A$3,"MA_HT","SKK","MA_QH","DGD")</f>
        <v>0</v>
      </c>
      <c r="AI22" s="22">
        <f ca="1">+GETPIVOTDATA("XLL4",'langlon (2016)'!$A$3,"MA_HT","SKK","MA_QH","DTT")</f>
        <v>0</v>
      </c>
      <c r="AJ22" s="22">
        <f ca="1">+GETPIVOTDATA("XLL4",'langlon (2016)'!$A$3,"MA_HT","SKK","MA_QH","NCK")</f>
        <v>0</v>
      </c>
      <c r="AK22" s="22">
        <f ca="1">+GETPIVOTDATA("XLL4",'langlon (2016)'!$A$3,"MA_HT","SKK","MA_QH","DXH")</f>
        <v>0</v>
      </c>
      <c r="AL22" s="22">
        <f ca="1">+GETPIVOTDATA("XLL4",'langlon (2016)'!$A$3,"MA_HT","SKK","MA_QH","DCH")</f>
        <v>0</v>
      </c>
      <c r="AM22" s="22">
        <f ca="1">+GETPIVOTDATA("XLL4",'langlon (2016)'!$A$3,"MA_HT","SKK","MA_QH","DKG")</f>
        <v>0</v>
      </c>
      <c r="AN22" s="22">
        <f ca="1">+GETPIVOTDATA("XLL4",'langlon (2016)'!$A$3,"MA_HT","SKK","MA_QH","DDT")</f>
        <v>0</v>
      </c>
      <c r="AO22" s="22">
        <f ca="1">+GETPIVOTDATA("XLL4",'langlon (2016)'!$A$3,"MA_HT","SKK","MA_QH","DDL")</f>
        <v>0</v>
      </c>
      <c r="AP22" s="22">
        <f ca="1">+GETPIVOTDATA("XLL4",'langlon (2016)'!$A$3,"MA_HT","SKK","MA_QH","DRA")</f>
        <v>0</v>
      </c>
      <c r="AQ22" s="22">
        <f ca="1">+GETPIVOTDATA("XLL4",'langlon (2016)'!$A$3,"MA_HT","SKK","MA_QH","ONT")</f>
        <v>0</v>
      </c>
      <c r="AR22" s="22">
        <f ca="1">+GETPIVOTDATA("XLL4",'langlon (2016)'!$A$3,"MA_HT","SKK","MA_QH","ODT")</f>
        <v>0</v>
      </c>
      <c r="AS22" s="22">
        <f ca="1">+GETPIVOTDATA("XLL4",'langlon (2016)'!$A$3,"MA_HT","SKK","MA_QH","TSC")</f>
        <v>0</v>
      </c>
      <c r="AT22" s="22">
        <f ca="1">+GETPIVOTDATA("XLL4",'langlon (2016)'!$A$3,"MA_HT","SKK","MA_QH","DTS")</f>
        <v>0</v>
      </c>
      <c r="AU22" s="22">
        <f ca="1">+GETPIVOTDATA("XLL4",'langlon (2016)'!$A$3,"MA_HT","SKK","MA_QH","DNG")</f>
        <v>0</v>
      </c>
      <c r="AV22" s="22">
        <f ca="1">+GETPIVOTDATA("XLL4",'langlon (2016)'!$A$3,"MA_HT","SKK","MA_QH","TON")</f>
        <v>0</v>
      </c>
      <c r="AW22" s="22">
        <f ca="1">+GETPIVOTDATA("XLL4",'langlon (2016)'!$A$3,"MA_HT","SKK","MA_QH","NTD")</f>
        <v>0</v>
      </c>
      <c r="AX22" s="22">
        <f ca="1">+GETPIVOTDATA("XLL4",'langlon (2016)'!$A$3,"MA_HT","SKK","MA_QH","SKX")</f>
        <v>0</v>
      </c>
      <c r="AY22" s="22">
        <f ca="1">+GETPIVOTDATA("XLL4",'langlon (2016)'!$A$3,"MA_HT","SKK","MA_QH","DSH")</f>
        <v>0</v>
      </c>
      <c r="AZ22" s="22">
        <f ca="1">+GETPIVOTDATA("XLL4",'langlon (2016)'!$A$3,"MA_HT","SKK","MA_QH","DKV")</f>
        <v>0</v>
      </c>
      <c r="BA22" s="89">
        <f ca="1">+GETPIVOTDATA("XLL4",'langlon (2016)'!$A$3,"MA_HT","SKK","MA_QH","TIN")</f>
        <v>0</v>
      </c>
      <c r="BB22" s="50">
        <f ca="1">+GETPIVOTDATA("XLL4",'langlon (2016)'!$A$3,"MA_HT","SKK","MA_QH","SON")</f>
        <v>0</v>
      </c>
      <c r="BC22" s="50">
        <f ca="1">+GETPIVOTDATA("XLL4",'langlon (2016)'!$A$3,"MA_HT","SKK","MA_QH","MNC")</f>
        <v>0</v>
      </c>
      <c r="BD22" s="22">
        <f ca="1">+GETPIVOTDATA("XLL4",'langlon (2016)'!$A$3,"MA_HT","SKK","MA_QH","PNK")</f>
        <v>0</v>
      </c>
      <c r="BE22" s="71">
        <f ca="1">+GETPIVOTDATA("XLL4",'langlon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+GETPIVOTDATA("XLL4",'langlon (2016)'!$A$3,"MA_HT","SKT","MA_QH","LUC")</f>
        <v>0</v>
      </c>
      <c r="H23" s="22">
        <f ca="1">+GETPIVOTDATA("XLL4",'langlon (2016)'!$A$3,"MA_HT","SKT","MA_QH","LUK")</f>
        <v>0</v>
      </c>
      <c r="I23" s="22">
        <f ca="1">+GETPIVOTDATA("XLL4",'langlon (2016)'!$A$3,"MA_HT","SKT","MA_QH","LUN")</f>
        <v>0</v>
      </c>
      <c r="J23" s="22">
        <f ca="1">+GETPIVOTDATA("XLL4",'langlon (2016)'!$A$3,"MA_HT","SKT","MA_QH","HNK")</f>
        <v>0</v>
      </c>
      <c r="K23" s="22">
        <f ca="1">+GETPIVOTDATA("XLL4",'langlon (2016)'!$A$3,"MA_HT","SKT","MA_QH","CLN")</f>
        <v>0</v>
      </c>
      <c r="L23" s="22">
        <f ca="1">+GETPIVOTDATA("XLL4",'langlon (2016)'!$A$3,"MA_HT","SKT","MA_QH","RSX")</f>
        <v>0</v>
      </c>
      <c r="M23" s="22">
        <f ca="1">+GETPIVOTDATA("XLL4",'langlon (2016)'!$A$3,"MA_HT","SKT","MA_QH","RPH")</f>
        <v>0</v>
      </c>
      <c r="N23" s="22">
        <f ca="1">+GETPIVOTDATA("XLL4",'langlon (2016)'!$A$3,"MA_HT","SKT","MA_QH","RDD")</f>
        <v>0</v>
      </c>
      <c r="O23" s="22">
        <f ca="1">+GETPIVOTDATA("XLL4",'langlon (2016)'!$A$3,"MA_HT","SKT","MA_QH","NTS")</f>
        <v>0</v>
      </c>
      <c r="P23" s="22">
        <f ca="1">+GETPIVOTDATA("XLL4",'langlon (2016)'!$A$3,"MA_HT","SKT","MA_QH","LMU")</f>
        <v>0</v>
      </c>
      <c r="Q23" s="22">
        <f ca="1">+GETPIVOTDATA("XLL4",'langlon (2016)'!$A$3,"MA_HT","SKT","MA_QH","NKH")</f>
        <v>0</v>
      </c>
      <c r="R23" s="42">
        <f ca="1">SUM(S23:U23,W23:AA23,AN23:BD23)</f>
        <v>0</v>
      </c>
      <c r="S23" s="22">
        <f ca="1">+GETPIVOTDATA("XLL4",'langlon (2016)'!$A$3,"MA_HT","SKT","MA_QH","CQP")</f>
        <v>0</v>
      </c>
      <c r="T23" s="22">
        <f ca="1">+GETPIVOTDATA("XLL4",'langlon (2016)'!$A$3,"MA_HT","SKT","MA_QH","CAN")</f>
        <v>0</v>
      </c>
      <c r="U23" s="22">
        <f ca="1">+GETPIVOTDATA("XLL4",'langlon (2016)'!$A$3,"MA_HT","SKT","MA_QH","SKK")</f>
        <v>0</v>
      </c>
      <c r="V23" s="43" t="e">
        <f ca="1">$D23-$BF23</f>
        <v>#REF!</v>
      </c>
      <c r="W23" s="22">
        <f ca="1">+GETPIVOTDATA("XLL4",'langlon (2016)'!$A$3,"MA_HT","SKT","MA_QH","SKN")</f>
        <v>0</v>
      </c>
      <c r="X23" s="22">
        <f ca="1">+GETPIVOTDATA("XLL4",'langlon (2016)'!$A$3,"MA_HT","SKT","MA_QH","TMD")</f>
        <v>0</v>
      </c>
      <c r="Y23" s="22">
        <f ca="1">+GETPIVOTDATA("XLL4",'langlon (2016)'!$A$3,"MA_HT","SKT","MA_QH","SKC")</f>
        <v>0</v>
      </c>
      <c r="Z23" s="22">
        <f ca="1">+GETPIVOTDATA("XLL4",'langlon (2016)'!$A$3,"MA_HT","SKT","MA_QH","SKS")</f>
        <v>0</v>
      </c>
      <c r="AA23" s="52">
        <f ca="1" t="shared" si="12"/>
        <v>0</v>
      </c>
      <c r="AB23" s="22">
        <f ca="1">+GETPIVOTDATA("XLL4",'langlon (2016)'!$A$3,"MA_HT","SKT","MA_QH","DGT")</f>
        <v>0</v>
      </c>
      <c r="AC23" s="22">
        <f ca="1">+GETPIVOTDATA("XLL4",'langlon (2016)'!$A$3,"MA_HT","SKT","MA_QH","DTL")</f>
        <v>0</v>
      </c>
      <c r="AD23" s="22">
        <f ca="1">+GETPIVOTDATA("XLL4",'langlon (2016)'!$A$3,"MA_HT","SKT","MA_QH","DNL")</f>
        <v>0</v>
      </c>
      <c r="AE23" s="22">
        <f ca="1">+GETPIVOTDATA("XLL4",'langlon (2016)'!$A$3,"MA_HT","SKT","MA_QH","DBV")</f>
        <v>0</v>
      </c>
      <c r="AF23" s="22">
        <f ca="1">+GETPIVOTDATA("XLL4",'langlon (2016)'!$A$3,"MA_HT","SKT","MA_QH","DVH")</f>
        <v>0</v>
      </c>
      <c r="AG23" s="22">
        <f ca="1">+GETPIVOTDATA("XLL4",'langlon (2016)'!$A$3,"MA_HT","SKT","MA_QH","DYT")</f>
        <v>0</v>
      </c>
      <c r="AH23" s="22">
        <f ca="1">+GETPIVOTDATA("XLL4",'langlon (2016)'!$A$3,"MA_HT","SKT","MA_QH","DGD")</f>
        <v>0</v>
      </c>
      <c r="AI23" s="22">
        <f ca="1">+GETPIVOTDATA("XLL4",'langlon (2016)'!$A$3,"MA_HT","SKT","MA_QH","DTT")</f>
        <v>0</v>
      </c>
      <c r="AJ23" s="22">
        <f ca="1">+GETPIVOTDATA("XLL4",'langlon (2016)'!$A$3,"MA_HT","SKT","MA_QH","NCK")</f>
        <v>0</v>
      </c>
      <c r="AK23" s="22">
        <f ca="1">+GETPIVOTDATA("XLL4",'langlon (2016)'!$A$3,"MA_HT","SKT","MA_QH","DXH")</f>
        <v>0</v>
      </c>
      <c r="AL23" s="22">
        <f ca="1">+GETPIVOTDATA("XLL4",'langlon (2016)'!$A$3,"MA_HT","SKT","MA_QH","DCH")</f>
        <v>0</v>
      </c>
      <c r="AM23" s="22">
        <f ca="1">+GETPIVOTDATA("XLL4",'langlon (2016)'!$A$3,"MA_HT","SKT","MA_QH","DKG")</f>
        <v>0</v>
      </c>
      <c r="AN23" s="22">
        <f ca="1">+GETPIVOTDATA("XLL4",'langlon (2016)'!$A$3,"MA_HT","SKT","MA_QH","DDT")</f>
        <v>0</v>
      </c>
      <c r="AO23" s="22">
        <f ca="1">+GETPIVOTDATA("XLL4",'langlon (2016)'!$A$3,"MA_HT","SKT","MA_QH","DDL")</f>
        <v>0</v>
      </c>
      <c r="AP23" s="22">
        <f ca="1">+GETPIVOTDATA("XLL4",'langlon (2016)'!$A$3,"MA_HT","SKT","MA_QH","DRA")</f>
        <v>0</v>
      </c>
      <c r="AQ23" s="22">
        <f ca="1">+GETPIVOTDATA("XLL4",'langlon (2016)'!$A$3,"MA_HT","SKT","MA_QH","ONT")</f>
        <v>0</v>
      </c>
      <c r="AR23" s="22">
        <f ca="1">+GETPIVOTDATA("XLL4",'langlon (2016)'!$A$3,"MA_HT","SKT","MA_QH","ODT")</f>
        <v>0</v>
      </c>
      <c r="AS23" s="22">
        <f ca="1">+GETPIVOTDATA("XLL4",'langlon (2016)'!$A$3,"MA_HT","SKT","MA_QH","TSC")</f>
        <v>0</v>
      </c>
      <c r="AT23" s="22">
        <f ca="1">+GETPIVOTDATA("XLL4",'langlon (2016)'!$A$3,"MA_HT","SKT","MA_QH","DTS")</f>
        <v>0</v>
      </c>
      <c r="AU23" s="22">
        <f ca="1">+GETPIVOTDATA("XLL4",'langlon (2016)'!$A$3,"MA_HT","SKT","MA_QH","DNG")</f>
        <v>0</v>
      </c>
      <c r="AV23" s="22">
        <f ca="1">+GETPIVOTDATA("XLL4",'langlon (2016)'!$A$3,"MA_HT","SKT","MA_QH","TON")</f>
        <v>0</v>
      </c>
      <c r="AW23" s="22">
        <f ca="1">+GETPIVOTDATA("XLL4",'langlon (2016)'!$A$3,"MA_HT","SKT","MA_QH","NTD")</f>
        <v>0</v>
      </c>
      <c r="AX23" s="22">
        <f ca="1">+GETPIVOTDATA("XLL4",'langlon (2016)'!$A$3,"MA_HT","SKT","MA_QH","SKX")</f>
        <v>0</v>
      </c>
      <c r="AY23" s="22">
        <f ca="1">+GETPIVOTDATA("XLL4",'langlon (2016)'!$A$3,"MA_HT","SKT","MA_QH","DSH")</f>
        <v>0</v>
      </c>
      <c r="AZ23" s="22">
        <f ca="1">+GETPIVOTDATA("XLL4",'langlon (2016)'!$A$3,"MA_HT","SKT","MA_QH","DKV")</f>
        <v>0</v>
      </c>
      <c r="BA23" s="89">
        <f ca="1">+GETPIVOTDATA("XLL4",'langlon (2016)'!$A$3,"MA_HT","SKT","MA_QH","TIN")</f>
        <v>0</v>
      </c>
      <c r="BB23" s="50">
        <f ca="1">+GETPIVOTDATA("XLL4",'langlon (2016)'!$A$3,"MA_HT","SKT","MA_QH","SON")</f>
        <v>0</v>
      </c>
      <c r="BC23" s="50">
        <f ca="1">+GETPIVOTDATA("XLL4",'langlon (2016)'!$A$3,"MA_HT","SKT","MA_QH","MNC")</f>
        <v>0</v>
      </c>
      <c r="BD23" s="22">
        <f ca="1">+GETPIVOTDATA("XLL4",'langlon (2016)'!$A$3,"MA_HT","SKT","MA_QH","PNK")</f>
        <v>0</v>
      </c>
      <c r="BE23" s="71">
        <f ca="1">+GETPIVOTDATA("XLL4",'langlon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+GETPIVOTDATA("XLL4",'langlon (2016)'!$A$3,"MA_HT","SKN","MA_QH","LUC")</f>
        <v>0</v>
      </c>
      <c r="H24" s="22">
        <f ca="1">+GETPIVOTDATA("XLL4",'langlon (2016)'!$A$3,"MA_HT","SKN","MA_QH","LUK")</f>
        <v>0</v>
      </c>
      <c r="I24" s="22">
        <f ca="1">+GETPIVOTDATA("XLL4",'langlon (2016)'!$A$3,"MA_HT","SKN","MA_QH","LUN")</f>
        <v>0</v>
      </c>
      <c r="J24" s="22">
        <f ca="1">+GETPIVOTDATA("XLL4",'langlon (2016)'!$A$3,"MA_HT","SKN","MA_QH","HNK")</f>
        <v>0</v>
      </c>
      <c r="K24" s="22">
        <f ca="1">+GETPIVOTDATA("XLL4",'langlon (2016)'!$A$3,"MA_HT","SKN","MA_QH","CLN")</f>
        <v>0</v>
      </c>
      <c r="L24" s="22">
        <f ca="1">+GETPIVOTDATA("XLL4",'langlon (2016)'!$A$3,"MA_HT","SKN","MA_QH","RSX")</f>
        <v>0</v>
      </c>
      <c r="M24" s="22">
        <f ca="1">+GETPIVOTDATA("XLL4",'langlon (2016)'!$A$3,"MA_HT","SKN","MA_QH","RPH")</f>
        <v>0</v>
      </c>
      <c r="N24" s="22">
        <f ca="1">+GETPIVOTDATA("XLL4",'langlon (2016)'!$A$3,"MA_HT","SKN","MA_QH","RDD")</f>
        <v>0</v>
      </c>
      <c r="O24" s="22">
        <f ca="1">+GETPIVOTDATA("XLL4",'langlon (2016)'!$A$3,"MA_HT","SKN","MA_QH","NTS")</f>
        <v>0</v>
      </c>
      <c r="P24" s="22">
        <f ca="1">+GETPIVOTDATA("XLL4",'langlon (2016)'!$A$3,"MA_HT","SKN","MA_QH","LMU")</f>
        <v>0</v>
      </c>
      <c r="Q24" s="22">
        <f ca="1">+GETPIVOTDATA("XLL4",'langlon (2016)'!$A$3,"MA_HT","SKN","MA_QH","NKH")</f>
        <v>0</v>
      </c>
      <c r="R24" s="42">
        <f ca="1">SUM(S24:V24,X24:AA24,AN24:BD24)</f>
        <v>0</v>
      </c>
      <c r="S24" s="22">
        <f ca="1">+GETPIVOTDATA("XLL4",'langlon (2016)'!$A$3,"MA_HT","SKN","MA_QH","CQP")</f>
        <v>0</v>
      </c>
      <c r="T24" s="22">
        <f ca="1">+GETPIVOTDATA("XLL4",'langlon (2016)'!$A$3,"MA_HT","SKN","MA_QH","CAN")</f>
        <v>0</v>
      </c>
      <c r="U24" s="22">
        <f ca="1">+GETPIVOTDATA("XLL4",'langlon (2016)'!$A$3,"MA_HT","SKN","MA_QH","SKK")</f>
        <v>0</v>
      </c>
      <c r="V24" s="22">
        <f ca="1">+GETPIVOTDATA("XLL4",'langlon (2016)'!$A$3,"MA_HT","SKN","MA_QH","SKT")</f>
        <v>0</v>
      </c>
      <c r="W24" s="43" t="e">
        <f ca="1">$D24-$BF24</f>
        <v>#REF!</v>
      </c>
      <c r="X24" s="22">
        <f ca="1">+GETPIVOTDATA("XLL4",'langlon (2016)'!$A$3,"MA_HT","SKN","MA_QH","TMD")</f>
        <v>0</v>
      </c>
      <c r="Y24" s="22">
        <f ca="1">+GETPIVOTDATA("XLL4",'langlon (2016)'!$A$3,"MA_HT","SKN","MA_QH","SKC")</f>
        <v>0</v>
      </c>
      <c r="Z24" s="22">
        <f ca="1">+GETPIVOTDATA("XLL4",'langlon (2016)'!$A$3,"MA_HT","SKN","MA_QH","SKS")</f>
        <v>0</v>
      </c>
      <c r="AA24" s="52">
        <f ca="1" t="shared" si="12"/>
        <v>0</v>
      </c>
      <c r="AB24" s="22">
        <f ca="1">+GETPIVOTDATA("XLL4",'langlon (2016)'!$A$3,"MA_HT","SKN","MA_QH","DGT")</f>
        <v>0</v>
      </c>
      <c r="AC24" s="22">
        <f ca="1">+GETPIVOTDATA("XLL4",'langlon (2016)'!$A$3,"MA_HT","SKN","MA_QH","DTL")</f>
        <v>0</v>
      </c>
      <c r="AD24" s="22">
        <f ca="1">+GETPIVOTDATA("XLL4",'langlon (2016)'!$A$3,"MA_HT","SKN","MA_QH","DNL")</f>
        <v>0</v>
      </c>
      <c r="AE24" s="22">
        <f ca="1">+GETPIVOTDATA("XLL4",'langlon (2016)'!$A$3,"MA_HT","SKN","MA_QH","DBV")</f>
        <v>0</v>
      </c>
      <c r="AF24" s="22">
        <f ca="1">+GETPIVOTDATA("XLL4",'langlon (2016)'!$A$3,"MA_HT","SKN","MA_QH","DVH")</f>
        <v>0</v>
      </c>
      <c r="AG24" s="22">
        <f ca="1">+GETPIVOTDATA("XLL4",'langlon (2016)'!$A$3,"MA_HT","SKN","MA_QH","DYT")</f>
        <v>0</v>
      </c>
      <c r="AH24" s="22">
        <f ca="1">+GETPIVOTDATA("XLL4",'langlon (2016)'!$A$3,"MA_HT","SKN","MA_QH","DGD")</f>
        <v>0</v>
      </c>
      <c r="AI24" s="22">
        <f ca="1">+GETPIVOTDATA("XLL4",'langlon (2016)'!$A$3,"MA_HT","SKN","MA_QH","DTT")</f>
        <v>0</v>
      </c>
      <c r="AJ24" s="22">
        <f ca="1">+GETPIVOTDATA("XLL4",'langlon (2016)'!$A$3,"MA_HT","SKN","MA_QH","NCK")</f>
        <v>0</v>
      </c>
      <c r="AK24" s="22">
        <f ca="1">+GETPIVOTDATA("XLL4",'langlon (2016)'!$A$3,"MA_HT","SKN","MA_QH","DXH")</f>
        <v>0</v>
      </c>
      <c r="AL24" s="22">
        <f ca="1">+GETPIVOTDATA("XLL4",'langlon (2016)'!$A$3,"MA_HT","SKN","MA_QH","DCH")</f>
        <v>0</v>
      </c>
      <c r="AM24" s="22">
        <f ca="1">+GETPIVOTDATA("XLL4",'langlon (2016)'!$A$3,"MA_HT","SKN","MA_QH","DKG")</f>
        <v>0</v>
      </c>
      <c r="AN24" s="22">
        <f ca="1">+GETPIVOTDATA("XLL4",'langlon (2016)'!$A$3,"MA_HT","SKN","MA_QH","DDT")</f>
        <v>0</v>
      </c>
      <c r="AO24" s="22">
        <f ca="1">+GETPIVOTDATA("XLL4",'langlon (2016)'!$A$3,"MA_HT","SKN","MA_QH","DDL")</f>
        <v>0</v>
      </c>
      <c r="AP24" s="22">
        <f ca="1">+GETPIVOTDATA("XLL4",'langlon (2016)'!$A$3,"MA_HT","SKN","MA_QH","DRA")</f>
        <v>0</v>
      </c>
      <c r="AQ24" s="22">
        <f ca="1">+GETPIVOTDATA("XLL4",'langlon (2016)'!$A$3,"MA_HT","SKN","MA_QH","ONT")</f>
        <v>0</v>
      </c>
      <c r="AR24" s="22">
        <f ca="1">+GETPIVOTDATA("XLL4",'langlon (2016)'!$A$3,"MA_HT","SKN","MA_QH","ODT")</f>
        <v>0</v>
      </c>
      <c r="AS24" s="22">
        <f ca="1">+GETPIVOTDATA("XLL4",'langlon (2016)'!$A$3,"MA_HT","SKN","MA_QH","TSC")</f>
        <v>0</v>
      </c>
      <c r="AT24" s="22">
        <f ca="1">+GETPIVOTDATA("XLL4",'langlon (2016)'!$A$3,"MA_HT","SKN","MA_QH","DTS")</f>
        <v>0</v>
      </c>
      <c r="AU24" s="22">
        <f ca="1">+GETPIVOTDATA("XLL4",'langlon (2016)'!$A$3,"MA_HT","SKN","MA_QH","DNG")</f>
        <v>0</v>
      </c>
      <c r="AV24" s="22">
        <f ca="1">+GETPIVOTDATA("XLL4",'langlon (2016)'!$A$3,"MA_HT","SKN","MA_QH","TON")</f>
        <v>0</v>
      </c>
      <c r="AW24" s="22">
        <f ca="1">+GETPIVOTDATA("XLL4",'langlon (2016)'!$A$3,"MA_HT","SKN","MA_QH","NTD")</f>
        <v>0</v>
      </c>
      <c r="AX24" s="22">
        <f ca="1">+GETPIVOTDATA("XLL4",'langlon (2016)'!$A$3,"MA_HT","SKN","MA_QH","SKX")</f>
        <v>0</v>
      </c>
      <c r="AY24" s="22">
        <f ca="1">+GETPIVOTDATA("XLL4",'langlon (2016)'!$A$3,"MA_HT","SKN","MA_QH","DSH")</f>
        <v>0</v>
      </c>
      <c r="AZ24" s="22">
        <f ca="1">+GETPIVOTDATA("XLL4",'langlon (2016)'!$A$3,"MA_HT","SKN","MA_QH","DKV")</f>
        <v>0</v>
      </c>
      <c r="BA24" s="89">
        <f ca="1">+GETPIVOTDATA("XLL4",'langlon (2016)'!$A$3,"MA_HT","SKN","MA_QH","TIN")</f>
        <v>0</v>
      </c>
      <c r="BB24" s="50">
        <f ca="1">+GETPIVOTDATA("XLL4",'langlon (2016)'!$A$3,"MA_HT","SKN","MA_QH","SON")</f>
        <v>0</v>
      </c>
      <c r="BC24" s="50">
        <f ca="1">+GETPIVOTDATA("XLL4",'langlon (2016)'!$A$3,"MA_HT","SKN","MA_QH","MNC")</f>
        <v>0</v>
      </c>
      <c r="BD24" s="22">
        <f ca="1">+GETPIVOTDATA("XLL4",'langlon (2016)'!$A$3,"MA_HT","SKN","MA_QH","PNK")</f>
        <v>0</v>
      </c>
      <c r="BE24" s="71">
        <f ca="1">+GETPIVOTDATA("XLL4",'langlon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+GETPIVOTDATA("XLL4",'langlon (2016)'!$A$3,"MA_HT","TMD","MA_QH","LUC")</f>
        <v>0</v>
      </c>
      <c r="H25" s="22">
        <f ca="1">+GETPIVOTDATA("XLL4",'langlon (2016)'!$A$3,"MA_HT","TMD","MA_QH","LUK")</f>
        <v>0</v>
      </c>
      <c r="I25" s="22">
        <f ca="1">+GETPIVOTDATA("XLL4",'langlon (2016)'!$A$3,"MA_HT","TMD","MA_QH","LUN")</f>
        <v>0</v>
      </c>
      <c r="J25" s="22">
        <f ca="1">+GETPIVOTDATA("XLL4",'langlon (2016)'!$A$3,"MA_HT","TMD","MA_QH","HNK")</f>
        <v>0</v>
      </c>
      <c r="K25" s="22">
        <f ca="1">+GETPIVOTDATA("XLL4",'langlon (2016)'!$A$3,"MA_HT","TMD","MA_QH","CLN")</f>
        <v>0</v>
      </c>
      <c r="L25" s="22">
        <f ca="1">+GETPIVOTDATA("XLL4",'langlon (2016)'!$A$3,"MA_HT","TMD","MA_QH","RSX")</f>
        <v>0</v>
      </c>
      <c r="M25" s="22">
        <f ca="1">+GETPIVOTDATA("XLL4",'langlon (2016)'!$A$3,"MA_HT","TMD","MA_QH","RPH")</f>
        <v>0</v>
      </c>
      <c r="N25" s="22">
        <f ca="1">+GETPIVOTDATA("XLL4",'langlon (2016)'!$A$3,"MA_HT","TMD","MA_QH","RDD")</f>
        <v>0</v>
      </c>
      <c r="O25" s="22">
        <f ca="1">+GETPIVOTDATA("XLL4",'langlon (2016)'!$A$3,"MA_HT","TMD","MA_QH","NTS")</f>
        <v>0</v>
      </c>
      <c r="P25" s="22">
        <f ca="1">+GETPIVOTDATA("XLL4",'langlon (2016)'!$A$3,"MA_HT","TMD","MA_QH","LMU")</f>
        <v>0</v>
      </c>
      <c r="Q25" s="22">
        <f ca="1">+GETPIVOTDATA("XLL4",'langlon (2016)'!$A$3,"MA_HT","TMD","MA_QH","NKH")</f>
        <v>0</v>
      </c>
      <c r="R25" s="42">
        <f ca="1">SUM(S25:W25,Y25:AA25,AN25:BD25)</f>
        <v>0</v>
      </c>
      <c r="S25" s="22">
        <f ca="1">+GETPIVOTDATA("XLL4",'langlon (2016)'!$A$3,"MA_HT","TMD","MA_QH","CQP")</f>
        <v>0</v>
      </c>
      <c r="T25" s="22">
        <f ca="1">+GETPIVOTDATA("XLL4",'langlon (2016)'!$A$3,"MA_HT","TMD","MA_QH","CAN")</f>
        <v>0</v>
      </c>
      <c r="U25" s="22">
        <f ca="1">+GETPIVOTDATA("XLL4",'langlon (2016)'!$A$3,"MA_HT","TMD","MA_QH","SKK")</f>
        <v>0</v>
      </c>
      <c r="V25" s="22">
        <f ca="1">+GETPIVOTDATA("XLL4",'langlon (2016)'!$A$3,"MA_HT","TMD","MA_QH","SKT")</f>
        <v>0</v>
      </c>
      <c r="W25" s="22">
        <f ca="1">+GETPIVOTDATA("XLL4",'langlon (2016)'!$A$3,"MA_HT","TMD","MA_QH","SKN")</f>
        <v>0</v>
      </c>
      <c r="X25" s="43" t="e">
        <f ca="1">$D25-$BF25</f>
        <v>#REF!</v>
      </c>
      <c r="Y25" s="22">
        <f ca="1">+GETPIVOTDATA("XLL4",'langlon (2016)'!$A$3,"MA_HT","TMD","MA_QH","SKC")</f>
        <v>0</v>
      </c>
      <c r="Z25" s="22">
        <f ca="1">+GETPIVOTDATA("XLL4",'langlon (2016)'!$A$3,"MA_HT","TMD","MA_QH","SKS")</f>
        <v>0</v>
      </c>
      <c r="AA25" s="52">
        <f ca="1" t="shared" si="12"/>
        <v>0</v>
      </c>
      <c r="AB25" s="22">
        <f ca="1">+GETPIVOTDATA("XLL4",'langlon (2016)'!$A$3,"MA_HT","TMD","MA_QH","DGT")</f>
        <v>0</v>
      </c>
      <c r="AC25" s="22">
        <f ca="1">+GETPIVOTDATA("XLL4",'langlon (2016)'!$A$3,"MA_HT","TMD","MA_QH","DTL")</f>
        <v>0</v>
      </c>
      <c r="AD25" s="22">
        <f ca="1">+GETPIVOTDATA("XLL4",'langlon (2016)'!$A$3,"MA_HT","TMD","MA_QH","DNL")</f>
        <v>0</v>
      </c>
      <c r="AE25" s="22">
        <f ca="1">+GETPIVOTDATA("XLL4",'langlon (2016)'!$A$3,"MA_HT","TMD","MA_QH","DBV")</f>
        <v>0</v>
      </c>
      <c r="AF25" s="22">
        <f ca="1">+GETPIVOTDATA("XLL4",'langlon (2016)'!$A$3,"MA_HT","TMD","MA_QH","DVH")</f>
        <v>0</v>
      </c>
      <c r="AG25" s="22">
        <f ca="1">+GETPIVOTDATA("XLL4",'langlon (2016)'!$A$3,"MA_HT","TMD","MA_QH","DYT")</f>
        <v>0</v>
      </c>
      <c r="AH25" s="22">
        <f ca="1">+GETPIVOTDATA("XLL4",'langlon (2016)'!$A$3,"MA_HT","TMD","MA_QH","DGD")</f>
        <v>0</v>
      </c>
      <c r="AI25" s="22">
        <f ca="1">+GETPIVOTDATA("XLL4",'langlon (2016)'!$A$3,"MA_HT","TMD","MA_QH","DTT")</f>
        <v>0</v>
      </c>
      <c r="AJ25" s="22">
        <f ca="1">+GETPIVOTDATA("XLL4",'langlon (2016)'!$A$3,"MA_HT","TMD","MA_QH","NCK")</f>
        <v>0</v>
      </c>
      <c r="AK25" s="22">
        <f ca="1">+GETPIVOTDATA("XLL4",'langlon (2016)'!$A$3,"MA_HT","TMD","MA_QH","DXH")</f>
        <v>0</v>
      </c>
      <c r="AL25" s="22">
        <f ca="1">+GETPIVOTDATA("XLL4",'langlon (2016)'!$A$3,"MA_HT","TMD","MA_QH","DCH")</f>
        <v>0</v>
      </c>
      <c r="AM25" s="22">
        <f ca="1">+GETPIVOTDATA("XLL4",'langlon (2016)'!$A$3,"MA_HT","TMD","MA_QH","DKG")</f>
        <v>0</v>
      </c>
      <c r="AN25" s="22">
        <f ca="1">+GETPIVOTDATA("XLL4",'langlon (2016)'!$A$3,"MA_HT","TMD","MA_QH","DDT")</f>
        <v>0</v>
      </c>
      <c r="AO25" s="22">
        <f ca="1">+GETPIVOTDATA("XLL4",'langlon (2016)'!$A$3,"MA_HT","TMD","MA_QH","DDL")</f>
        <v>0</v>
      </c>
      <c r="AP25" s="22">
        <f ca="1">+GETPIVOTDATA("XLL4",'langlon (2016)'!$A$3,"MA_HT","TMD","MA_QH","DRA")</f>
        <v>0</v>
      </c>
      <c r="AQ25" s="22">
        <f ca="1">+GETPIVOTDATA("XLL4",'langlon (2016)'!$A$3,"MA_HT","TMD","MA_QH","ONT")</f>
        <v>0</v>
      </c>
      <c r="AR25" s="22">
        <f ca="1">+GETPIVOTDATA("XLL4",'langlon (2016)'!$A$3,"MA_HT","TMD","MA_QH","ODT")</f>
        <v>0</v>
      </c>
      <c r="AS25" s="22">
        <f ca="1">+GETPIVOTDATA("XLL4",'langlon (2016)'!$A$3,"MA_HT","TMD","MA_QH","TSC")</f>
        <v>0</v>
      </c>
      <c r="AT25" s="22">
        <f ca="1">+GETPIVOTDATA("XLL4",'langlon (2016)'!$A$3,"MA_HT","TMD","MA_QH","DTS")</f>
        <v>0</v>
      </c>
      <c r="AU25" s="22">
        <f ca="1">+GETPIVOTDATA("XLL4",'langlon (2016)'!$A$3,"MA_HT","TMD","MA_QH","DNG")</f>
        <v>0</v>
      </c>
      <c r="AV25" s="22">
        <f ca="1">+GETPIVOTDATA("XLL4",'langlon (2016)'!$A$3,"MA_HT","TMD","MA_QH","TON")</f>
        <v>0</v>
      </c>
      <c r="AW25" s="22">
        <f ca="1">+GETPIVOTDATA("XLL4",'langlon (2016)'!$A$3,"MA_HT","TMD","MA_QH","NTD")</f>
        <v>0</v>
      </c>
      <c r="AX25" s="22">
        <f ca="1">+GETPIVOTDATA("XLL4",'langlon (2016)'!$A$3,"MA_HT","TMD","MA_QH","SKX")</f>
        <v>0</v>
      </c>
      <c r="AY25" s="22">
        <f ca="1">+GETPIVOTDATA("XLL4",'langlon (2016)'!$A$3,"MA_HT","TMD","MA_QH","DSH")</f>
        <v>0</v>
      </c>
      <c r="AZ25" s="22">
        <f ca="1">+GETPIVOTDATA("XLL4",'langlon (2016)'!$A$3,"MA_HT","TMD","MA_QH","DKV")</f>
        <v>0</v>
      </c>
      <c r="BA25" s="89">
        <f ca="1">+GETPIVOTDATA("XLL4",'langlon (2016)'!$A$3,"MA_HT","TMD","MA_QH","TIN")</f>
        <v>0</v>
      </c>
      <c r="BB25" s="50">
        <f ca="1">+GETPIVOTDATA("XLL4",'langlon (2016)'!$A$3,"MA_HT","TMD","MA_QH","SON")</f>
        <v>0</v>
      </c>
      <c r="BC25" s="50">
        <f ca="1">+GETPIVOTDATA("XLL4",'langlon (2016)'!$A$3,"MA_HT","TMD","MA_QH","MNC")</f>
        <v>0</v>
      </c>
      <c r="BD25" s="22">
        <f ca="1">+GETPIVOTDATA("XLL4",'langlon (2016)'!$A$3,"MA_HT","TMD","MA_QH","PNK")</f>
        <v>0</v>
      </c>
      <c r="BE25" s="71">
        <f ca="1">+GETPIVOTDATA("XLL4",'langlon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+GETPIVOTDATA("XLL4",'langlon (2016)'!$A$3,"MA_HT","SKC","MA_QH","LUC")</f>
        <v>0</v>
      </c>
      <c r="H26" s="22">
        <f ca="1">+GETPIVOTDATA("XLL4",'langlon (2016)'!$A$3,"MA_HT","SKC","MA_QH","LUK")</f>
        <v>0</v>
      </c>
      <c r="I26" s="22">
        <f ca="1">+GETPIVOTDATA("XLL4",'langlon (2016)'!$A$3,"MA_HT","SKC","MA_QH","LUN")</f>
        <v>0</v>
      </c>
      <c r="J26" s="22">
        <f ca="1">+GETPIVOTDATA("XLL4",'langlon (2016)'!$A$3,"MA_HT","SKC","MA_QH","HNK")</f>
        <v>0</v>
      </c>
      <c r="K26" s="22">
        <f ca="1">+GETPIVOTDATA("XLL4",'langlon (2016)'!$A$3,"MA_HT","SKC","MA_QH","CLN")</f>
        <v>0</v>
      </c>
      <c r="L26" s="22">
        <f ca="1">+GETPIVOTDATA("XLL4",'langlon (2016)'!$A$3,"MA_HT","SKC","MA_QH","RSX")</f>
        <v>0</v>
      </c>
      <c r="M26" s="22">
        <f ca="1">+GETPIVOTDATA("XLL4",'langlon (2016)'!$A$3,"MA_HT","SKC","MA_QH","RPH")</f>
        <v>0</v>
      </c>
      <c r="N26" s="22">
        <f ca="1">+GETPIVOTDATA("XLL4",'langlon (2016)'!$A$3,"MA_HT","SKC","MA_QH","RDD")</f>
        <v>0</v>
      </c>
      <c r="O26" s="22">
        <f ca="1">+GETPIVOTDATA("XLL4",'langlon (2016)'!$A$3,"MA_HT","SKC","MA_QH","NTS")</f>
        <v>0</v>
      </c>
      <c r="P26" s="22">
        <f ca="1">+GETPIVOTDATA("XLL4",'langlon (2016)'!$A$3,"MA_HT","SKC","MA_QH","LMU")</f>
        <v>0</v>
      </c>
      <c r="Q26" s="22">
        <f ca="1">+GETPIVOTDATA("XLL4",'langlon (2016)'!$A$3,"MA_HT","SKC","MA_QH","NKH")</f>
        <v>0</v>
      </c>
      <c r="R26" s="42">
        <f ca="1">SUM(S26:X26,Z26,AN26:BD26)</f>
        <v>0</v>
      </c>
      <c r="S26" s="22">
        <f ca="1">+GETPIVOTDATA("XLL4",'langlon (2016)'!$A$3,"MA_HT","SKC","MA_QH","CQP")</f>
        <v>0</v>
      </c>
      <c r="T26" s="22">
        <f ca="1">+GETPIVOTDATA("XLL4",'langlon (2016)'!$A$3,"MA_HT","SKC","MA_QH","CAN")</f>
        <v>0</v>
      </c>
      <c r="U26" s="22">
        <f ca="1">+GETPIVOTDATA("XLL4",'langlon (2016)'!$A$3,"MA_HT","SKC","MA_QH","SKK")</f>
        <v>0</v>
      </c>
      <c r="V26" s="22">
        <f ca="1">+GETPIVOTDATA("XLL4",'langlon (2016)'!$A$3,"MA_HT","SKC","MA_QH","SKT")</f>
        <v>0</v>
      </c>
      <c r="W26" s="22">
        <f ca="1">+GETPIVOTDATA("XLL4",'langlon (2016)'!$A$3,"MA_HT","SKC","MA_QH","SKN")</f>
        <v>0</v>
      </c>
      <c r="X26" s="22">
        <f ca="1">+GETPIVOTDATA("XLL4",'langlon (2016)'!$A$3,"MA_HT","SKC","MA_QH","TMD")</f>
        <v>0</v>
      </c>
      <c r="Y26" s="43" t="e">
        <f ca="1">$D26-$BF26</f>
        <v>#REF!</v>
      </c>
      <c r="Z26" s="22">
        <f ca="1">+GETPIVOTDATA("XLL4",'langlon (2016)'!$A$3,"MA_HT","SKC","MA_QH","SKS")</f>
        <v>0</v>
      </c>
      <c r="AA26" s="52">
        <f ca="1" t="shared" si="12"/>
        <v>0</v>
      </c>
      <c r="AB26" s="22">
        <f ca="1">+GETPIVOTDATA("XLL4",'langlon (2016)'!$A$3,"MA_HT","SKC","MA_QH","DGT")</f>
        <v>0</v>
      </c>
      <c r="AC26" s="22">
        <f ca="1">+GETPIVOTDATA("XLL4",'langlon (2016)'!$A$3,"MA_HT","SKC","MA_QH","DTL")</f>
        <v>0</v>
      </c>
      <c r="AD26" s="22">
        <f ca="1">+GETPIVOTDATA("XLL4",'langlon (2016)'!$A$3,"MA_HT","SKC","MA_QH","DNL")</f>
        <v>0</v>
      </c>
      <c r="AE26" s="22">
        <f ca="1">+GETPIVOTDATA("XLL4",'langlon (2016)'!$A$3,"MA_HT","SKC","MA_QH","DBV")</f>
        <v>0</v>
      </c>
      <c r="AF26" s="22">
        <f ca="1">+GETPIVOTDATA("XLL4",'langlon (2016)'!$A$3,"MA_HT","SKC","MA_QH","DVH")</f>
        <v>0</v>
      </c>
      <c r="AG26" s="22">
        <f ca="1">+GETPIVOTDATA("XLL4",'langlon (2016)'!$A$3,"MA_HT","SKC","MA_QH","DYT")</f>
        <v>0</v>
      </c>
      <c r="AH26" s="22">
        <f ca="1">+GETPIVOTDATA("XLL4",'langlon (2016)'!$A$3,"MA_HT","SKC","MA_QH","DGD")</f>
        <v>0</v>
      </c>
      <c r="AI26" s="22">
        <f ca="1">+GETPIVOTDATA("XLL4",'langlon (2016)'!$A$3,"MA_HT","SKC","MA_QH","DTT")</f>
        <v>0</v>
      </c>
      <c r="AJ26" s="22">
        <f ca="1">+GETPIVOTDATA("XLL4",'langlon (2016)'!$A$3,"MA_HT","SKC","MA_QH","NCK")</f>
        <v>0</v>
      </c>
      <c r="AK26" s="22">
        <f ca="1">+GETPIVOTDATA("XLL4",'langlon (2016)'!$A$3,"MA_HT","SKC","MA_QH","DXH")</f>
        <v>0</v>
      </c>
      <c r="AL26" s="22">
        <f ca="1">+GETPIVOTDATA("XLL4",'langlon (2016)'!$A$3,"MA_HT","SKC","MA_QH","DCH")</f>
        <v>0</v>
      </c>
      <c r="AM26" s="22">
        <f ca="1">+GETPIVOTDATA("XLL4",'langlon (2016)'!$A$3,"MA_HT","SKC","MA_QH","DKG")</f>
        <v>0</v>
      </c>
      <c r="AN26" s="22">
        <f ca="1">+GETPIVOTDATA("XLL4",'langlon (2016)'!$A$3,"MA_HT","SKC","MA_QH","DDT")</f>
        <v>0</v>
      </c>
      <c r="AO26" s="22">
        <f ca="1">+GETPIVOTDATA("XLL4",'langlon (2016)'!$A$3,"MA_HT","SKC","MA_QH","DDL")</f>
        <v>0</v>
      </c>
      <c r="AP26" s="22">
        <f ca="1">+GETPIVOTDATA("XLL4",'langlon (2016)'!$A$3,"MA_HT","SKC","MA_QH","DRA")</f>
        <v>0</v>
      </c>
      <c r="AQ26" s="22">
        <f ca="1">+GETPIVOTDATA("XLL4",'langlon (2016)'!$A$3,"MA_HT","SKC","MA_QH","ONT")</f>
        <v>0</v>
      </c>
      <c r="AR26" s="22">
        <f ca="1">+GETPIVOTDATA("XLL4",'langlon (2016)'!$A$3,"MA_HT","SKC","MA_QH","ODT")</f>
        <v>0</v>
      </c>
      <c r="AS26" s="22">
        <f ca="1">+GETPIVOTDATA("XLL4",'langlon (2016)'!$A$3,"MA_HT","SKC","MA_QH","TSC")</f>
        <v>0</v>
      </c>
      <c r="AT26" s="22">
        <f ca="1">+GETPIVOTDATA("XLL4",'langlon (2016)'!$A$3,"MA_HT","SKC","MA_QH","DTS")</f>
        <v>0</v>
      </c>
      <c r="AU26" s="22">
        <f ca="1">+GETPIVOTDATA("XLL4",'langlon (2016)'!$A$3,"MA_HT","SKC","MA_QH","DNG")</f>
        <v>0</v>
      </c>
      <c r="AV26" s="22">
        <f ca="1">+GETPIVOTDATA("XLL4",'langlon (2016)'!$A$3,"MA_HT","SKC","MA_QH","TON")</f>
        <v>0</v>
      </c>
      <c r="AW26" s="22">
        <f ca="1">+GETPIVOTDATA("XLL4",'langlon (2016)'!$A$3,"MA_HT","SKC","MA_QH","NTD")</f>
        <v>0</v>
      </c>
      <c r="AX26" s="22">
        <f ca="1">+GETPIVOTDATA("XLL4",'langlon (2016)'!$A$3,"MA_HT","SKC","MA_QH","SKX")</f>
        <v>0</v>
      </c>
      <c r="AY26" s="22">
        <f ca="1">+GETPIVOTDATA("XLL4",'langlon (2016)'!$A$3,"MA_HT","SKC","MA_QH","DSH")</f>
        <v>0</v>
      </c>
      <c r="AZ26" s="22">
        <f ca="1">+GETPIVOTDATA("XLL4",'langlon (2016)'!$A$3,"MA_HT","SKC","MA_QH","DKV")</f>
        <v>0</v>
      </c>
      <c r="BA26" s="89">
        <f ca="1">+GETPIVOTDATA("XLL4",'langlon (2016)'!$A$3,"MA_HT","SKC","MA_QH","TIN")</f>
        <v>0</v>
      </c>
      <c r="BB26" s="50">
        <f ca="1">+GETPIVOTDATA("XLL4",'langlon (2016)'!$A$3,"MA_HT","SKC","MA_QH","SON")</f>
        <v>0</v>
      </c>
      <c r="BC26" s="50">
        <f ca="1">+GETPIVOTDATA("XLL4",'langlon (2016)'!$A$3,"MA_HT","SKC","MA_QH","MNC")</f>
        <v>0</v>
      </c>
      <c r="BD26" s="22">
        <f ca="1">+GETPIVOTDATA("XLL4",'langlon (2016)'!$A$3,"MA_HT","SKC","MA_QH","PNK")</f>
        <v>0</v>
      </c>
      <c r="BE26" s="71">
        <f ca="1">+GETPIVOTDATA("XLL4",'langlon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+GETPIVOTDATA("XLL4",'langlon (2016)'!$A$3,"MA_HT","SKS","MA_QH","LUC")</f>
        <v>0</v>
      </c>
      <c r="H27" s="22">
        <f ca="1">+GETPIVOTDATA("XLL4",'langlon (2016)'!$A$3,"MA_HT","SKS","MA_QH","LUK")</f>
        <v>0</v>
      </c>
      <c r="I27" s="22">
        <f ca="1">+GETPIVOTDATA("XLL4",'langlon (2016)'!$A$3,"MA_HT","SKS","MA_QH","LUN")</f>
        <v>0</v>
      </c>
      <c r="J27" s="22">
        <f ca="1">+GETPIVOTDATA("XLL4",'langlon (2016)'!$A$3,"MA_HT","SKS","MA_QH","HNK")</f>
        <v>0</v>
      </c>
      <c r="K27" s="22">
        <f ca="1">+GETPIVOTDATA("XLL4",'langlon (2016)'!$A$3,"MA_HT","SKS","MA_QH","CLN")</f>
        <v>0</v>
      </c>
      <c r="L27" s="22">
        <f ca="1">+GETPIVOTDATA("XLL4",'langlon (2016)'!$A$3,"MA_HT","SKS","MA_QH","RSX")</f>
        <v>0</v>
      </c>
      <c r="M27" s="22">
        <f ca="1">+GETPIVOTDATA("XLL4",'langlon (2016)'!$A$3,"MA_HT","SKS","MA_QH","RPH")</f>
        <v>0</v>
      </c>
      <c r="N27" s="22">
        <f ca="1">+GETPIVOTDATA("XLL4",'langlon (2016)'!$A$3,"MA_HT","SKS","MA_QH","RDD")</f>
        <v>0</v>
      </c>
      <c r="O27" s="22">
        <f ca="1">+GETPIVOTDATA("XLL4",'langlon (2016)'!$A$3,"MA_HT","SKS","MA_QH","NTS")</f>
        <v>0</v>
      </c>
      <c r="P27" s="22">
        <f ca="1">+GETPIVOTDATA("XLL4",'langlon (2016)'!$A$3,"MA_HT","SKS","MA_QH","LMU")</f>
        <v>0</v>
      </c>
      <c r="Q27" s="22">
        <f ca="1">+GETPIVOTDATA("XLL4",'langlon (2016)'!$A$3,"MA_HT","SKS","MA_QH","NKH")</f>
        <v>0</v>
      </c>
      <c r="R27" s="42">
        <f ca="1">SUM(S27:Y27,AA27,AN27:BD27)</f>
        <v>0</v>
      </c>
      <c r="S27" s="22">
        <f ca="1">+GETPIVOTDATA("XLL4",'langlon (2016)'!$A$3,"MA_HT","SKS","MA_QH","CQP")</f>
        <v>0</v>
      </c>
      <c r="T27" s="22">
        <f ca="1">+GETPIVOTDATA("XLL4",'langlon (2016)'!$A$3,"MA_HT","SKS","MA_QH","CAN")</f>
        <v>0</v>
      </c>
      <c r="U27" s="22">
        <f ca="1">+GETPIVOTDATA("XLL4",'langlon (2016)'!$A$3,"MA_HT","SKS","MA_QH","SKK")</f>
        <v>0</v>
      </c>
      <c r="V27" s="22">
        <f ca="1">+GETPIVOTDATA("XLL4",'langlon (2016)'!$A$3,"MA_HT","SKS","MA_QH","SKT")</f>
        <v>0</v>
      </c>
      <c r="W27" s="22">
        <f ca="1">+GETPIVOTDATA("XLL4",'langlon (2016)'!$A$3,"MA_HT","SKS","MA_QH","SKN")</f>
        <v>0</v>
      </c>
      <c r="X27" s="22">
        <f ca="1">+GETPIVOTDATA("XLL4",'langlon (2016)'!$A$3,"MA_HT","SKS","MA_QH","TMD")</f>
        <v>0</v>
      </c>
      <c r="Y27" s="22">
        <f ca="1">+GETPIVOTDATA("XLL4",'langlon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+GETPIVOTDATA("XLL4",'langlon (2016)'!$A$3,"MA_HT","SKS","MA_QH","DGT")</f>
        <v>0</v>
      </c>
      <c r="AC27" s="22">
        <f ca="1">+GETPIVOTDATA("XLL4",'langlon (2016)'!$A$3,"MA_HT","SKS","MA_QH","DTL")</f>
        <v>0</v>
      </c>
      <c r="AD27" s="22">
        <f ca="1">+GETPIVOTDATA("XLL4",'langlon (2016)'!$A$3,"MA_HT","SKS","MA_QH","DNL")</f>
        <v>0</v>
      </c>
      <c r="AE27" s="22">
        <f ca="1">+GETPIVOTDATA("XLL4",'langlon (2016)'!$A$3,"MA_HT","SKS","MA_QH","DBV")</f>
        <v>0</v>
      </c>
      <c r="AF27" s="22">
        <f ca="1">+GETPIVOTDATA("XLL4",'langlon (2016)'!$A$3,"MA_HT","SKS","MA_QH","DVH")</f>
        <v>0</v>
      </c>
      <c r="AG27" s="22">
        <f ca="1">+GETPIVOTDATA("XLL4",'langlon (2016)'!$A$3,"MA_HT","SKS","MA_QH","DYT")</f>
        <v>0</v>
      </c>
      <c r="AH27" s="22">
        <f ca="1">+GETPIVOTDATA("XLL4",'langlon (2016)'!$A$3,"MA_HT","SKS","MA_QH","DGD")</f>
        <v>0</v>
      </c>
      <c r="AI27" s="22">
        <f ca="1">+GETPIVOTDATA("XLL4",'langlon (2016)'!$A$3,"MA_HT","SKS","MA_QH","DTT")</f>
        <v>0</v>
      </c>
      <c r="AJ27" s="22">
        <f ca="1">+GETPIVOTDATA("XLL4",'langlon (2016)'!$A$3,"MA_HT","SKS","MA_QH","NCK")</f>
        <v>0</v>
      </c>
      <c r="AK27" s="22">
        <f ca="1">+GETPIVOTDATA("XLL4",'langlon (2016)'!$A$3,"MA_HT","SKS","MA_QH","DXH")</f>
        <v>0</v>
      </c>
      <c r="AL27" s="22">
        <f ca="1">+GETPIVOTDATA("XLL4",'langlon (2016)'!$A$3,"MA_HT","SKS","MA_QH","DCH")</f>
        <v>0</v>
      </c>
      <c r="AM27" s="22">
        <f ca="1">+GETPIVOTDATA("XLL4",'langlon (2016)'!$A$3,"MA_HT","SKS","MA_QH","DKG")</f>
        <v>0</v>
      </c>
      <c r="AN27" s="22">
        <f ca="1">+GETPIVOTDATA("XLL4",'langlon (2016)'!$A$3,"MA_HT","SKS","MA_QH","DDT")</f>
        <v>0</v>
      </c>
      <c r="AO27" s="22">
        <f ca="1">+GETPIVOTDATA("XLL4",'langlon (2016)'!$A$3,"MA_HT","SKS","MA_QH","DDL")</f>
        <v>0</v>
      </c>
      <c r="AP27" s="22">
        <f ca="1">+GETPIVOTDATA("XLL4",'langlon (2016)'!$A$3,"MA_HT","SKS","MA_QH","DRA")</f>
        <v>0</v>
      </c>
      <c r="AQ27" s="22">
        <f ca="1">+GETPIVOTDATA("XLL4",'langlon (2016)'!$A$3,"MA_HT","SKS","MA_QH","ONT")</f>
        <v>0</v>
      </c>
      <c r="AR27" s="22">
        <f ca="1">+GETPIVOTDATA("XLL4",'langlon (2016)'!$A$3,"MA_HT","SKS","MA_QH","ODT")</f>
        <v>0</v>
      </c>
      <c r="AS27" s="22">
        <f ca="1">+GETPIVOTDATA("XLL4",'langlon (2016)'!$A$3,"MA_HT","SKS","MA_QH","TSC")</f>
        <v>0</v>
      </c>
      <c r="AT27" s="22">
        <f ca="1">+GETPIVOTDATA("XLL4",'langlon (2016)'!$A$3,"MA_HT","SKS","MA_QH","DTS")</f>
        <v>0</v>
      </c>
      <c r="AU27" s="22">
        <f ca="1">+GETPIVOTDATA("XLL4",'langlon (2016)'!$A$3,"MA_HT","SKS","MA_QH","DNG")</f>
        <v>0</v>
      </c>
      <c r="AV27" s="22">
        <f ca="1">+GETPIVOTDATA("XLL4",'langlon (2016)'!$A$3,"MA_HT","SKS","MA_QH","TON")</f>
        <v>0</v>
      </c>
      <c r="AW27" s="22">
        <f ca="1">+GETPIVOTDATA("XLL4",'langlon (2016)'!$A$3,"MA_HT","SKS","MA_QH","NTD")</f>
        <v>0</v>
      </c>
      <c r="AX27" s="22">
        <f ca="1">+GETPIVOTDATA("XLL4",'langlon (2016)'!$A$3,"MA_HT","SKS","MA_QH","SKX")</f>
        <v>0</v>
      </c>
      <c r="AY27" s="22">
        <f ca="1">+GETPIVOTDATA("XLL4",'langlon (2016)'!$A$3,"MA_HT","SKS","MA_QH","DSH")</f>
        <v>0</v>
      </c>
      <c r="AZ27" s="22">
        <f ca="1">+GETPIVOTDATA("XLL4",'langlon (2016)'!$A$3,"MA_HT","SKS","MA_QH","DKV")</f>
        <v>0</v>
      </c>
      <c r="BA27" s="89">
        <f ca="1">+GETPIVOTDATA("XLL4",'langlon (2016)'!$A$3,"MA_HT","SKS","MA_QH","TIN")</f>
        <v>0</v>
      </c>
      <c r="BB27" s="50">
        <f ca="1">+GETPIVOTDATA("XLL4",'langlon (2016)'!$A$3,"MA_HT","SKS","MA_QH","SON")</f>
        <v>0</v>
      </c>
      <c r="BC27" s="50">
        <f ca="1">+GETPIVOTDATA("XLL4",'langlon (2016)'!$A$3,"MA_HT","SKS","MA_QH","MNC")</f>
        <v>0</v>
      </c>
      <c r="BD27" s="22">
        <f ca="1">+GETPIVOTDATA("XLL4",'langlon (2016)'!$A$3,"MA_HT","SKS","MA_QH","PNK")</f>
        <v>0</v>
      </c>
      <c r="BE27" s="71">
        <f ca="1">+GETPIVOTDATA("XLL4",'langlon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+GETPIVOTDATA("XLL4",'langlon (2016)'!$A$3,"MA_HT","DGT","MA_QH","LUC")</f>
        <v>0</v>
      </c>
      <c r="H29" s="50">
        <f ca="1">+GETPIVOTDATA("XLL4",'langlon (2016)'!$A$3,"MA_HT","DGT","MA_QH","LUK")</f>
        <v>0</v>
      </c>
      <c r="I29" s="50">
        <f ca="1">+GETPIVOTDATA("XLL4",'langlon (2016)'!$A$3,"MA_HT","DGT","MA_QH","LUN")</f>
        <v>0</v>
      </c>
      <c r="J29" s="50">
        <f ca="1">+GETPIVOTDATA("XLL4",'langlon (2016)'!$A$3,"MA_HT","DGT","MA_QH","HNK")</f>
        <v>0</v>
      </c>
      <c r="K29" s="50">
        <f ca="1">+GETPIVOTDATA("XLL4",'langlon (2016)'!$A$3,"MA_HT","DGT","MA_QH","CLN")</f>
        <v>0</v>
      </c>
      <c r="L29" s="50">
        <f ca="1">+GETPIVOTDATA("XLL4",'langlon (2016)'!$A$3,"MA_HT","DGT","MA_QH","RSX")</f>
        <v>0</v>
      </c>
      <c r="M29" s="50">
        <f ca="1">+GETPIVOTDATA("XLL4",'langlon (2016)'!$A$3,"MA_HT","DGT","MA_QH","RPH")</f>
        <v>0</v>
      </c>
      <c r="N29" s="50">
        <f ca="1">+GETPIVOTDATA("XLL4",'langlon (2016)'!$A$3,"MA_HT","DGT","MA_QH","RDD")</f>
        <v>0</v>
      </c>
      <c r="O29" s="50">
        <f ca="1">+GETPIVOTDATA("XLL4",'langlon (2016)'!$A$3,"MA_HT","DGT","MA_QH","NTS")</f>
        <v>0</v>
      </c>
      <c r="P29" s="50">
        <f ca="1">+GETPIVOTDATA("XLL4",'langlon (2016)'!$A$3,"MA_HT","DGT","MA_QH","LMU")</f>
        <v>0</v>
      </c>
      <c r="Q29" s="50">
        <f ca="1">+GETPIVOTDATA("XLL4",'langlon (2016)'!$A$3,"MA_HT","DGT","MA_QH","NKH")</f>
        <v>0</v>
      </c>
      <c r="R29" s="48">
        <f ca="1">SUM(S29:AA29,AN29:BD29)</f>
        <v>0</v>
      </c>
      <c r="S29" s="50">
        <f ca="1">+GETPIVOTDATA("XLL4",'langlon (2016)'!$A$3,"MA_HT","DGT","MA_QH","CQP")</f>
        <v>0</v>
      </c>
      <c r="T29" s="50">
        <f ca="1">+GETPIVOTDATA("XLL4",'langlon (2016)'!$A$3,"MA_HT","DGT","MA_QH","CAN")</f>
        <v>0</v>
      </c>
      <c r="U29" s="50">
        <f ca="1">+GETPIVOTDATA("XLL4",'langlon (2016)'!$A$3,"MA_HT","DGT","MA_QH","SKK")</f>
        <v>0</v>
      </c>
      <c r="V29" s="50">
        <f ca="1">+GETPIVOTDATA("XLL4",'langlon (2016)'!$A$3,"MA_HT","DGT","MA_QH","SKT")</f>
        <v>0</v>
      </c>
      <c r="W29" s="50">
        <f ca="1">+GETPIVOTDATA("XLL4",'langlon (2016)'!$A$3,"MA_HT","DGT","MA_QH","SKN")</f>
        <v>0</v>
      </c>
      <c r="X29" s="50">
        <f ca="1">+GETPIVOTDATA("XLL4",'langlon (2016)'!$A$3,"MA_HT","DGT","MA_QH","TMD")</f>
        <v>0</v>
      </c>
      <c r="Y29" s="50">
        <f ca="1">+GETPIVOTDATA("XLL4",'langlon (2016)'!$A$3,"MA_HT","DGT","MA_QH","SKC")</f>
        <v>0</v>
      </c>
      <c r="Z29" s="50">
        <f ca="1">+GETPIVOTDATA("XLL4",'langlon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+GETPIVOTDATA("XLL4",'langlon (2016)'!$A$3,"MA_HT","DGT","MA_QH","DTL")</f>
        <v>0</v>
      </c>
      <c r="AD29" s="50">
        <f ca="1">+GETPIVOTDATA("XLL4",'langlon (2016)'!$A$3,"MA_HT","DGT","MA_QH","DNL")</f>
        <v>0</v>
      </c>
      <c r="AE29" s="50">
        <f ca="1">+GETPIVOTDATA("XLL4",'langlon (2016)'!$A$3,"MA_HT","DGT","MA_QH","DBV")</f>
        <v>0</v>
      </c>
      <c r="AF29" s="50">
        <f ca="1">+GETPIVOTDATA("XLL4",'langlon (2016)'!$A$3,"MA_HT","DGT","MA_QH","DVH")</f>
        <v>0</v>
      </c>
      <c r="AG29" s="50">
        <f ca="1">+GETPIVOTDATA("XLL4",'langlon (2016)'!$A$3,"MA_HT","DGT","MA_QH","DYT")</f>
        <v>0</v>
      </c>
      <c r="AH29" s="50">
        <f ca="1">+GETPIVOTDATA("XLL4",'langlon (2016)'!$A$3,"MA_HT","DGT","MA_QH","DGD")</f>
        <v>0</v>
      </c>
      <c r="AI29" s="50">
        <f ca="1">+GETPIVOTDATA("XLL4",'langlon (2016)'!$A$3,"MA_HT","DGT","MA_QH","DTT")</f>
        <v>0</v>
      </c>
      <c r="AJ29" s="50">
        <f ca="1">+GETPIVOTDATA("XLL4",'langlon (2016)'!$A$3,"MA_HT","DGT","MA_QH","NCK")</f>
        <v>0</v>
      </c>
      <c r="AK29" s="50">
        <f ca="1">+GETPIVOTDATA("XLL4",'langlon (2016)'!$A$3,"MA_HT","DGT","MA_QH","DXH")</f>
        <v>0</v>
      </c>
      <c r="AL29" s="50">
        <f ca="1">+GETPIVOTDATA("XLL4",'langlon (2016)'!$A$3,"MA_HT","DGT","MA_QH","DCH")</f>
        <v>0</v>
      </c>
      <c r="AM29" s="50">
        <f ca="1">+GETPIVOTDATA("XLL4",'langlon (2016)'!$A$3,"MA_HT","DGT","MA_QH","DKG")</f>
        <v>0</v>
      </c>
      <c r="AN29" s="50">
        <f ca="1">+GETPIVOTDATA("XLL4",'langlon (2016)'!$A$3,"MA_HT","DGT","MA_QH","DDT")</f>
        <v>0</v>
      </c>
      <c r="AO29" s="50">
        <f ca="1">+GETPIVOTDATA("XLL4",'langlon (2016)'!$A$3,"MA_HT","DGT","MA_QH","DDL")</f>
        <v>0</v>
      </c>
      <c r="AP29" s="50">
        <f ca="1">+GETPIVOTDATA("XLL4",'langlon (2016)'!$A$3,"MA_HT","DGT","MA_QH","DRA")</f>
        <v>0</v>
      </c>
      <c r="AQ29" s="50">
        <f ca="1">+GETPIVOTDATA("XLL4",'langlon (2016)'!$A$3,"MA_HT","DGT","MA_QH","ONT")</f>
        <v>0</v>
      </c>
      <c r="AR29" s="50">
        <f ca="1">+GETPIVOTDATA("XLL4",'langlon (2016)'!$A$3,"MA_HT","DGT","MA_QH","ODT")</f>
        <v>0</v>
      </c>
      <c r="AS29" s="50">
        <f ca="1">+GETPIVOTDATA("XLL4",'langlon (2016)'!$A$3,"MA_HT","DGT","MA_QH","TSC")</f>
        <v>0</v>
      </c>
      <c r="AT29" s="50">
        <f ca="1">+GETPIVOTDATA("XLL4",'langlon (2016)'!$A$3,"MA_HT","DGT","MA_QH","DTS")</f>
        <v>0</v>
      </c>
      <c r="AU29" s="50">
        <f ca="1">+GETPIVOTDATA("XLL4",'langlon (2016)'!$A$3,"MA_HT","DGT","MA_QH","DNG")</f>
        <v>0</v>
      </c>
      <c r="AV29" s="50">
        <f ca="1">+GETPIVOTDATA("XLL4",'langlon (2016)'!$A$3,"MA_HT","DGT","MA_QH","TON")</f>
        <v>0</v>
      </c>
      <c r="AW29" s="50">
        <f ca="1">+GETPIVOTDATA("XLL4",'langlon (2016)'!$A$3,"MA_HT","DGT","MA_QH","NTD")</f>
        <v>0</v>
      </c>
      <c r="AX29" s="50">
        <f ca="1">+GETPIVOTDATA("XLL4",'langlon (2016)'!$A$3,"MA_HT","DGT","MA_QH","SKX")</f>
        <v>0</v>
      </c>
      <c r="AY29" s="50">
        <f ca="1">+GETPIVOTDATA("XLL4",'langlon (2016)'!$A$3,"MA_HT","DGT","MA_QH","DSH")</f>
        <v>0</v>
      </c>
      <c r="AZ29" s="50">
        <f ca="1">+GETPIVOTDATA("XLL4",'langlon (2016)'!$A$3,"MA_HT","DGT","MA_QH","DKV")</f>
        <v>0</v>
      </c>
      <c r="BA29" s="88">
        <f ca="1">+GETPIVOTDATA("XLL4",'langlon (2016)'!$A$3,"MA_HT","DGT","MA_QH","TIN")</f>
        <v>0</v>
      </c>
      <c r="BB29" s="50">
        <f ca="1">+GETPIVOTDATA("XLL4",'langlon (2016)'!$A$3,"MA_HT","DGT","MA_QH","SON")</f>
        <v>0</v>
      </c>
      <c r="BC29" s="50">
        <f ca="1">+GETPIVOTDATA("XLL4",'langlon (2016)'!$A$3,"MA_HT","DGT","MA_QH","MNC")</f>
        <v>0</v>
      </c>
      <c r="BD29" s="50">
        <f ca="1">+GETPIVOTDATA("XLL4",'langlon (2016)'!$A$3,"MA_HT","DGT","MA_QH","PNK")</f>
        <v>0</v>
      </c>
      <c r="BE29" s="80">
        <f ca="1">+GETPIVOTDATA("XLL4",'langlon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+GETPIVOTDATA("XLL4",'langlon (2016)'!$A$3,"MA_HT","DTL","MA_QH","LUC")</f>
        <v>0</v>
      </c>
      <c r="H30" s="50">
        <f ca="1">+GETPIVOTDATA("XLL4",'langlon (2016)'!$A$3,"MA_HT","DTL","MA_QH","LUK")</f>
        <v>0</v>
      </c>
      <c r="I30" s="50">
        <f ca="1">+GETPIVOTDATA("XLL4",'langlon (2016)'!$A$3,"MA_HT","DTL","MA_QH","LUN")</f>
        <v>0</v>
      </c>
      <c r="J30" s="50">
        <f ca="1">+GETPIVOTDATA("XLL4",'langlon (2016)'!$A$3,"MA_HT","DTL","MA_QH","HNK")</f>
        <v>0</v>
      </c>
      <c r="K30" s="50">
        <f ca="1">+GETPIVOTDATA("XLL4",'langlon (2016)'!$A$3,"MA_HT","DTL","MA_QH","CLN")</f>
        <v>0</v>
      </c>
      <c r="L30" s="50">
        <f ca="1">+GETPIVOTDATA("XLL4",'langlon (2016)'!$A$3,"MA_HT","DTL","MA_QH","RSX")</f>
        <v>0</v>
      </c>
      <c r="M30" s="50">
        <f ca="1">+GETPIVOTDATA("XLL4",'langlon (2016)'!$A$3,"MA_HT","DTL","MA_QH","RPH")</f>
        <v>0</v>
      </c>
      <c r="N30" s="50">
        <f ca="1">+GETPIVOTDATA("XLL4",'langlon (2016)'!$A$3,"MA_HT","DTL","MA_QH","RDD")</f>
        <v>0</v>
      </c>
      <c r="O30" s="50">
        <f ca="1">+GETPIVOTDATA("XLL4",'langlon (2016)'!$A$3,"MA_HT","DTL","MA_QH","NTS")</f>
        <v>0</v>
      </c>
      <c r="P30" s="50">
        <f ca="1">+GETPIVOTDATA("XLL4",'langlon (2016)'!$A$3,"MA_HT","DTL","MA_QH","LMU")</f>
        <v>0</v>
      </c>
      <c r="Q30" s="50">
        <f ca="1">+GETPIVOTDATA("XLL4",'langlon (2016)'!$A$3,"MA_HT","DTL","MA_QH","NKH")</f>
        <v>0</v>
      </c>
      <c r="R30" s="48">
        <f ca="1" t="shared" ref="R30:R40" si="20">SUM(S30:AA30,AN30:BD30)</f>
        <v>0</v>
      </c>
      <c r="S30" s="50">
        <f ca="1">+GETPIVOTDATA("XLL4",'langlon (2016)'!$A$3,"MA_HT","DTL","MA_QH","CQP")</f>
        <v>0</v>
      </c>
      <c r="T30" s="50">
        <f ca="1">+GETPIVOTDATA("XLL4",'langlon (2016)'!$A$3,"MA_HT","DTL","MA_QH","CAN")</f>
        <v>0</v>
      </c>
      <c r="U30" s="50">
        <f ca="1">+GETPIVOTDATA("XLL4",'langlon (2016)'!$A$3,"MA_HT","DTL","MA_QH","SKK")</f>
        <v>0</v>
      </c>
      <c r="V30" s="50">
        <f ca="1">+GETPIVOTDATA("XLL4",'langlon (2016)'!$A$3,"MA_HT","DTL","MA_QH","SKT")</f>
        <v>0</v>
      </c>
      <c r="W30" s="50">
        <f ca="1">+GETPIVOTDATA("XLL4",'langlon (2016)'!$A$3,"MA_HT","DTL","MA_QH","SKN")</f>
        <v>0</v>
      </c>
      <c r="X30" s="50">
        <f ca="1">+GETPIVOTDATA("XLL4",'langlon (2016)'!$A$3,"MA_HT","DTL","MA_QH","TMD")</f>
        <v>0</v>
      </c>
      <c r="Y30" s="50">
        <f ca="1">+GETPIVOTDATA("XLL4",'langlon (2016)'!$A$3,"MA_HT","DTL","MA_QH","SKC")</f>
        <v>0</v>
      </c>
      <c r="Z30" s="50">
        <f ca="1">+GETPIVOTDATA("XLL4",'langlon (2016)'!$A$3,"MA_HT","DTL","MA_QH","SKS")</f>
        <v>0</v>
      </c>
      <c r="AA30" s="52">
        <f ca="1">+SUM(AB30,AD30:AM30)</f>
        <v>0</v>
      </c>
      <c r="AB30" s="50">
        <f ca="1">+GETPIVOTDATA("XLL4",'langlon (2016)'!$A$3,"MA_HT","DTL","MA_QH","DGT")</f>
        <v>0</v>
      </c>
      <c r="AC30" s="49" t="e">
        <f ca="1">$D30-$BF30</f>
        <v>#REF!</v>
      </c>
      <c r="AD30" s="50">
        <f ca="1">+GETPIVOTDATA("XLL4",'langlon (2016)'!$A$3,"MA_HT","DTL","MA_QH","DNL")</f>
        <v>0</v>
      </c>
      <c r="AE30" s="50">
        <f ca="1">+GETPIVOTDATA("XLL4",'langlon (2016)'!$A$3,"MA_HT","DTL","MA_QH","DBV")</f>
        <v>0</v>
      </c>
      <c r="AF30" s="50">
        <f ca="1">+GETPIVOTDATA("XLL4",'langlon (2016)'!$A$3,"MA_HT","DTL","MA_QH","DVH")</f>
        <v>0</v>
      </c>
      <c r="AG30" s="50">
        <f ca="1">+GETPIVOTDATA("XLL4",'langlon (2016)'!$A$3,"MA_HT","DTL","MA_QH","DYT")</f>
        <v>0</v>
      </c>
      <c r="AH30" s="50">
        <f ca="1">+GETPIVOTDATA("XLL4",'langlon (2016)'!$A$3,"MA_HT","DTL","MA_QH","DGD")</f>
        <v>0</v>
      </c>
      <c r="AI30" s="50">
        <f ca="1">+GETPIVOTDATA("XLL4",'langlon (2016)'!$A$3,"MA_HT","DTL","MA_QH","DTT")</f>
        <v>0</v>
      </c>
      <c r="AJ30" s="50">
        <f ca="1">+GETPIVOTDATA("XLL4",'langlon (2016)'!$A$3,"MA_HT","DTL","MA_QH","NCK")</f>
        <v>0</v>
      </c>
      <c r="AK30" s="50">
        <f ca="1">+GETPIVOTDATA("XLL4",'langlon (2016)'!$A$3,"MA_HT","DTL","MA_QH","DXH")</f>
        <v>0</v>
      </c>
      <c r="AL30" s="50">
        <f ca="1">+GETPIVOTDATA("XLL4",'langlon (2016)'!$A$3,"MA_HT","DTL","MA_QH","DCH")</f>
        <v>0</v>
      </c>
      <c r="AM30" s="50">
        <f ca="1">+GETPIVOTDATA("XLL4",'langlon (2016)'!$A$3,"MA_HT","DTL","MA_QH","DKG")</f>
        <v>0</v>
      </c>
      <c r="AN30" s="50">
        <f ca="1">+GETPIVOTDATA("XLL4",'langlon (2016)'!$A$3,"MA_HT","DTL","MA_QH","DDT")</f>
        <v>0</v>
      </c>
      <c r="AO30" s="50">
        <f ca="1">+GETPIVOTDATA("XLL4",'langlon (2016)'!$A$3,"MA_HT","DTL","MA_QH","DDL")</f>
        <v>0</v>
      </c>
      <c r="AP30" s="50">
        <f ca="1">+GETPIVOTDATA("XLL4",'langlon (2016)'!$A$3,"MA_HT","DTL","MA_QH","DRA")</f>
        <v>0</v>
      </c>
      <c r="AQ30" s="50">
        <f ca="1">+GETPIVOTDATA("XLL4",'langlon (2016)'!$A$3,"MA_HT","DTL","MA_QH","ONT")</f>
        <v>0</v>
      </c>
      <c r="AR30" s="50">
        <f ca="1">+GETPIVOTDATA("XLL4",'langlon (2016)'!$A$3,"MA_HT","DTL","MA_QH","ODT")</f>
        <v>0</v>
      </c>
      <c r="AS30" s="50">
        <f ca="1">+GETPIVOTDATA("XLL4",'langlon (2016)'!$A$3,"MA_HT","DTL","MA_QH","TSC")</f>
        <v>0</v>
      </c>
      <c r="AT30" s="50">
        <f ca="1">+GETPIVOTDATA("XLL4",'langlon (2016)'!$A$3,"MA_HT","DTL","MA_QH","DTS")</f>
        <v>0</v>
      </c>
      <c r="AU30" s="50">
        <f ca="1">+GETPIVOTDATA("XLL4",'langlon (2016)'!$A$3,"MA_HT","DTL","MA_QH","DNG")</f>
        <v>0</v>
      </c>
      <c r="AV30" s="50">
        <f ca="1">+GETPIVOTDATA("XLL4",'langlon (2016)'!$A$3,"MA_HT","DTL","MA_QH","TON")</f>
        <v>0</v>
      </c>
      <c r="AW30" s="50">
        <f ca="1">+GETPIVOTDATA("XLL4",'langlon (2016)'!$A$3,"MA_HT","DTL","MA_QH","NTD")</f>
        <v>0</v>
      </c>
      <c r="AX30" s="50">
        <f ca="1">+GETPIVOTDATA("XLL4",'langlon (2016)'!$A$3,"MA_HT","DTL","MA_QH","SKX")</f>
        <v>0</v>
      </c>
      <c r="AY30" s="50">
        <f ca="1">+GETPIVOTDATA("XLL4",'langlon (2016)'!$A$3,"MA_HT","DTL","MA_QH","DSH")</f>
        <v>0</v>
      </c>
      <c r="AZ30" s="50">
        <f ca="1">+GETPIVOTDATA("XLL4",'langlon (2016)'!$A$3,"MA_HT","DTL","MA_QH","DKV")</f>
        <v>0</v>
      </c>
      <c r="BA30" s="88">
        <f ca="1">+GETPIVOTDATA("XLL4",'langlon (2016)'!$A$3,"MA_HT","DTL","MA_QH","TIN")</f>
        <v>0</v>
      </c>
      <c r="BB30" s="50">
        <f ca="1">+GETPIVOTDATA("XLL4",'langlon (2016)'!$A$3,"MA_HT","DTL","MA_QH","SON")</f>
        <v>0</v>
      </c>
      <c r="BC30" s="50">
        <f ca="1">+GETPIVOTDATA("XLL4",'langlon (2016)'!$A$3,"MA_HT","DTL","MA_QH","MNC")</f>
        <v>0</v>
      </c>
      <c r="BD30" s="50">
        <f ca="1">+GETPIVOTDATA("XLL4",'langlon (2016)'!$A$3,"MA_HT","DTL","MA_QH","PNK")</f>
        <v>0</v>
      </c>
      <c r="BE30" s="80">
        <f ca="1">+GETPIVOTDATA("XLL4",'langlon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+GETPIVOTDATA("XLL4",'langlon (2016)'!$A$3,"MA_HT","DNL","MA_QH","LUC")</f>
        <v>0</v>
      </c>
      <c r="H31" s="50">
        <f ca="1">+GETPIVOTDATA("XLL4",'langlon (2016)'!$A$3,"MA_HT","DNL","MA_QH","LUK")</f>
        <v>0</v>
      </c>
      <c r="I31" s="50">
        <f ca="1">+GETPIVOTDATA("XLL4",'langlon (2016)'!$A$3,"MA_HT","DNL","MA_QH","LUN")</f>
        <v>0</v>
      </c>
      <c r="J31" s="50">
        <f ca="1">+GETPIVOTDATA("XLL4",'langlon (2016)'!$A$3,"MA_HT","DNL","MA_QH","HNK")</f>
        <v>0</v>
      </c>
      <c r="K31" s="50">
        <f ca="1">+GETPIVOTDATA("XLL4",'langlon (2016)'!$A$3,"MA_HT","DNL","MA_QH","CLN")</f>
        <v>0</v>
      </c>
      <c r="L31" s="50">
        <f ca="1">+GETPIVOTDATA("XLL4",'langlon (2016)'!$A$3,"MA_HT","DNL","MA_QH","RSX")</f>
        <v>0</v>
      </c>
      <c r="M31" s="50">
        <f ca="1">+GETPIVOTDATA("XLL4",'langlon (2016)'!$A$3,"MA_HT","DNL","MA_QH","RPH")</f>
        <v>0</v>
      </c>
      <c r="N31" s="50">
        <f ca="1">+GETPIVOTDATA("XLL4",'langlon (2016)'!$A$3,"MA_HT","DNL","MA_QH","RDD")</f>
        <v>0</v>
      </c>
      <c r="O31" s="50">
        <f ca="1">+GETPIVOTDATA("XLL4",'langlon (2016)'!$A$3,"MA_HT","DNL","MA_QH","NTS")</f>
        <v>0</v>
      </c>
      <c r="P31" s="50">
        <f ca="1">+GETPIVOTDATA("XLL4",'langlon (2016)'!$A$3,"MA_HT","DNL","MA_QH","LMU")</f>
        <v>0</v>
      </c>
      <c r="Q31" s="50">
        <f ca="1">+GETPIVOTDATA("XLL4",'langlon (2016)'!$A$3,"MA_HT","DNL","MA_QH","NKH")</f>
        <v>0</v>
      </c>
      <c r="R31" s="48">
        <f ca="1" t="shared" si="20"/>
        <v>0</v>
      </c>
      <c r="S31" s="50">
        <f ca="1">+GETPIVOTDATA("XLL4",'langlon (2016)'!$A$3,"MA_HT","DNL","MA_QH","CQP")</f>
        <v>0</v>
      </c>
      <c r="T31" s="50">
        <f ca="1">+GETPIVOTDATA("XLL4",'langlon (2016)'!$A$3,"MA_HT","DNL","MA_QH","CAN")</f>
        <v>0</v>
      </c>
      <c r="U31" s="50">
        <f ca="1">+GETPIVOTDATA("XLL4",'langlon (2016)'!$A$3,"MA_HT","DNL","MA_QH","SKK")</f>
        <v>0</v>
      </c>
      <c r="V31" s="50">
        <f ca="1">+GETPIVOTDATA("XLL4",'langlon (2016)'!$A$3,"MA_HT","DNL","MA_QH","SKT")</f>
        <v>0</v>
      </c>
      <c r="W31" s="50">
        <f ca="1">+GETPIVOTDATA("XLL4",'langlon (2016)'!$A$3,"MA_HT","DNL","MA_QH","SKN")</f>
        <v>0</v>
      </c>
      <c r="X31" s="50">
        <f ca="1">+GETPIVOTDATA("XLL4",'langlon (2016)'!$A$3,"MA_HT","DNL","MA_QH","TMD")</f>
        <v>0</v>
      </c>
      <c r="Y31" s="50">
        <f ca="1">+GETPIVOTDATA("XLL4",'langlon (2016)'!$A$3,"MA_HT","DNL","MA_QH","SKC")</f>
        <v>0</v>
      </c>
      <c r="Z31" s="50">
        <f ca="1">+GETPIVOTDATA("XLL4",'langlon (2016)'!$A$3,"MA_HT","DNL","MA_QH","SKS")</f>
        <v>0</v>
      </c>
      <c r="AA31" s="52">
        <f ca="1">+SUM(AB31:AC31,AE31:AM31)</f>
        <v>0</v>
      </c>
      <c r="AB31" s="50">
        <f ca="1">+GETPIVOTDATA("XLL4",'langlon (2016)'!$A$3,"MA_HT","DNL","MA_QH","DGT")</f>
        <v>0</v>
      </c>
      <c r="AC31" s="50">
        <f ca="1">+GETPIVOTDATA("XLL4",'langlon (2016)'!$A$3,"MA_HT","DNL","MA_QH","DTL")</f>
        <v>0</v>
      </c>
      <c r="AD31" s="49" t="e">
        <f ca="1">$D31-$BF31</f>
        <v>#REF!</v>
      </c>
      <c r="AE31" s="50">
        <f ca="1">+GETPIVOTDATA("XLL4",'langlon (2016)'!$A$3,"MA_HT","DNL","MA_QH","DBV")</f>
        <v>0</v>
      </c>
      <c r="AF31" s="50">
        <f ca="1">+GETPIVOTDATA("XLL4",'langlon (2016)'!$A$3,"MA_HT","DNL","MA_QH","DVH")</f>
        <v>0</v>
      </c>
      <c r="AG31" s="50">
        <f ca="1">+GETPIVOTDATA("XLL4",'langlon (2016)'!$A$3,"MA_HT","DNL","MA_QH","DYT")</f>
        <v>0</v>
      </c>
      <c r="AH31" s="50">
        <f ca="1">+GETPIVOTDATA("XLL4",'langlon (2016)'!$A$3,"MA_HT","DNL","MA_QH","DGD")</f>
        <v>0</v>
      </c>
      <c r="AI31" s="50">
        <f ca="1">+GETPIVOTDATA("XLL4",'langlon (2016)'!$A$3,"MA_HT","DNL","MA_QH","DTT")</f>
        <v>0</v>
      </c>
      <c r="AJ31" s="50">
        <f ca="1">+GETPIVOTDATA("XLL4",'langlon (2016)'!$A$3,"MA_HT","DNL","MA_QH","NCK")</f>
        <v>0</v>
      </c>
      <c r="AK31" s="50">
        <f ca="1">+GETPIVOTDATA("XLL4",'langlon (2016)'!$A$3,"MA_HT","DNL","MA_QH","DXH")</f>
        <v>0</v>
      </c>
      <c r="AL31" s="50">
        <f ca="1">+GETPIVOTDATA("XLL4",'langlon (2016)'!$A$3,"MA_HT","DNL","MA_QH","DCH")</f>
        <v>0</v>
      </c>
      <c r="AM31" s="50">
        <f ca="1">+GETPIVOTDATA("XLL4",'langlon (2016)'!$A$3,"MA_HT","DNL","MA_QH","DKG")</f>
        <v>0</v>
      </c>
      <c r="AN31" s="50">
        <f ca="1">+GETPIVOTDATA("XLL4",'langlon (2016)'!$A$3,"MA_HT","DNL","MA_QH","DDT")</f>
        <v>0</v>
      </c>
      <c r="AO31" s="50">
        <f ca="1">+GETPIVOTDATA("XLL4",'langlon (2016)'!$A$3,"MA_HT","DNL","MA_QH","DDL")</f>
        <v>0</v>
      </c>
      <c r="AP31" s="50">
        <f ca="1">+GETPIVOTDATA("XLL4",'langlon (2016)'!$A$3,"MA_HT","DNL","MA_QH","DRA")</f>
        <v>0</v>
      </c>
      <c r="AQ31" s="50">
        <f ca="1">+GETPIVOTDATA("XLL4",'langlon (2016)'!$A$3,"MA_HT","DNL","MA_QH","ONT")</f>
        <v>0</v>
      </c>
      <c r="AR31" s="50">
        <f ca="1">+GETPIVOTDATA("XLL4",'langlon (2016)'!$A$3,"MA_HT","DNL","MA_QH","ODT")</f>
        <v>0</v>
      </c>
      <c r="AS31" s="50">
        <f ca="1">+GETPIVOTDATA("XLL4",'langlon (2016)'!$A$3,"MA_HT","DNL","MA_QH","TSC")</f>
        <v>0</v>
      </c>
      <c r="AT31" s="50">
        <f ca="1">+GETPIVOTDATA("XLL4",'langlon (2016)'!$A$3,"MA_HT","DNL","MA_QH","DTS")</f>
        <v>0</v>
      </c>
      <c r="AU31" s="50">
        <f ca="1">+GETPIVOTDATA("XLL4",'langlon (2016)'!$A$3,"MA_HT","DNL","MA_QH","DNG")</f>
        <v>0</v>
      </c>
      <c r="AV31" s="50">
        <f ca="1">+GETPIVOTDATA("XLL4",'langlon (2016)'!$A$3,"MA_HT","DNL","MA_QH","TON")</f>
        <v>0</v>
      </c>
      <c r="AW31" s="50">
        <f ca="1">+GETPIVOTDATA("XLL4",'langlon (2016)'!$A$3,"MA_HT","DNL","MA_QH","NTD")</f>
        <v>0</v>
      </c>
      <c r="AX31" s="50">
        <f ca="1">+GETPIVOTDATA("XLL4",'langlon (2016)'!$A$3,"MA_HT","DNL","MA_QH","SKX")</f>
        <v>0</v>
      </c>
      <c r="AY31" s="50">
        <f ca="1">+GETPIVOTDATA("XLL4",'langlon (2016)'!$A$3,"MA_HT","DNL","MA_QH","DSH")</f>
        <v>0</v>
      </c>
      <c r="AZ31" s="50">
        <f ca="1">+GETPIVOTDATA("XLL4",'langlon (2016)'!$A$3,"MA_HT","DNL","MA_QH","DKV")</f>
        <v>0</v>
      </c>
      <c r="BA31" s="88">
        <f ca="1">+GETPIVOTDATA("XLL4",'langlon (2016)'!$A$3,"MA_HT","DNL","MA_QH","TIN")</f>
        <v>0</v>
      </c>
      <c r="BB31" s="50">
        <f ca="1">+GETPIVOTDATA("XLL4",'langlon (2016)'!$A$3,"MA_HT","DNL","MA_QH","SON")</f>
        <v>0</v>
      </c>
      <c r="BC31" s="50">
        <f ca="1">+GETPIVOTDATA("XLL4",'langlon (2016)'!$A$3,"MA_HT","DNL","MA_QH","MNC")</f>
        <v>0</v>
      </c>
      <c r="BD31" s="50">
        <f ca="1">+GETPIVOTDATA("XLL4",'langlon (2016)'!$A$3,"MA_HT","DNL","MA_QH","PNK")</f>
        <v>0</v>
      </c>
      <c r="BE31" s="80">
        <f ca="1">+GETPIVOTDATA("XLL4",'langlon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+GETPIVOTDATA("XLL4",'langlon (2016)'!$A$3,"MA_HT","DBV","MA_QH","LUC")</f>
        <v>0</v>
      </c>
      <c r="H32" s="50">
        <f ca="1">+GETPIVOTDATA("XLL4",'langlon (2016)'!$A$3,"MA_HT","DBV","MA_QH","LUK")</f>
        <v>0</v>
      </c>
      <c r="I32" s="50">
        <f ca="1">+GETPIVOTDATA("XLL4",'langlon (2016)'!$A$3,"MA_HT","DBV","MA_QH","LUN")</f>
        <v>0</v>
      </c>
      <c r="J32" s="50">
        <f ca="1">+GETPIVOTDATA("XLL4",'langlon (2016)'!$A$3,"MA_HT","DBV","MA_QH","HNK")</f>
        <v>0</v>
      </c>
      <c r="K32" s="50">
        <f ca="1">+GETPIVOTDATA("XLL4",'langlon (2016)'!$A$3,"MA_HT","DBV","MA_QH","CLN")</f>
        <v>0</v>
      </c>
      <c r="L32" s="50">
        <f ca="1">+GETPIVOTDATA("XLL4",'langlon (2016)'!$A$3,"MA_HT","DBV","MA_QH","RSX")</f>
        <v>0</v>
      </c>
      <c r="M32" s="50">
        <f ca="1">+GETPIVOTDATA("XLL4",'langlon (2016)'!$A$3,"MA_HT","DBV","MA_QH","RPH")</f>
        <v>0</v>
      </c>
      <c r="N32" s="50">
        <f ca="1">+GETPIVOTDATA("XLL4",'langlon (2016)'!$A$3,"MA_HT","DBV","MA_QH","RDD")</f>
        <v>0</v>
      </c>
      <c r="O32" s="50">
        <f ca="1">+GETPIVOTDATA("XLL4",'langlon (2016)'!$A$3,"MA_HT","DBV","MA_QH","NTS")</f>
        <v>0</v>
      </c>
      <c r="P32" s="50">
        <f ca="1">+GETPIVOTDATA("XLL4",'langlon (2016)'!$A$3,"MA_HT","DBV","MA_QH","LMU")</f>
        <v>0</v>
      </c>
      <c r="Q32" s="50">
        <f ca="1">+GETPIVOTDATA("XLL4",'langlon (2016)'!$A$3,"MA_HT","DBV","MA_QH","NKH")</f>
        <v>0</v>
      </c>
      <c r="R32" s="48">
        <f ca="1" t="shared" si="20"/>
        <v>0</v>
      </c>
      <c r="S32" s="50">
        <f ca="1">+GETPIVOTDATA("XLL4",'langlon (2016)'!$A$3,"MA_HT","DBV","MA_QH","CQP")</f>
        <v>0</v>
      </c>
      <c r="T32" s="50">
        <f ca="1">+GETPIVOTDATA("XLL4",'langlon (2016)'!$A$3,"MA_HT","DBV","MA_QH","CAN")</f>
        <v>0</v>
      </c>
      <c r="U32" s="50">
        <f ca="1">+GETPIVOTDATA("XLL4",'langlon (2016)'!$A$3,"MA_HT","DBV","MA_QH","SKK")</f>
        <v>0</v>
      </c>
      <c r="V32" s="50">
        <f ca="1">+GETPIVOTDATA("XLL4",'langlon (2016)'!$A$3,"MA_HT","DBV","MA_QH","SKT")</f>
        <v>0</v>
      </c>
      <c r="W32" s="50">
        <f ca="1">+GETPIVOTDATA("XLL4",'langlon (2016)'!$A$3,"MA_HT","DBV","MA_QH","SKN")</f>
        <v>0</v>
      </c>
      <c r="X32" s="50">
        <f ca="1">+GETPIVOTDATA("XLL4",'langlon (2016)'!$A$3,"MA_HT","DBV","MA_QH","TMD")</f>
        <v>0</v>
      </c>
      <c r="Y32" s="50">
        <f ca="1">+GETPIVOTDATA("XLL4",'langlon (2016)'!$A$3,"MA_HT","DBV","MA_QH","SKC")</f>
        <v>0</v>
      </c>
      <c r="Z32" s="50">
        <f ca="1">+GETPIVOTDATA("XLL4",'langlon (2016)'!$A$3,"MA_HT","DBV","MA_QH","SKS")</f>
        <v>0</v>
      </c>
      <c r="AA32" s="52">
        <f ca="1">+SUM(AB32:AD32,AF32:AM32)</f>
        <v>0</v>
      </c>
      <c r="AB32" s="50">
        <f ca="1">+GETPIVOTDATA("XLL4",'langlon (2016)'!$A$3,"MA_HT","DBV","MA_QH","DGT")</f>
        <v>0</v>
      </c>
      <c r="AC32" s="50">
        <f ca="1">+GETPIVOTDATA("XLL4",'langlon (2016)'!$A$3,"MA_HT","DBV","MA_QH","DTL")</f>
        <v>0</v>
      </c>
      <c r="AD32" s="50">
        <f ca="1">+GETPIVOTDATA("XLL4",'langlon (2016)'!$A$3,"MA_HT","DBV","MA_QH","DNL")</f>
        <v>0</v>
      </c>
      <c r="AE32" s="49" t="e">
        <f ca="1">$D32-$BF32</f>
        <v>#REF!</v>
      </c>
      <c r="AF32" s="50">
        <f ca="1">+GETPIVOTDATA("XLL4",'langlon (2016)'!$A$3,"MA_HT","DBV","MA_QH","DVH")</f>
        <v>0</v>
      </c>
      <c r="AG32" s="50">
        <f ca="1">+GETPIVOTDATA("XLL4",'langlon (2016)'!$A$3,"MA_HT","DBV","MA_QH","DYT")</f>
        <v>0</v>
      </c>
      <c r="AH32" s="50">
        <f ca="1">+GETPIVOTDATA("XLL4",'langlon (2016)'!$A$3,"MA_HT","DBV","MA_QH","DGD")</f>
        <v>0</v>
      </c>
      <c r="AI32" s="50">
        <f ca="1">+GETPIVOTDATA("XLL4",'langlon (2016)'!$A$3,"MA_HT","DBV","MA_QH","DTT")</f>
        <v>0</v>
      </c>
      <c r="AJ32" s="50">
        <f ca="1">+GETPIVOTDATA("XLL4",'langlon (2016)'!$A$3,"MA_HT","DBV","MA_QH","NCK")</f>
        <v>0</v>
      </c>
      <c r="AK32" s="50">
        <f ca="1">+GETPIVOTDATA("XLL4",'langlon (2016)'!$A$3,"MA_HT","DBV","MA_QH","DXH")</f>
        <v>0</v>
      </c>
      <c r="AL32" s="50">
        <f ca="1">+GETPIVOTDATA("XLL4",'langlon (2016)'!$A$3,"MA_HT","DBV","MA_QH","DCH")</f>
        <v>0</v>
      </c>
      <c r="AM32" s="50">
        <f ca="1">+GETPIVOTDATA("XLL4",'langlon (2016)'!$A$3,"MA_HT","DBV","MA_QH","DKG")</f>
        <v>0</v>
      </c>
      <c r="AN32" s="50">
        <f ca="1">+GETPIVOTDATA("XLL4",'langlon (2016)'!$A$3,"MA_HT","DBV","MA_QH","DDT")</f>
        <v>0</v>
      </c>
      <c r="AO32" s="50">
        <f ca="1">+GETPIVOTDATA("XLL4",'langlon (2016)'!$A$3,"MA_HT","DBV","MA_QH","DDL")</f>
        <v>0</v>
      </c>
      <c r="AP32" s="50">
        <f ca="1">+GETPIVOTDATA("XLL4",'langlon (2016)'!$A$3,"MA_HT","DBV","MA_QH","DRA")</f>
        <v>0</v>
      </c>
      <c r="AQ32" s="50">
        <f ca="1">+GETPIVOTDATA("XLL4",'langlon (2016)'!$A$3,"MA_HT","DBV","MA_QH","ONT")</f>
        <v>0</v>
      </c>
      <c r="AR32" s="50">
        <f ca="1">+GETPIVOTDATA("XLL4",'langlon (2016)'!$A$3,"MA_HT","DBV","MA_QH","ODT")</f>
        <v>0</v>
      </c>
      <c r="AS32" s="50">
        <f ca="1">+GETPIVOTDATA("XLL4",'langlon (2016)'!$A$3,"MA_HT","DBV","MA_QH","TSC")</f>
        <v>0</v>
      </c>
      <c r="AT32" s="50">
        <f ca="1">+GETPIVOTDATA("XLL4",'langlon (2016)'!$A$3,"MA_HT","DBV","MA_QH","DTS")</f>
        <v>0</v>
      </c>
      <c r="AU32" s="50">
        <f ca="1">+GETPIVOTDATA("XLL4",'langlon (2016)'!$A$3,"MA_HT","DBV","MA_QH","DNG")</f>
        <v>0</v>
      </c>
      <c r="AV32" s="50">
        <f ca="1">+GETPIVOTDATA("XLL4",'langlon (2016)'!$A$3,"MA_HT","DBV","MA_QH","TON")</f>
        <v>0</v>
      </c>
      <c r="AW32" s="50">
        <f ca="1">+GETPIVOTDATA("XLL4",'langlon (2016)'!$A$3,"MA_HT","DBV","MA_QH","NTD")</f>
        <v>0</v>
      </c>
      <c r="AX32" s="50">
        <f ca="1">+GETPIVOTDATA("XLL4",'langlon (2016)'!$A$3,"MA_HT","DBV","MA_QH","SKX")</f>
        <v>0</v>
      </c>
      <c r="AY32" s="50">
        <f ca="1">+GETPIVOTDATA("XLL4",'langlon (2016)'!$A$3,"MA_HT","DBV","MA_QH","DSH")</f>
        <v>0</v>
      </c>
      <c r="AZ32" s="50">
        <f ca="1">+GETPIVOTDATA("XLL4",'langlon (2016)'!$A$3,"MA_HT","DBV","MA_QH","DKV")</f>
        <v>0</v>
      </c>
      <c r="BA32" s="88">
        <f ca="1">+GETPIVOTDATA("XLL4",'langlon (2016)'!$A$3,"MA_HT","DBV","MA_QH","TIN")</f>
        <v>0</v>
      </c>
      <c r="BB32" s="50">
        <f ca="1">+GETPIVOTDATA("XLL4",'langlon (2016)'!$A$3,"MA_HT","DBV","MA_QH","SON")</f>
        <v>0</v>
      </c>
      <c r="BC32" s="50">
        <f ca="1">+GETPIVOTDATA("XLL4",'langlon (2016)'!$A$3,"MA_HT","DBV","MA_QH","MNC")</f>
        <v>0</v>
      </c>
      <c r="BD32" s="50">
        <f ca="1">+GETPIVOTDATA("XLL4",'langlon (2016)'!$A$3,"MA_HT","DBV","MA_QH","PNK")</f>
        <v>0</v>
      </c>
      <c r="BE32" s="80">
        <f ca="1">+GETPIVOTDATA("XLL4",'langlon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+GETPIVOTDATA("XLL4",'langlon (2016)'!$A$3,"MA_HT","DVH","MA_QH","LUC")</f>
        <v>0</v>
      </c>
      <c r="H33" s="50">
        <f ca="1">+GETPIVOTDATA("XLL4",'langlon (2016)'!$A$3,"MA_HT","DVH","MA_QH","LUK")</f>
        <v>0</v>
      </c>
      <c r="I33" s="50">
        <f ca="1">+GETPIVOTDATA("XLL4",'langlon (2016)'!$A$3,"MA_HT","DVH","MA_QH","LUN")</f>
        <v>0</v>
      </c>
      <c r="J33" s="50">
        <f ca="1">+GETPIVOTDATA("XLL4",'langlon (2016)'!$A$3,"MA_HT","DVH","MA_QH","HNK")</f>
        <v>0</v>
      </c>
      <c r="K33" s="50">
        <f ca="1">+GETPIVOTDATA("XLL4",'langlon (2016)'!$A$3,"MA_HT","DVH","MA_QH","CLN")</f>
        <v>0</v>
      </c>
      <c r="L33" s="50">
        <f ca="1">+GETPIVOTDATA("XLL4",'langlon (2016)'!$A$3,"MA_HT","DVH","MA_QH","RSX")</f>
        <v>0</v>
      </c>
      <c r="M33" s="50">
        <f ca="1">+GETPIVOTDATA("XLL4",'langlon (2016)'!$A$3,"MA_HT","DVH","MA_QH","RPH")</f>
        <v>0</v>
      </c>
      <c r="N33" s="50">
        <f ca="1">+GETPIVOTDATA("XLL4",'langlon (2016)'!$A$3,"MA_HT","DVH","MA_QH","RDD")</f>
        <v>0</v>
      </c>
      <c r="O33" s="50">
        <f ca="1">+GETPIVOTDATA("XLL4",'langlon (2016)'!$A$3,"MA_HT","DVH","MA_QH","NTS")</f>
        <v>0</v>
      </c>
      <c r="P33" s="50">
        <f ca="1">+GETPIVOTDATA("XLL4",'langlon (2016)'!$A$3,"MA_HT","DVH","MA_QH","LMU")</f>
        <v>0</v>
      </c>
      <c r="Q33" s="50">
        <f ca="1">+GETPIVOTDATA("XLL4",'langlon (2016)'!$A$3,"MA_HT","DVH","MA_QH","NKH")</f>
        <v>0</v>
      </c>
      <c r="R33" s="48">
        <f ca="1" t="shared" si="20"/>
        <v>0</v>
      </c>
      <c r="S33" s="50">
        <f ca="1">+GETPIVOTDATA("XLL4",'langlon (2016)'!$A$3,"MA_HT","DVH","MA_QH","CQP")</f>
        <v>0</v>
      </c>
      <c r="T33" s="50">
        <f ca="1">+GETPIVOTDATA("XLL4",'langlon (2016)'!$A$3,"MA_HT","DVH","MA_QH","CAN")</f>
        <v>0</v>
      </c>
      <c r="U33" s="50">
        <f ca="1">+GETPIVOTDATA("XLL4",'langlon (2016)'!$A$3,"MA_HT","DVH","MA_QH","SKK")</f>
        <v>0</v>
      </c>
      <c r="V33" s="50">
        <f ca="1">+GETPIVOTDATA("XLL4",'langlon (2016)'!$A$3,"MA_HT","DVH","MA_QH","SKT")</f>
        <v>0</v>
      </c>
      <c r="W33" s="50">
        <f ca="1">+GETPIVOTDATA("XLL4",'langlon (2016)'!$A$3,"MA_HT","DVH","MA_QH","SKN")</f>
        <v>0</v>
      </c>
      <c r="X33" s="50">
        <f ca="1">+GETPIVOTDATA("XLL4",'langlon (2016)'!$A$3,"MA_HT","DVH","MA_QH","TMD")</f>
        <v>0</v>
      </c>
      <c r="Y33" s="50">
        <f ca="1">+GETPIVOTDATA("XLL4",'langlon (2016)'!$A$3,"MA_HT","DVH","MA_QH","SKC")</f>
        <v>0</v>
      </c>
      <c r="Z33" s="50">
        <f ca="1">+GETPIVOTDATA("XLL4",'langlon (2016)'!$A$3,"MA_HT","DVH","MA_QH","SKS")</f>
        <v>0</v>
      </c>
      <c r="AA33" s="52">
        <f ca="1">+SUM(AB33:AE33,AG33:AM33)</f>
        <v>0</v>
      </c>
      <c r="AB33" s="50">
        <f ca="1">+GETPIVOTDATA("XLL4",'langlon (2016)'!$A$3,"MA_HT","DVH","MA_QH","DGT")</f>
        <v>0</v>
      </c>
      <c r="AC33" s="50">
        <f ca="1">+GETPIVOTDATA("XLL4",'langlon (2016)'!$A$3,"MA_HT","DVH","MA_QH","DTL")</f>
        <v>0</v>
      </c>
      <c r="AD33" s="50">
        <f ca="1">+GETPIVOTDATA("XLL4",'langlon (2016)'!$A$3,"MA_HT","DVH","MA_QH","DNL")</f>
        <v>0</v>
      </c>
      <c r="AE33" s="50">
        <f ca="1">+GETPIVOTDATA("XLL4",'langlon (2016)'!$A$3,"MA_HT","DVH","MA_QH","DBV")</f>
        <v>0</v>
      </c>
      <c r="AF33" s="49" t="e">
        <f ca="1">$D33-$BF33</f>
        <v>#REF!</v>
      </c>
      <c r="AG33" s="50">
        <f ca="1">+GETPIVOTDATA("XLL4",'langlon (2016)'!$A$3,"MA_HT","DVH","MA_QH","DYT")</f>
        <v>0</v>
      </c>
      <c r="AH33" s="50">
        <f ca="1">+GETPIVOTDATA("XLL4",'langlon (2016)'!$A$3,"MA_HT","DVH","MA_QH","DGD")</f>
        <v>0</v>
      </c>
      <c r="AI33" s="50">
        <f ca="1">+GETPIVOTDATA("XLL4",'langlon (2016)'!$A$3,"MA_HT","DVH","MA_QH","DTT")</f>
        <v>0</v>
      </c>
      <c r="AJ33" s="50">
        <f ca="1">+GETPIVOTDATA("XLL4",'langlon (2016)'!$A$3,"MA_HT","DVH","MA_QH","NCK")</f>
        <v>0</v>
      </c>
      <c r="AK33" s="50">
        <f ca="1">+GETPIVOTDATA("XLL4",'langlon (2016)'!$A$3,"MA_HT","DVH","MA_QH","DXH")</f>
        <v>0</v>
      </c>
      <c r="AL33" s="50">
        <f ca="1">+GETPIVOTDATA("XLL4",'langlon (2016)'!$A$3,"MA_HT","DVH","MA_QH","DCH")</f>
        <v>0</v>
      </c>
      <c r="AM33" s="50">
        <f ca="1">+GETPIVOTDATA("XLL4",'langlon (2016)'!$A$3,"MA_HT","DVH","MA_QH","DKG")</f>
        <v>0</v>
      </c>
      <c r="AN33" s="50">
        <f ca="1">+GETPIVOTDATA("XLL4",'langlon (2016)'!$A$3,"MA_HT","DVH","MA_QH","DDT")</f>
        <v>0</v>
      </c>
      <c r="AO33" s="50">
        <f ca="1">+GETPIVOTDATA("XLL4",'langlon (2016)'!$A$3,"MA_HT","DVH","MA_QH","DDL")</f>
        <v>0</v>
      </c>
      <c r="AP33" s="50">
        <f ca="1">+GETPIVOTDATA("XLL4",'langlon (2016)'!$A$3,"MA_HT","DVH","MA_QH","DRA")</f>
        <v>0</v>
      </c>
      <c r="AQ33" s="50">
        <f ca="1">+GETPIVOTDATA("XLL4",'langlon (2016)'!$A$3,"MA_HT","DVH","MA_QH","ONT")</f>
        <v>0</v>
      </c>
      <c r="AR33" s="50">
        <f ca="1">+GETPIVOTDATA("XLL4",'langlon (2016)'!$A$3,"MA_HT","DVH","MA_QH","ODT")</f>
        <v>0</v>
      </c>
      <c r="AS33" s="50">
        <f ca="1">+GETPIVOTDATA("XLL4",'langlon (2016)'!$A$3,"MA_HT","DVH","MA_QH","TSC")</f>
        <v>0</v>
      </c>
      <c r="AT33" s="50">
        <f ca="1">+GETPIVOTDATA("XLL4",'langlon (2016)'!$A$3,"MA_HT","DVH","MA_QH","DTS")</f>
        <v>0</v>
      </c>
      <c r="AU33" s="50">
        <f ca="1">+GETPIVOTDATA("XLL4",'langlon (2016)'!$A$3,"MA_HT","DVH","MA_QH","DNG")</f>
        <v>0</v>
      </c>
      <c r="AV33" s="50">
        <f ca="1">+GETPIVOTDATA("XLL4",'langlon (2016)'!$A$3,"MA_HT","DVH","MA_QH","TON")</f>
        <v>0</v>
      </c>
      <c r="AW33" s="50">
        <f ca="1">+GETPIVOTDATA("XLL4",'langlon (2016)'!$A$3,"MA_HT","DVH","MA_QH","NTD")</f>
        <v>0</v>
      </c>
      <c r="AX33" s="50">
        <f ca="1">+GETPIVOTDATA("XLL4",'langlon (2016)'!$A$3,"MA_HT","DVH","MA_QH","SKX")</f>
        <v>0</v>
      </c>
      <c r="AY33" s="50">
        <f ca="1">+GETPIVOTDATA("XLL4",'langlon (2016)'!$A$3,"MA_HT","DVH","MA_QH","DSH")</f>
        <v>0</v>
      </c>
      <c r="AZ33" s="50">
        <f ca="1">+GETPIVOTDATA("XLL4",'langlon (2016)'!$A$3,"MA_HT","DVH","MA_QH","DKV")</f>
        <v>0</v>
      </c>
      <c r="BA33" s="88">
        <f ca="1">+GETPIVOTDATA("XLL4",'langlon (2016)'!$A$3,"MA_HT","DVH","MA_QH","TIN")</f>
        <v>0</v>
      </c>
      <c r="BB33" s="50">
        <f ca="1">+GETPIVOTDATA("XLL4",'langlon (2016)'!$A$3,"MA_HT","DVH","MA_QH","SON")</f>
        <v>0</v>
      </c>
      <c r="BC33" s="50">
        <f ca="1">+GETPIVOTDATA("XLL4",'langlon (2016)'!$A$3,"MA_HT","DVH","MA_QH","MNC")</f>
        <v>0</v>
      </c>
      <c r="BD33" s="50">
        <f ca="1">+GETPIVOTDATA("XLL4",'langlon (2016)'!$A$3,"MA_HT","DVH","MA_QH","PNK")</f>
        <v>0</v>
      </c>
      <c r="BE33" s="80">
        <f ca="1">+GETPIVOTDATA("XLL4",'langlon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+GETPIVOTDATA("XLL4",'langlon (2016)'!$A$3,"MA_HT","DYT","MA_QH","LUC")</f>
        <v>0</v>
      </c>
      <c r="H34" s="50">
        <f ca="1">+GETPIVOTDATA("XLL4",'langlon (2016)'!$A$3,"MA_HT","DYT","MA_QH","LUK")</f>
        <v>0</v>
      </c>
      <c r="I34" s="50">
        <f ca="1">+GETPIVOTDATA("XLL4",'langlon (2016)'!$A$3,"MA_HT","DYT","MA_QH","LUN")</f>
        <v>0</v>
      </c>
      <c r="J34" s="50">
        <f ca="1">+GETPIVOTDATA("XLL4",'langlon (2016)'!$A$3,"MA_HT","DYT","MA_QH","HNK")</f>
        <v>0</v>
      </c>
      <c r="K34" s="50">
        <f ca="1">+GETPIVOTDATA("XLL4",'langlon (2016)'!$A$3,"MA_HT","DYT","MA_QH","CLN")</f>
        <v>0</v>
      </c>
      <c r="L34" s="50">
        <f ca="1">+GETPIVOTDATA("XLL4",'langlon (2016)'!$A$3,"MA_HT","DYT","MA_QH","RSX")</f>
        <v>0</v>
      </c>
      <c r="M34" s="50">
        <f ca="1">+GETPIVOTDATA("XLL4",'langlon (2016)'!$A$3,"MA_HT","DYT","MA_QH","RPH")</f>
        <v>0</v>
      </c>
      <c r="N34" s="50">
        <f ca="1">+GETPIVOTDATA("XLL4",'langlon (2016)'!$A$3,"MA_HT","DYT","MA_QH","RDD")</f>
        <v>0</v>
      </c>
      <c r="O34" s="50">
        <f ca="1">+GETPIVOTDATA("XLL4",'langlon (2016)'!$A$3,"MA_HT","DYT","MA_QH","NTS")</f>
        <v>0</v>
      </c>
      <c r="P34" s="50">
        <f ca="1">+GETPIVOTDATA("XLL4",'langlon (2016)'!$A$3,"MA_HT","DYT","MA_QH","LMU")</f>
        <v>0</v>
      </c>
      <c r="Q34" s="50">
        <f ca="1">+GETPIVOTDATA("XLL4",'langlon (2016)'!$A$3,"MA_HT","DYT","MA_QH","NKH")</f>
        <v>0</v>
      </c>
      <c r="R34" s="48">
        <f ca="1" t="shared" si="20"/>
        <v>0</v>
      </c>
      <c r="S34" s="50">
        <f ca="1">+GETPIVOTDATA("XLL4",'langlon (2016)'!$A$3,"MA_HT","DYT","MA_QH","CQP")</f>
        <v>0</v>
      </c>
      <c r="T34" s="50">
        <f ca="1">+GETPIVOTDATA("XLL4",'langlon (2016)'!$A$3,"MA_HT","DYT","MA_QH","CAN")</f>
        <v>0</v>
      </c>
      <c r="U34" s="50">
        <f ca="1">+GETPIVOTDATA("XLL4",'langlon (2016)'!$A$3,"MA_HT","DYT","MA_QH","SKK")</f>
        <v>0</v>
      </c>
      <c r="V34" s="50">
        <f ca="1">+GETPIVOTDATA("XLL4",'langlon (2016)'!$A$3,"MA_HT","DYT","MA_QH","SKT")</f>
        <v>0</v>
      </c>
      <c r="W34" s="50">
        <f ca="1">+GETPIVOTDATA("XLL4",'langlon (2016)'!$A$3,"MA_HT","DYT","MA_QH","SKN")</f>
        <v>0</v>
      </c>
      <c r="X34" s="50">
        <f ca="1">+GETPIVOTDATA("XLL4",'langlon (2016)'!$A$3,"MA_HT","DYT","MA_QH","TMD")</f>
        <v>0</v>
      </c>
      <c r="Y34" s="50">
        <f ca="1">+GETPIVOTDATA("XLL4",'langlon (2016)'!$A$3,"MA_HT","DYT","MA_QH","SKC")</f>
        <v>0</v>
      </c>
      <c r="Z34" s="50">
        <f ca="1">+GETPIVOTDATA("XLL4",'langlon (2016)'!$A$3,"MA_HT","DYT","MA_QH","SKS")</f>
        <v>0</v>
      </c>
      <c r="AA34" s="52">
        <f ca="1">+SUM(AB34:AF34,AH34:AM34)</f>
        <v>0</v>
      </c>
      <c r="AB34" s="50">
        <f ca="1">+GETPIVOTDATA("XLL4",'langlon (2016)'!$A$3,"MA_HT","DYT","MA_QH","DGT")</f>
        <v>0</v>
      </c>
      <c r="AC34" s="50">
        <f ca="1">+GETPIVOTDATA("XLL4",'langlon (2016)'!$A$3,"MA_HT","DYT","MA_QH","DTL")</f>
        <v>0</v>
      </c>
      <c r="AD34" s="50">
        <f ca="1">+GETPIVOTDATA("XLL4",'langlon (2016)'!$A$3,"MA_HT","DYT","MA_QH","DNL")</f>
        <v>0</v>
      </c>
      <c r="AE34" s="50">
        <f ca="1">+GETPIVOTDATA("XLL4",'langlon (2016)'!$A$3,"MA_HT","DYT","MA_QH","DBV")</f>
        <v>0</v>
      </c>
      <c r="AF34" s="50">
        <f ca="1">+GETPIVOTDATA("XLL4",'langlon (2016)'!$A$3,"MA_HT","DYT","MA_QH","DVH")</f>
        <v>0</v>
      </c>
      <c r="AG34" s="49" t="e">
        <f ca="1">$D34-$BF34</f>
        <v>#REF!</v>
      </c>
      <c r="AH34" s="50">
        <f ca="1">+GETPIVOTDATA("XLL4",'langlon (2016)'!$A$3,"MA_HT","DYT","MA_QH","DGD")</f>
        <v>0</v>
      </c>
      <c r="AI34" s="50">
        <f ca="1">+GETPIVOTDATA("XLL4",'langlon (2016)'!$A$3,"MA_HT","DYT","MA_QH","DTT")</f>
        <v>0</v>
      </c>
      <c r="AJ34" s="50">
        <f ca="1">+GETPIVOTDATA("XLL4",'langlon (2016)'!$A$3,"MA_HT","DYT","MA_QH","NCK")</f>
        <v>0</v>
      </c>
      <c r="AK34" s="50">
        <f ca="1">+GETPIVOTDATA("XLL4",'langlon (2016)'!$A$3,"MA_HT","DYT","MA_QH","DXH")</f>
        <v>0</v>
      </c>
      <c r="AL34" s="50">
        <f ca="1">+GETPIVOTDATA("XLL4",'langlon (2016)'!$A$3,"MA_HT","DYT","MA_QH","DCH")</f>
        <v>0</v>
      </c>
      <c r="AM34" s="50">
        <f ca="1">+GETPIVOTDATA("XLL4",'langlon (2016)'!$A$3,"MA_HT","DYT","MA_QH","DKG")</f>
        <v>0</v>
      </c>
      <c r="AN34" s="50">
        <f ca="1">+GETPIVOTDATA("XLL4",'langlon (2016)'!$A$3,"MA_HT","DYT","MA_QH","DDT")</f>
        <v>0</v>
      </c>
      <c r="AO34" s="50">
        <f ca="1">+GETPIVOTDATA("XLL4",'langlon (2016)'!$A$3,"MA_HT","DYT","MA_QH","DDL")</f>
        <v>0</v>
      </c>
      <c r="AP34" s="50">
        <f ca="1">+GETPIVOTDATA("XLL4",'langlon (2016)'!$A$3,"MA_HT","DYT","MA_QH","DRA")</f>
        <v>0</v>
      </c>
      <c r="AQ34" s="50">
        <f ca="1">+GETPIVOTDATA("XLL4",'langlon (2016)'!$A$3,"MA_HT","DYT","MA_QH","ONT")</f>
        <v>0</v>
      </c>
      <c r="AR34" s="50">
        <f ca="1">+GETPIVOTDATA("XLL4",'langlon (2016)'!$A$3,"MA_HT","DYT","MA_QH","ODT")</f>
        <v>0</v>
      </c>
      <c r="AS34" s="50">
        <f ca="1">+GETPIVOTDATA("XLL4",'langlon (2016)'!$A$3,"MA_HT","DYT","MA_QH","TSC")</f>
        <v>0</v>
      </c>
      <c r="AT34" s="50">
        <f ca="1">+GETPIVOTDATA("XLL4",'langlon (2016)'!$A$3,"MA_HT","DYT","MA_QH","DTS")</f>
        <v>0</v>
      </c>
      <c r="AU34" s="50">
        <f ca="1">+GETPIVOTDATA("XLL4",'langlon (2016)'!$A$3,"MA_HT","DYT","MA_QH","DNG")</f>
        <v>0</v>
      </c>
      <c r="AV34" s="50">
        <f ca="1">+GETPIVOTDATA("XLL4",'langlon (2016)'!$A$3,"MA_HT","DYT","MA_QH","TON")</f>
        <v>0</v>
      </c>
      <c r="AW34" s="50">
        <f ca="1">+GETPIVOTDATA("XLL4",'langlon (2016)'!$A$3,"MA_HT","DYT","MA_QH","NTD")</f>
        <v>0</v>
      </c>
      <c r="AX34" s="50">
        <f ca="1">+GETPIVOTDATA("XLL4",'langlon (2016)'!$A$3,"MA_HT","DYT","MA_QH","SKX")</f>
        <v>0</v>
      </c>
      <c r="AY34" s="50">
        <f ca="1">+GETPIVOTDATA("XLL4",'langlon (2016)'!$A$3,"MA_HT","DYT","MA_QH","DSH")</f>
        <v>0</v>
      </c>
      <c r="AZ34" s="50">
        <f ca="1">+GETPIVOTDATA("XLL4",'langlon (2016)'!$A$3,"MA_HT","DYT","MA_QH","DKV")</f>
        <v>0</v>
      </c>
      <c r="BA34" s="88">
        <f ca="1">+GETPIVOTDATA("XLL4",'langlon (2016)'!$A$3,"MA_HT","DYT","MA_QH","TIN")</f>
        <v>0</v>
      </c>
      <c r="BB34" s="50">
        <f ca="1">+GETPIVOTDATA("XLL4",'langlon (2016)'!$A$3,"MA_HT","DYT","MA_QH","SON")</f>
        <v>0</v>
      </c>
      <c r="BC34" s="50">
        <f ca="1">+GETPIVOTDATA("XLL4",'langlon (2016)'!$A$3,"MA_HT","DYT","MA_QH","MNC")</f>
        <v>0</v>
      </c>
      <c r="BD34" s="50">
        <f ca="1">+GETPIVOTDATA("XLL4",'langlon (2016)'!$A$3,"MA_HT","DYT","MA_QH","PNK")</f>
        <v>0</v>
      </c>
      <c r="BE34" s="80">
        <f ca="1">+GETPIVOTDATA("XLL4",'langlon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+GETPIVOTDATA("XLL4",'langlon (2016)'!$A$3,"MA_HT","DGD","MA_QH","LUC")</f>
        <v>0</v>
      </c>
      <c r="H35" s="50">
        <f ca="1">+GETPIVOTDATA("XLL4",'langlon (2016)'!$A$3,"MA_HT","DGD","MA_QH","LUK")</f>
        <v>0</v>
      </c>
      <c r="I35" s="50">
        <f ca="1">+GETPIVOTDATA("XLL4",'langlon (2016)'!$A$3,"MA_HT","DGD","MA_QH","LUN")</f>
        <v>0</v>
      </c>
      <c r="J35" s="50">
        <f ca="1">+GETPIVOTDATA("XLL4",'langlon (2016)'!$A$3,"MA_HT","DGD","MA_QH","HNK")</f>
        <v>0</v>
      </c>
      <c r="K35" s="50">
        <f ca="1">+GETPIVOTDATA("XLL4",'langlon (2016)'!$A$3,"MA_HT","DGD","MA_QH","CLN")</f>
        <v>0</v>
      </c>
      <c r="L35" s="50">
        <f ca="1">+GETPIVOTDATA("XLL4",'langlon (2016)'!$A$3,"MA_HT","DGD","MA_QH","RSX")</f>
        <v>0</v>
      </c>
      <c r="M35" s="50">
        <f ca="1">+GETPIVOTDATA("XLL4",'langlon (2016)'!$A$3,"MA_HT","DGD","MA_QH","RPH")</f>
        <v>0</v>
      </c>
      <c r="N35" s="50">
        <f ca="1">+GETPIVOTDATA("XLL4",'langlon (2016)'!$A$3,"MA_HT","DGD","MA_QH","RDD")</f>
        <v>0</v>
      </c>
      <c r="O35" s="50">
        <f ca="1">+GETPIVOTDATA("XLL4",'langlon (2016)'!$A$3,"MA_HT","DGD","MA_QH","NTS")</f>
        <v>0</v>
      </c>
      <c r="P35" s="50">
        <f ca="1">+GETPIVOTDATA("XLL4",'langlon (2016)'!$A$3,"MA_HT","DGD","MA_QH","LMU")</f>
        <v>0</v>
      </c>
      <c r="Q35" s="50">
        <f ca="1">+GETPIVOTDATA("XLL4",'langlon (2016)'!$A$3,"MA_HT","DGD","MA_QH","NKH")</f>
        <v>0</v>
      </c>
      <c r="R35" s="48">
        <f ca="1" t="shared" si="20"/>
        <v>0</v>
      </c>
      <c r="S35" s="50">
        <f ca="1">+GETPIVOTDATA("XLL4",'langlon (2016)'!$A$3,"MA_HT","DGD","MA_QH","CQP")</f>
        <v>0</v>
      </c>
      <c r="T35" s="50">
        <f ca="1">+GETPIVOTDATA("XLL4",'langlon (2016)'!$A$3,"MA_HT","DGD","MA_QH","CAN")</f>
        <v>0</v>
      </c>
      <c r="U35" s="50">
        <f ca="1">+GETPIVOTDATA("XLL4",'langlon (2016)'!$A$3,"MA_HT","DGD","MA_QH","SKK")</f>
        <v>0</v>
      </c>
      <c r="V35" s="50">
        <f ca="1">+GETPIVOTDATA("XLL4",'langlon (2016)'!$A$3,"MA_HT","DGD","MA_QH","SKT")</f>
        <v>0</v>
      </c>
      <c r="W35" s="50">
        <f ca="1">+GETPIVOTDATA("XLL4",'langlon (2016)'!$A$3,"MA_HT","DGD","MA_QH","SKN")</f>
        <v>0</v>
      </c>
      <c r="X35" s="50">
        <f ca="1">+GETPIVOTDATA("XLL4",'langlon (2016)'!$A$3,"MA_HT","DGD","MA_QH","TMD")</f>
        <v>0</v>
      </c>
      <c r="Y35" s="50">
        <f ca="1">+GETPIVOTDATA("XLL4",'langlon (2016)'!$A$3,"MA_HT","DGD","MA_QH","SKC")</f>
        <v>0</v>
      </c>
      <c r="Z35" s="50">
        <f ca="1">+GETPIVOTDATA("XLL4",'langlon (2016)'!$A$3,"MA_HT","DGD","MA_QH","SKS")</f>
        <v>0</v>
      </c>
      <c r="AA35" s="52">
        <f ca="1">+SUM(AB35:AG35,AI35:AM35)</f>
        <v>0</v>
      </c>
      <c r="AB35" s="50">
        <f ca="1">+GETPIVOTDATA("XLL4",'langlon (2016)'!$A$3,"MA_HT","DGD","MA_QH","DGT")</f>
        <v>0</v>
      </c>
      <c r="AC35" s="50">
        <f ca="1">+GETPIVOTDATA("XLL4",'langlon (2016)'!$A$3,"MA_HT","DGD","MA_QH","DTL")</f>
        <v>0</v>
      </c>
      <c r="AD35" s="50">
        <f ca="1">+GETPIVOTDATA("XLL4",'langlon (2016)'!$A$3,"MA_HT","DGD","MA_QH","DNL")</f>
        <v>0</v>
      </c>
      <c r="AE35" s="50">
        <f ca="1">+GETPIVOTDATA("XLL4",'langlon (2016)'!$A$3,"MA_HT","DGD","MA_QH","DBV")</f>
        <v>0</v>
      </c>
      <c r="AF35" s="50">
        <f ca="1">+GETPIVOTDATA("XLL4",'langlon (2016)'!$A$3,"MA_HT","DGD","MA_QH","DVH")</f>
        <v>0</v>
      </c>
      <c r="AG35" s="50">
        <f ca="1">+GETPIVOTDATA("XLL4",'langlon (2016)'!$A$3,"MA_HT","DGD","MA_QH","DYT")</f>
        <v>0</v>
      </c>
      <c r="AH35" s="49" t="e">
        <f ca="1">$D35-$BF35</f>
        <v>#REF!</v>
      </c>
      <c r="AI35" s="50">
        <f ca="1">+GETPIVOTDATA("XLL4",'langlon (2016)'!$A$3,"MA_HT","DGD","MA_QH","DTT")</f>
        <v>0</v>
      </c>
      <c r="AJ35" s="50">
        <f ca="1">+GETPIVOTDATA("XLL4",'langlon (2016)'!$A$3,"MA_HT","DGD","MA_QH","NCK")</f>
        <v>0</v>
      </c>
      <c r="AK35" s="50">
        <f ca="1">+GETPIVOTDATA("XLL4",'langlon (2016)'!$A$3,"MA_HT","DGD","MA_QH","DXH")</f>
        <v>0</v>
      </c>
      <c r="AL35" s="50">
        <f ca="1">+GETPIVOTDATA("XLL4",'langlon (2016)'!$A$3,"MA_HT","DGD","MA_QH","DCH")</f>
        <v>0</v>
      </c>
      <c r="AM35" s="50">
        <f ca="1">+GETPIVOTDATA("XLL4",'langlon (2016)'!$A$3,"MA_HT","DGD","MA_QH","DKG")</f>
        <v>0</v>
      </c>
      <c r="AN35" s="50">
        <f ca="1">+GETPIVOTDATA("XLL4",'langlon (2016)'!$A$3,"MA_HT","DGD","MA_QH","DDT")</f>
        <v>0</v>
      </c>
      <c r="AO35" s="50">
        <f ca="1">+GETPIVOTDATA("XLL4",'langlon (2016)'!$A$3,"MA_HT","DGD","MA_QH","DDL")</f>
        <v>0</v>
      </c>
      <c r="AP35" s="50">
        <f ca="1">+GETPIVOTDATA("XLL4",'langlon (2016)'!$A$3,"MA_HT","DGD","MA_QH","DRA")</f>
        <v>0</v>
      </c>
      <c r="AQ35" s="50">
        <f ca="1">+GETPIVOTDATA("XLL4",'langlon (2016)'!$A$3,"MA_HT","DGD","MA_QH","ONT")</f>
        <v>0</v>
      </c>
      <c r="AR35" s="50">
        <f ca="1">+GETPIVOTDATA("XLL4",'langlon (2016)'!$A$3,"MA_HT","DGD","MA_QH","ODT")</f>
        <v>0</v>
      </c>
      <c r="AS35" s="50">
        <f ca="1">+GETPIVOTDATA("XLL4",'langlon (2016)'!$A$3,"MA_HT","DGD","MA_QH","TSC")</f>
        <v>0</v>
      </c>
      <c r="AT35" s="50">
        <f ca="1">+GETPIVOTDATA("XLL4",'langlon (2016)'!$A$3,"MA_HT","DGD","MA_QH","DTS")</f>
        <v>0</v>
      </c>
      <c r="AU35" s="50">
        <f ca="1">+GETPIVOTDATA("XLL4",'langlon (2016)'!$A$3,"MA_HT","DGD","MA_QH","DNG")</f>
        <v>0</v>
      </c>
      <c r="AV35" s="50">
        <f ca="1">+GETPIVOTDATA("XLL4",'langlon (2016)'!$A$3,"MA_HT","DGD","MA_QH","TON")</f>
        <v>0</v>
      </c>
      <c r="AW35" s="50">
        <f ca="1">+GETPIVOTDATA("XLL4",'langlon (2016)'!$A$3,"MA_HT","DGD","MA_QH","NTD")</f>
        <v>0</v>
      </c>
      <c r="AX35" s="50">
        <f ca="1">+GETPIVOTDATA("XLL4",'langlon (2016)'!$A$3,"MA_HT","DGD","MA_QH","SKX")</f>
        <v>0</v>
      </c>
      <c r="AY35" s="50">
        <f ca="1">+GETPIVOTDATA("XLL4",'langlon (2016)'!$A$3,"MA_HT","DGD","MA_QH","DSH")</f>
        <v>0</v>
      </c>
      <c r="AZ35" s="50">
        <f ca="1">+GETPIVOTDATA("XLL4",'langlon (2016)'!$A$3,"MA_HT","DGD","MA_QH","DKV")</f>
        <v>0</v>
      </c>
      <c r="BA35" s="88">
        <f ca="1">+GETPIVOTDATA("XLL4",'langlon (2016)'!$A$3,"MA_HT","DGD","MA_QH","TIN")</f>
        <v>0</v>
      </c>
      <c r="BB35" s="50">
        <f ca="1">+GETPIVOTDATA("XLL4",'langlon (2016)'!$A$3,"MA_HT","DGD","MA_QH","SON")</f>
        <v>0</v>
      </c>
      <c r="BC35" s="50">
        <f ca="1">+GETPIVOTDATA("XLL4",'langlon (2016)'!$A$3,"MA_HT","DGD","MA_QH","MNC")</f>
        <v>0</v>
      </c>
      <c r="BD35" s="50">
        <f ca="1">+GETPIVOTDATA("XLL4",'langlon (2016)'!$A$3,"MA_HT","DGD","MA_QH","PNK")</f>
        <v>0</v>
      </c>
      <c r="BE35" s="80">
        <f ca="1">+GETPIVOTDATA("XLL4",'langlon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+GETPIVOTDATA("XLL4",'langlon (2016)'!$A$3,"MA_HT","DTT","MA_QH","LUC")</f>
        <v>0</v>
      </c>
      <c r="H36" s="50">
        <f ca="1">+GETPIVOTDATA("XLL4",'langlon (2016)'!$A$3,"MA_HT","DTT","MA_QH","LUK")</f>
        <v>0</v>
      </c>
      <c r="I36" s="50">
        <f ca="1">+GETPIVOTDATA("XLL4",'langlon (2016)'!$A$3,"MA_HT","DTT","MA_QH","LUN")</f>
        <v>0</v>
      </c>
      <c r="J36" s="50">
        <f ca="1">+GETPIVOTDATA("XLL4",'langlon (2016)'!$A$3,"MA_HT","DTT","MA_QH","HNK")</f>
        <v>0</v>
      </c>
      <c r="K36" s="50">
        <f ca="1">+GETPIVOTDATA("XLL4",'langlon (2016)'!$A$3,"MA_HT","DTT","MA_QH","CLN")</f>
        <v>0</v>
      </c>
      <c r="L36" s="50">
        <f ca="1">+GETPIVOTDATA("XLL4",'langlon (2016)'!$A$3,"MA_HT","DTT","MA_QH","RSX")</f>
        <v>0</v>
      </c>
      <c r="M36" s="50">
        <f ca="1">+GETPIVOTDATA("XLL4",'langlon (2016)'!$A$3,"MA_HT","DTT","MA_QH","RPH")</f>
        <v>0</v>
      </c>
      <c r="N36" s="50">
        <f ca="1">+GETPIVOTDATA("XLL4",'langlon (2016)'!$A$3,"MA_HT","DTT","MA_QH","RDD")</f>
        <v>0</v>
      </c>
      <c r="O36" s="50">
        <f ca="1">+GETPIVOTDATA("XLL4",'langlon (2016)'!$A$3,"MA_HT","DTT","MA_QH","NTS")</f>
        <v>0</v>
      </c>
      <c r="P36" s="50">
        <f ca="1">+GETPIVOTDATA("XLL4",'langlon (2016)'!$A$3,"MA_HT","DTT","MA_QH","LMU")</f>
        <v>0</v>
      </c>
      <c r="Q36" s="50">
        <f ca="1">+GETPIVOTDATA("XLL4",'langlon (2016)'!$A$3,"MA_HT","DTT","MA_QH","NKH")</f>
        <v>0</v>
      </c>
      <c r="R36" s="48">
        <f ca="1" t="shared" si="20"/>
        <v>0</v>
      </c>
      <c r="S36" s="50">
        <f ca="1">+GETPIVOTDATA("XLL4",'langlon (2016)'!$A$3,"MA_HT","DTT","MA_QH","CQP")</f>
        <v>0</v>
      </c>
      <c r="T36" s="50">
        <f ca="1">+GETPIVOTDATA("XLL4",'langlon (2016)'!$A$3,"MA_HT","DTT","MA_QH","CAN")</f>
        <v>0</v>
      </c>
      <c r="U36" s="50">
        <f ca="1">+GETPIVOTDATA("XLL4",'langlon (2016)'!$A$3,"MA_HT","DTT","MA_QH","SKK")</f>
        <v>0</v>
      </c>
      <c r="V36" s="50">
        <f ca="1">+GETPIVOTDATA("XLL4",'langlon (2016)'!$A$3,"MA_HT","DTT","MA_QH","SKT")</f>
        <v>0</v>
      </c>
      <c r="W36" s="50">
        <f ca="1">+GETPIVOTDATA("XLL4",'langlon (2016)'!$A$3,"MA_HT","DTT","MA_QH","SKN")</f>
        <v>0</v>
      </c>
      <c r="X36" s="50">
        <f ca="1">+GETPIVOTDATA("XLL4",'langlon (2016)'!$A$3,"MA_HT","DTT","MA_QH","TMD")</f>
        <v>0</v>
      </c>
      <c r="Y36" s="50">
        <f ca="1">+GETPIVOTDATA("XLL4",'langlon (2016)'!$A$3,"MA_HT","DTT","MA_QH","SKC")</f>
        <v>0</v>
      </c>
      <c r="Z36" s="50">
        <f ca="1">+GETPIVOTDATA("XLL4",'langlon (2016)'!$A$3,"MA_HT","DTT","MA_QH","SKS")</f>
        <v>0</v>
      </c>
      <c r="AA36" s="52">
        <f ca="1">+SUM(AB36:AH36,AJ36:AM36)</f>
        <v>0</v>
      </c>
      <c r="AB36" s="50">
        <f ca="1">+GETPIVOTDATA("XLL4",'langlon (2016)'!$A$3,"MA_HT","DTT","MA_QH","DGT")</f>
        <v>0</v>
      </c>
      <c r="AC36" s="50">
        <f ca="1">+GETPIVOTDATA("XLL4",'langlon (2016)'!$A$3,"MA_HT","DTT","MA_QH","DTL")</f>
        <v>0</v>
      </c>
      <c r="AD36" s="50">
        <f ca="1">+GETPIVOTDATA("XLL4",'langlon (2016)'!$A$3,"MA_HT","DTT","MA_QH","DNL")</f>
        <v>0</v>
      </c>
      <c r="AE36" s="50">
        <f ca="1">+GETPIVOTDATA("XLL4",'langlon (2016)'!$A$3,"MA_HT","DTT","MA_QH","DBV")</f>
        <v>0</v>
      </c>
      <c r="AF36" s="50">
        <f ca="1">+GETPIVOTDATA("XLL4",'langlon (2016)'!$A$3,"MA_HT","DTT","MA_QH","DVH")</f>
        <v>0</v>
      </c>
      <c r="AG36" s="50">
        <f ca="1">+GETPIVOTDATA("XLL4",'langlon (2016)'!$A$3,"MA_HT","DTT","MA_QH","DYT")</f>
        <v>0</v>
      </c>
      <c r="AH36" s="50">
        <f ca="1">+GETPIVOTDATA("XLL4",'langlon (2016)'!$A$3,"MA_HT","DTT","MA_QH","DGD")</f>
        <v>0</v>
      </c>
      <c r="AI36" s="49" t="e">
        <f ca="1">$D36-$BF36</f>
        <v>#REF!</v>
      </c>
      <c r="AJ36" s="50">
        <f ca="1">+GETPIVOTDATA("XLL4",'langlon (2016)'!$A$3,"MA_HT","DTT","MA_QH","NCK")</f>
        <v>0</v>
      </c>
      <c r="AK36" s="50">
        <f ca="1">+GETPIVOTDATA("XLL4",'langlon (2016)'!$A$3,"MA_HT","DTT","MA_QH","DXH")</f>
        <v>0</v>
      </c>
      <c r="AL36" s="50">
        <f ca="1">+GETPIVOTDATA("XLL4",'langlon (2016)'!$A$3,"MA_HT","DTT","MA_QH","DCH")</f>
        <v>0</v>
      </c>
      <c r="AM36" s="50">
        <f ca="1">+GETPIVOTDATA("XLL4",'langlon (2016)'!$A$3,"MA_HT","DTT","MA_QH","DKG")</f>
        <v>0</v>
      </c>
      <c r="AN36" s="50">
        <f ca="1">+GETPIVOTDATA("XLL4",'langlon (2016)'!$A$3,"MA_HT","DTT","MA_QH","DDT")</f>
        <v>0</v>
      </c>
      <c r="AO36" s="50">
        <f ca="1">+GETPIVOTDATA("XLL4",'langlon (2016)'!$A$3,"MA_HT","DTT","MA_QH","DDL")</f>
        <v>0</v>
      </c>
      <c r="AP36" s="50">
        <f ca="1">+GETPIVOTDATA("XLL4",'langlon (2016)'!$A$3,"MA_HT","DTT","MA_QH","DRA")</f>
        <v>0</v>
      </c>
      <c r="AQ36" s="50">
        <f ca="1">+GETPIVOTDATA("XLL4",'langlon (2016)'!$A$3,"MA_HT","DTT","MA_QH","ONT")</f>
        <v>0</v>
      </c>
      <c r="AR36" s="50">
        <f ca="1">+GETPIVOTDATA("XLL4",'langlon (2016)'!$A$3,"MA_HT","DTT","MA_QH","ODT")</f>
        <v>0</v>
      </c>
      <c r="AS36" s="50">
        <f ca="1">+GETPIVOTDATA("XLL4",'langlon (2016)'!$A$3,"MA_HT","DTT","MA_QH","TSC")</f>
        <v>0</v>
      </c>
      <c r="AT36" s="50">
        <f ca="1">+GETPIVOTDATA("XLL4",'langlon (2016)'!$A$3,"MA_HT","DTT","MA_QH","DTS")</f>
        <v>0</v>
      </c>
      <c r="AU36" s="50">
        <f ca="1">+GETPIVOTDATA("XLL4",'langlon (2016)'!$A$3,"MA_HT","DTT","MA_QH","DNG")</f>
        <v>0</v>
      </c>
      <c r="AV36" s="50">
        <f ca="1">+GETPIVOTDATA("XLL4",'langlon (2016)'!$A$3,"MA_HT","DTT","MA_QH","TON")</f>
        <v>0</v>
      </c>
      <c r="AW36" s="50">
        <f ca="1">+GETPIVOTDATA("XLL4",'langlon (2016)'!$A$3,"MA_HT","DTT","MA_QH","NTD")</f>
        <v>0</v>
      </c>
      <c r="AX36" s="50">
        <f ca="1">+GETPIVOTDATA("XLL4",'langlon (2016)'!$A$3,"MA_HT","DTT","MA_QH","SKX")</f>
        <v>0</v>
      </c>
      <c r="AY36" s="50">
        <f ca="1">+GETPIVOTDATA("XLL4",'langlon (2016)'!$A$3,"MA_HT","DTT","MA_QH","DSH")</f>
        <v>0</v>
      </c>
      <c r="AZ36" s="50">
        <f ca="1">+GETPIVOTDATA("XLL4",'langlon (2016)'!$A$3,"MA_HT","DTT","MA_QH","DKV")</f>
        <v>0</v>
      </c>
      <c r="BA36" s="88">
        <f ca="1">+GETPIVOTDATA("XLL4",'langlon (2016)'!$A$3,"MA_HT","DTT","MA_QH","TIN")</f>
        <v>0</v>
      </c>
      <c r="BB36" s="50">
        <f ca="1">+GETPIVOTDATA("XLL4",'langlon (2016)'!$A$3,"MA_HT","DTT","MA_QH","SON")</f>
        <v>0</v>
      </c>
      <c r="BC36" s="50">
        <f ca="1">+GETPIVOTDATA("XLL4",'langlon (2016)'!$A$3,"MA_HT","DTT","MA_QH","MNC")</f>
        <v>0</v>
      </c>
      <c r="BD36" s="50">
        <f ca="1">+GETPIVOTDATA("XLL4",'langlon (2016)'!$A$3,"MA_HT","DTT","MA_QH","PNK")</f>
        <v>0</v>
      </c>
      <c r="BE36" s="80">
        <f ca="1">+GETPIVOTDATA("XLL4",'langlon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+GETPIVOTDATA("XLL4",'langlon (2016)'!$A$3,"MA_HT","NCK","MA_QH","LUC")</f>
        <v>0</v>
      </c>
      <c r="H37" s="50">
        <f ca="1">+GETPIVOTDATA("XLL4",'langlon (2016)'!$A$3,"MA_HT","NCK","MA_QH","LUK")</f>
        <v>0</v>
      </c>
      <c r="I37" s="50">
        <f ca="1">+GETPIVOTDATA("XLL4",'langlon (2016)'!$A$3,"MA_HT","NCK","MA_QH","LUN")</f>
        <v>0</v>
      </c>
      <c r="J37" s="50">
        <f ca="1">+GETPIVOTDATA("XLL4",'langlon (2016)'!$A$3,"MA_HT","NCK","MA_QH","HNK")</f>
        <v>0</v>
      </c>
      <c r="K37" s="50">
        <f ca="1">+GETPIVOTDATA("XLL4",'langlon (2016)'!$A$3,"MA_HT","NCK","MA_QH","CLN")</f>
        <v>0</v>
      </c>
      <c r="L37" s="50">
        <f ca="1">+GETPIVOTDATA("XLL4",'langlon (2016)'!$A$3,"MA_HT","NCK","MA_QH","RSX")</f>
        <v>0</v>
      </c>
      <c r="M37" s="50">
        <f ca="1">+GETPIVOTDATA("XLL4",'langlon (2016)'!$A$3,"MA_HT","NCK","MA_QH","RPH")</f>
        <v>0</v>
      </c>
      <c r="N37" s="50">
        <f ca="1">+GETPIVOTDATA("XLL4",'langlon (2016)'!$A$3,"MA_HT","NCK","MA_QH","RDD")</f>
        <v>0</v>
      </c>
      <c r="O37" s="50">
        <f ca="1">+GETPIVOTDATA("XLL4",'langlon (2016)'!$A$3,"MA_HT","NCK","MA_QH","NTS")</f>
        <v>0</v>
      </c>
      <c r="P37" s="50">
        <f ca="1">+GETPIVOTDATA("XLL4",'langlon (2016)'!$A$3,"MA_HT","NCK","MA_QH","LMU")</f>
        <v>0</v>
      </c>
      <c r="Q37" s="50">
        <f ca="1">+GETPIVOTDATA("XLL4",'langlon (2016)'!$A$3,"MA_HT","NCK","MA_QH","NKH")</f>
        <v>0</v>
      </c>
      <c r="R37" s="48">
        <f ca="1" t="shared" si="20"/>
        <v>0</v>
      </c>
      <c r="S37" s="50">
        <f ca="1">+GETPIVOTDATA("XLL4",'langlon (2016)'!$A$3,"MA_HT","NCK","MA_QH","CQP")</f>
        <v>0</v>
      </c>
      <c r="T37" s="50">
        <f ca="1">+GETPIVOTDATA("XLL4",'langlon (2016)'!$A$3,"MA_HT","NCK","MA_QH","CAN")</f>
        <v>0</v>
      </c>
      <c r="U37" s="50">
        <f ca="1">+GETPIVOTDATA("XLL4",'langlon (2016)'!$A$3,"MA_HT","NCK","MA_QH","SKK")</f>
        <v>0</v>
      </c>
      <c r="V37" s="50">
        <f ca="1">+GETPIVOTDATA("XLL4",'langlon (2016)'!$A$3,"MA_HT","NCK","MA_QH","SKT")</f>
        <v>0</v>
      </c>
      <c r="W37" s="50">
        <f ca="1">+GETPIVOTDATA("XLL4",'langlon (2016)'!$A$3,"MA_HT","NCK","MA_QH","SKN")</f>
        <v>0</v>
      </c>
      <c r="X37" s="50">
        <f ca="1">+GETPIVOTDATA("XLL4",'langlon (2016)'!$A$3,"MA_HT","NCK","MA_QH","TMD")</f>
        <v>0</v>
      </c>
      <c r="Y37" s="50">
        <f ca="1">+GETPIVOTDATA("XLL4",'langlon (2016)'!$A$3,"MA_HT","NCK","MA_QH","SKC")</f>
        <v>0</v>
      </c>
      <c r="Z37" s="50">
        <f ca="1">+GETPIVOTDATA("XLL4",'langlon (2016)'!$A$3,"MA_HT","NCK","MA_QH","SKS")</f>
        <v>0</v>
      </c>
      <c r="AA37" s="52">
        <f ca="1">+SUM(AB37:AI37,AK37:AM37)</f>
        <v>0</v>
      </c>
      <c r="AB37" s="50">
        <f ca="1">+GETPIVOTDATA("XLL4",'langlon (2016)'!$A$3,"MA_HT","NCK","MA_QH","DGT")</f>
        <v>0</v>
      </c>
      <c r="AC37" s="50">
        <f ca="1">+GETPIVOTDATA("XLL4",'langlon (2016)'!$A$3,"MA_HT","NCK","MA_QH","DTL")</f>
        <v>0</v>
      </c>
      <c r="AD37" s="50">
        <f ca="1">+GETPIVOTDATA("XLL4",'langlon (2016)'!$A$3,"MA_HT","NCK","MA_QH","DNL")</f>
        <v>0</v>
      </c>
      <c r="AE37" s="50">
        <f ca="1">+GETPIVOTDATA("XLL4",'langlon (2016)'!$A$3,"MA_HT","NCK","MA_QH","DBV")</f>
        <v>0</v>
      </c>
      <c r="AF37" s="50">
        <f ca="1">+GETPIVOTDATA("XLL4",'langlon (2016)'!$A$3,"MA_HT","NCK","MA_QH","DVH")</f>
        <v>0</v>
      </c>
      <c r="AG37" s="50">
        <f ca="1">+GETPIVOTDATA("XLL4",'langlon (2016)'!$A$3,"MA_HT","NCK","MA_QH","DYT")</f>
        <v>0</v>
      </c>
      <c r="AH37" s="50">
        <f ca="1">+GETPIVOTDATA("XLL4",'langlon (2016)'!$A$3,"MA_HT","NCK","MA_QH","DGD")</f>
        <v>0</v>
      </c>
      <c r="AI37" s="50">
        <f ca="1">+GETPIVOTDATA("XLL4",'langlon (2016)'!$A$3,"MA_HT","NCK","MA_QH","DTT")</f>
        <v>0</v>
      </c>
      <c r="AJ37" s="49" t="e">
        <f ca="1">$D37-$BF37</f>
        <v>#REF!</v>
      </c>
      <c r="AK37" s="50">
        <f ca="1">+GETPIVOTDATA("XLL4",'langlon (2016)'!$A$3,"MA_HT","NCK","MA_QH","DXH")</f>
        <v>0</v>
      </c>
      <c r="AL37" s="50">
        <f ca="1">+GETPIVOTDATA("XLL4",'langlon (2016)'!$A$3,"MA_HT","NCK","MA_QH","DCH")</f>
        <v>0</v>
      </c>
      <c r="AM37" s="50">
        <f ca="1">+GETPIVOTDATA("XLL4",'langlon (2016)'!$A$3,"MA_HT","NCK","MA_QH","DKG")</f>
        <v>0</v>
      </c>
      <c r="AN37" s="50">
        <f ca="1">+GETPIVOTDATA("XLL4",'langlon (2016)'!$A$3,"MA_HT","NCK","MA_QH","DDT")</f>
        <v>0</v>
      </c>
      <c r="AO37" s="50">
        <f ca="1">+GETPIVOTDATA("XLL4",'langlon (2016)'!$A$3,"MA_HT","NCK","MA_QH","DDL")</f>
        <v>0</v>
      </c>
      <c r="AP37" s="50">
        <f ca="1">+GETPIVOTDATA("XLL4",'langlon (2016)'!$A$3,"MA_HT","NCK","MA_QH","DRA")</f>
        <v>0</v>
      </c>
      <c r="AQ37" s="50">
        <f ca="1">+GETPIVOTDATA("XLL4",'langlon (2016)'!$A$3,"MA_HT","NCK","MA_QH","ONT")</f>
        <v>0</v>
      </c>
      <c r="AR37" s="50">
        <f ca="1">+GETPIVOTDATA("XLL4",'langlon (2016)'!$A$3,"MA_HT","NCK","MA_QH","ODT")</f>
        <v>0</v>
      </c>
      <c r="AS37" s="50">
        <f ca="1">+GETPIVOTDATA("XLL4",'langlon (2016)'!$A$3,"MA_HT","NCK","MA_QH","TSC")</f>
        <v>0</v>
      </c>
      <c r="AT37" s="50">
        <f ca="1">+GETPIVOTDATA("XLL4",'langlon (2016)'!$A$3,"MA_HT","NCK","MA_QH","DTS")</f>
        <v>0</v>
      </c>
      <c r="AU37" s="50">
        <f ca="1">+GETPIVOTDATA("XLL4",'langlon (2016)'!$A$3,"MA_HT","NCK","MA_QH","DNG")</f>
        <v>0</v>
      </c>
      <c r="AV37" s="50">
        <f ca="1">+GETPIVOTDATA("XLL4",'langlon (2016)'!$A$3,"MA_HT","NCK","MA_QH","TON")</f>
        <v>0</v>
      </c>
      <c r="AW37" s="50">
        <f ca="1">+GETPIVOTDATA("XLL4",'langlon (2016)'!$A$3,"MA_HT","NCK","MA_QH","NTD")</f>
        <v>0</v>
      </c>
      <c r="AX37" s="50">
        <f ca="1">+GETPIVOTDATA("XLL4",'langlon (2016)'!$A$3,"MA_HT","NCK","MA_QH","SKX")</f>
        <v>0</v>
      </c>
      <c r="AY37" s="50">
        <f ca="1">+GETPIVOTDATA("XLL4",'langlon (2016)'!$A$3,"MA_HT","NCK","MA_QH","DSH")</f>
        <v>0</v>
      </c>
      <c r="AZ37" s="50">
        <f ca="1">+GETPIVOTDATA("XLL4",'langlon (2016)'!$A$3,"MA_HT","NCK","MA_QH","DKV")</f>
        <v>0</v>
      </c>
      <c r="BA37" s="88">
        <f ca="1">+GETPIVOTDATA("XLL4",'langlon (2016)'!$A$3,"MA_HT","NCK","MA_QH","TIN")</f>
        <v>0</v>
      </c>
      <c r="BB37" s="50">
        <f ca="1">+GETPIVOTDATA("XLL4",'langlon (2016)'!$A$3,"MA_HT","NCK","MA_QH","SON")</f>
        <v>0</v>
      </c>
      <c r="BC37" s="50">
        <f ca="1">+GETPIVOTDATA("XLL4",'langlon (2016)'!$A$3,"MA_HT","NCK","MA_QH","MNC")</f>
        <v>0</v>
      </c>
      <c r="BD37" s="50">
        <f ca="1">+GETPIVOTDATA("XLL4",'langlon (2016)'!$A$3,"MA_HT","NCK","MA_QH","PNK")</f>
        <v>0</v>
      </c>
      <c r="BE37" s="80">
        <f ca="1">+GETPIVOTDATA("XLL4",'langlon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+GETPIVOTDATA("XLL4",'langlon (2016)'!$A$3,"MA_HT","DXH","MA_QH","LUC")</f>
        <v>0</v>
      </c>
      <c r="H38" s="50">
        <f ca="1">+GETPIVOTDATA("XLL4",'langlon (2016)'!$A$3,"MA_HT","DXH","MA_QH","LUK")</f>
        <v>0</v>
      </c>
      <c r="I38" s="50">
        <f ca="1">+GETPIVOTDATA("XLL4",'langlon (2016)'!$A$3,"MA_HT","DXH","MA_QH","LUN")</f>
        <v>0</v>
      </c>
      <c r="J38" s="50">
        <f ca="1">+GETPIVOTDATA("XLL4",'langlon (2016)'!$A$3,"MA_HT","DXH","MA_QH","HNK")</f>
        <v>0</v>
      </c>
      <c r="K38" s="50">
        <f ca="1">+GETPIVOTDATA("XLL4",'langlon (2016)'!$A$3,"MA_HT","DXH","MA_QH","CLN")</f>
        <v>0</v>
      </c>
      <c r="L38" s="50">
        <f ca="1">+GETPIVOTDATA("XLL4",'langlon (2016)'!$A$3,"MA_HT","DXH","MA_QH","RSX")</f>
        <v>0</v>
      </c>
      <c r="M38" s="50">
        <f ca="1">+GETPIVOTDATA("XLL4",'langlon (2016)'!$A$3,"MA_HT","DXH","MA_QH","RPH")</f>
        <v>0</v>
      </c>
      <c r="N38" s="50">
        <f ca="1">+GETPIVOTDATA("XLL4",'langlon (2016)'!$A$3,"MA_HT","DXH","MA_QH","RDD")</f>
        <v>0</v>
      </c>
      <c r="O38" s="50">
        <f ca="1">+GETPIVOTDATA("XLL4",'langlon (2016)'!$A$3,"MA_HT","DXH","MA_QH","NTS")</f>
        <v>0</v>
      </c>
      <c r="P38" s="50">
        <f ca="1">+GETPIVOTDATA("XLL4",'langlon (2016)'!$A$3,"MA_HT","DXH","MA_QH","LMU")</f>
        <v>0</v>
      </c>
      <c r="Q38" s="50">
        <f ca="1">+GETPIVOTDATA("XLL4",'langlon (2016)'!$A$3,"MA_HT","DXH","MA_QH","NKH")</f>
        <v>0</v>
      </c>
      <c r="R38" s="48">
        <f ca="1" t="shared" si="20"/>
        <v>0</v>
      </c>
      <c r="S38" s="50">
        <f ca="1">+GETPIVOTDATA("XLL4",'langlon (2016)'!$A$3,"MA_HT","DXH","MA_QH","CQP")</f>
        <v>0</v>
      </c>
      <c r="T38" s="50">
        <f ca="1">+GETPIVOTDATA("XLL4",'langlon (2016)'!$A$3,"MA_HT","DXH","MA_QH","CAN")</f>
        <v>0</v>
      </c>
      <c r="U38" s="50">
        <f ca="1">+GETPIVOTDATA("XLL4",'langlon (2016)'!$A$3,"MA_HT","DXH","MA_QH","SKK")</f>
        <v>0</v>
      </c>
      <c r="V38" s="50">
        <f ca="1">+GETPIVOTDATA("XLL4",'langlon (2016)'!$A$3,"MA_HT","DXH","MA_QH","SKT")</f>
        <v>0</v>
      </c>
      <c r="W38" s="50">
        <f ca="1">+GETPIVOTDATA("XLL4",'langlon (2016)'!$A$3,"MA_HT","DXH","MA_QH","SKN")</f>
        <v>0</v>
      </c>
      <c r="X38" s="50">
        <f ca="1">+GETPIVOTDATA("XLL4",'langlon (2016)'!$A$3,"MA_HT","DXH","MA_QH","TMD")</f>
        <v>0</v>
      </c>
      <c r="Y38" s="50">
        <f ca="1">+GETPIVOTDATA("XLL4",'langlon (2016)'!$A$3,"MA_HT","DXH","MA_QH","SKC")</f>
        <v>0</v>
      </c>
      <c r="Z38" s="50">
        <f ca="1">+GETPIVOTDATA("XLL4",'langlon (2016)'!$A$3,"MA_HT","DXH","MA_QH","SKS")</f>
        <v>0</v>
      </c>
      <c r="AA38" s="52">
        <f ca="1">+SUM(AB38:AJ38,AL38:AM38)</f>
        <v>0</v>
      </c>
      <c r="AB38" s="50">
        <f ca="1">+GETPIVOTDATA("XLL4",'langlon (2016)'!$A$3,"MA_HT","DXH","MA_QH","DGT")</f>
        <v>0</v>
      </c>
      <c r="AC38" s="50">
        <f ca="1">+GETPIVOTDATA("XLL4",'langlon (2016)'!$A$3,"MA_HT","DXH","MA_QH","DTL")</f>
        <v>0</v>
      </c>
      <c r="AD38" s="50">
        <f ca="1">+GETPIVOTDATA("XLL4",'langlon (2016)'!$A$3,"MA_HT","DXH","MA_QH","DNL")</f>
        <v>0</v>
      </c>
      <c r="AE38" s="50">
        <f ca="1">+GETPIVOTDATA("XLL4",'langlon (2016)'!$A$3,"MA_HT","DXH","MA_QH","DBV")</f>
        <v>0</v>
      </c>
      <c r="AF38" s="50">
        <f ca="1">+GETPIVOTDATA("XLL4",'langlon (2016)'!$A$3,"MA_HT","DXH","MA_QH","DVH")</f>
        <v>0</v>
      </c>
      <c r="AG38" s="50">
        <f ca="1">+GETPIVOTDATA("XLL4",'langlon (2016)'!$A$3,"MA_HT","DXH","MA_QH","DYT")</f>
        <v>0</v>
      </c>
      <c r="AH38" s="50">
        <f ca="1">+GETPIVOTDATA("XLL4",'langlon (2016)'!$A$3,"MA_HT","DXH","MA_QH","DGD")</f>
        <v>0</v>
      </c>
      <c r="AI38" s="50">
        <f ca="1">+GETPIVOTDATA("XLL4",'langlon (2016)'!$A$3,"MA_HT","DXH","MA_QH","DTT")</f>
        <v>0</v>
      </c>
      <c r="AJ38" s="50">
        <f ca="1">+GETPIVOTDATA("XLL4",'langlon (2016)'!$A$3,"MA_HT","DXH","MA_QH","NCK")</f>
        <v>0</v>
      </c>
      <c r="AK38" s="49" t="e">
        <f ca="1">$D38-$BF38</f>
        <v>#REF!</v>
      </c>
      <c r="AL38" s="50">
        <f ca="1">+GETPIVOTDATA("XLL4",'langlon (2016)'!$A$3,"MA_HT","DXH","MA_QH","DCH")</f>
        <v>0</v>
      </c>
      <c r="AM38" s="50">
        <f ca="1">+GETPIVOTDATA("XLL4",'langlon (2016)'!$A$3,"MA_HT","DXH","MA_QH","DKG")</f>
        <v>0</v>
      </c>
      <c r="AN38" s="50">
        <f ca="1">+GETPIVOTDATA("XLL4",'langlon (2016)'!$A$3,"MA_HT","DXH","MA_QH","DDT")</f>
        <v>0</v>
      </c>
      <c r="AO38" s="50">
        <f ca="1">+GETPIVOTDATA("XLL4",'langlon (2016)'!$A$3,"MA_HT","DXH","MA_QH","DDL")</f>
        <v>0</v>
      </c>
      <c r="AP38" s="50">
        <f ca="1">+GETPIVOTDATA("XLL4",'langlon (2016)'!$A$3,"MA_HT","DXH","MA_QH","DRA")</f>
        <v>0</v>
      </c>
      <c r="AQ38" s="50">
        <f ca="1">+GETPIVOTDATA("XLL4",'langlon (2016)'!$A$3,"MA_HT","DXH","MA_QH","ONT")</f>
        <v>0</v>
      </c>
      <c r="AR38" s="50">
        <f ca="1">+GETPIVOTDATA("XLL4",'langlon (2016)'!$A$3,"MA_HT","DXH","MA_QH","ODT")</f>
        <v>0</v>
      </c>
      <c r="AS38" s="50">
        <f ca="1">+GETPIVOTDATA("XLL4",'langlon (2016)'!$A$3,"MA_HT","DXH","MA_QH","TSC")</f>
        <v>0</v>
      </c>
      <c r="AT38" s="50">
        <f ca="1">+GETPIVOTDATA("XLL4",'langlon (2016)'!$A$3,"MA_HT","DXH","MA_QH","DTS")</f>
        <v>0</v>
      </c>
      <c r="AU38" s="50">
        <f ca="1">+GETPIVOTDATA("XLL4",'langlon (2016)'!$A$3,"MA_HT","DXH","MA_QH","DNG")</f>
        <v>0</v>
      </c>
      <c r="AV38" s="50">
        <f ca="1">+GETPIVOTDATA("XLL4",'langlon (2016)'!$A$3,"MA_HT","DXH","MA_QH","TON")</f>
        <v>0</v>
      </c>
      <c r="AW38" s="50">
        <f ca="1">+GETPIVOTDATA("XLL4",'langlon (2016)'!$A$3,"MA_HT","DXH","MA_QH","NTD")</f>
        <v>0</v>
      </c>
      <c r="AX38" s="50">
        <f ca="1">+GETPIVOTDATA("XLL4",'langlon (2016)'!$A$3,"MA_HT","DXH","MA_QH","SKX")</f>
        <v>0</v>
      </c>
      <c r="AY38" s="50">
        <f ca="1">+GETPIVOTDATA("XLL4",'langlon (2016)'!$A$3,"MA_HT","DXH","MA_QH","DSH")</f>
        <v>0</v>
      </c>
      <c r="AZ38" s="50">
        <f ca="1">+GETPIVOTDATA("XLL4",'langlon (2016)'!$A$3,"MA_HT","DXH","MA_QH","DKV")</f>
        <v>0</v>
      </c>
      <c r="BA38" s="88">
        <f ca="1">+GETPIVOTDATA("XLL4",'langlon (2016)'!$A$3,"MA_HT","DXH","MA_QH","TIN")</f>
        <v>0</v>
      </c>
      <c r="BB38" s="50">
        <f ca="1">+GETPIVOTDATA("XLL4",'langlon (2016)'!$A$3,"MA_HT","DXH","MA_QH","SON")</f>
        <v>0</v>
      </c>
      <c r="BC38" s="50">
        <f ca="1">+GETPIVOTDATA("XLL4",'langlon (2016)'!$A$3,"MA_HT","DXH","MA_QH","MNC")</f>
        <v>0</v>
      </c>
      <c r="BD38" s="50">
        <f ca="1">+GETPIVOTDATA("XLL4",'langlon (2016)'!$A$3,"MA_HT","DXH","MA_QH","PNK")</f>
        <v>0</v>
      </c>
      <c r="BE38" s="80">
        <f ca="1">+GETPIVOTDATA("XLL4",'langlon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+GETPIVOTDATA("XLL4",'langlon (2016)'!$A$3,"MA_HT","DCH","MA_QH","LUC")</f>
        <v>0</v>
      </c>
      <c r="H39" s="50">
        <f ca="1">+GETPIVOTDATA("XLL4",'langlon (2016)'!$A$3,"MA_HT","DCH","MA_QH","LUK")</f>
        <v>0</v>
      </c>
      <c r="I39" s="50">
        <f ca="1">+GETPIVOTDATA("XLL4",'langlon (2016)'!$A$3,"MA_HT","DCH","MA_QH","LUN")</f>
        <v>0</v>
      </c>
      <c r="J39" s="50">
        <f ca="1">+GETPIVOTDATA("XLL4",'langlon (2016)'!$A$3,"MA_HT","DCH","MA_QH","HNK")</f>
        <v>0</v>
      </c>
      <c r="K39" s="50">
        <f ca="1">+GETPIVOTDATA("XLL4",'langlon (2016)'!$A$3,"MA_HT","DCH","MA_QH","CLN")</f>
        <v>0</v>
      </c>
      <c r="L39" s="50">
        <f ca="1">+GETPIVOTDATA("XLL4",'langlon (2016)'!$A$3,"MA_HT","DCH","MA_QH","RSX")</f>
        <v>0</v>
      </c>
      <c r="M39" s="50">
        <f ca="1">+GETPIVOTDATA("XLL4",'langlon (2016)'!$A$3,"MA_HT","DCH","MA_QH","RPH")</f>
        <v>0</v>
      </c>
      <c r="N39" s="50">
        <f ca="1">+GETPIVOTDATA("XLL4",'langlon (2016)'!$A$3,"MA_HT","DCH","MA_QH","RDD")</f>
        <v>0</v>
      </c>
      <c r="O39" s="50">
        <f ca="1">+GETPIVOTDATA("XLL4",'langlon (2016)'!$A$3,"MA_HT","DCH","MA_QH","NTS")</f>
        <v>0</v>
      </c>
      <c r="P39" s="50">
        <f ca="1">+GETPIVOTDATA("XLL4",'langlon (2016)'!$A$3,"MA_HT","DCH","MA_QH","LMU")</f>
        <v>0</v>
      </c>
      <c r="Q39" s="50">
        <f ca="1">+GETPIVOTDATA("XLL4",'langlon (2016)'!$A$3,"MA_HT","DCH","MA_QH","NKH")</f>
        <v>0</v>
      </c>
      <c r="R39" s="48">
        <f ca="1" t="shared" si="20"/>
        <v>0</v>
      </c>
      <c r="S39" s="50">
        <f ca="1">+GETPIVOTDATA("XLL4",'langlon (2016)'!$A$3,"MA_HT","DCH","MA_QH","CQP")</f>
        <v>0</v>
      </c>
      <c r="T39" s="50">
        <f ca="1">+GETPIVOTDATA("XLL4",'langlon (2016)'!$A$3,"MA_HT","DCH","MA_QH","CAN")</f>
        <v>0</v>
      </c>
      <c r="U39" s="50">
        <f ca="1">+GETPIVOTDATA("XLL4",'langlon (2016)'!$A$3,"MA_HT","DCH","MA_QH","SKK")</f>
        <v>0</v>
      </c>
      <c r="V39" s="50">
        <f ca="1">+GETPIVOTDATA("XLL4",'langlon (2016)'!$A$3,"MA_HT","DCH","MA_QH","SKT")</f>
        <v>0</v>
      </c>
      <c r="W39" s="50">
        <f ca="1">+GETPIVOTDATA("XLL4",'langlon (2016)'!$A$3,"MA_HT","DCH","MA_QH","SKN")</f>
        <v>0</v>
      </c>
      <c r="X39" s="50">
        <f ca="1">+GETPIVOTDATA("XLL4",'langlon (2016)'!$A$3,"MA_HT","DCH","MA_QH","TMD")</f>
        <v>0</v>
      </c>
      <c r="Y39" s="50">
        <f ca="1">+GETPIVOTDATA("XLL4",'langlon (2016)'!$A$3,"MA_HT","DCH","MA_QH","SKC")</f>
        <v>0</v>
      </c>
      <c r="Z39" s="50">
        <f ca="1">+GETPIVOTDATA("XLL4",'langlon (2016)'!$A$3,"MA_HT","DCH","MA_QH","SKS")</f>
        <v>0</v>
      </c>
      <c r="AA39" s="52">
        <f ca="1">+SUM(AB39:AK39,AM39)</f>
        <v>0</v>
      </c>
      <c r="AB39" s="50">
        <f ca="1">+GETPIVOTDATA("XLL4",'langlon (2016)'!$A$3,"MA_HT","DCH","MA_QH","DGT")</f>
        <v>0</v>
      </c>
      <c r="AC39" s="50">
        <f ca="1">+GETPIVOTDATA("XLL4",'langlon (2016)'!$A$3,"MA_HT","DCH","MA_QH","DTL")</f>
        <v>0</v>
      </c>
      <c r="AD39" s="50">
        <f ca="1">+GETPIVOTDATA("XLL4",'langlon (2016)'!$A$3,"MA_HT","DCH","MA_QH","DNL")</f>
        <v>0</v>
      </c>
      <c r="AE39" s="50">
        <f ca="1">+GETPIVOTDATA("XLL4",'langlon (2016)'!$A$3,"MA_HT","DCH","MA_QH","DBV")</f>
        <v>0</v>
      </c>
      <c r="AF39" s="50">
        <f ca="1">+GETPIVOTDATA("XLL4",'langlon (2016)'!$A$3,"MA_HT","DCH","MA_QH","DVH")</f>
        <v>0</v>
      </c>
      <c r="AG39" s="50">
        <f ca="1">+GETPIVOTDATA("XLL4",'langlon (2016)'!$A$3,"MA_HT","DCH","MA_QH","DYT")</f>
        <v>0</v>
      </c>
      <c r="AH39" s="50">
        <f ca="1">+GETPIVOTDATA("XLL4",'langlon (2016)'!$A$3,"MA_HT","DCH","MA_QH","DGD")</f>
        <v>0</v>
      </c>
      <c r="AI39" s="50">
        <f ca="1">+GETPIVOTDATA("XLL4",'langlon (2016)'!$A$3,"MA_HT","DCH","MA_QH","DTT")</f>
        <v>0</v>
      </c>
      <c r="AJ39" s="50">
        <f ca="1">+GETPIVOTDATA("XLL4",'langlon (2016)'!$A$3,"MA_HT","DCH","MA_QH","NCK")</f>
        <v>0</v>
      </c>
      <c r="AK39" s="50">
        <f ca="1">+GETPIVOTDATA("XLL4",'langlon (2016)'!$A$3,"MA_HT","DCH","MA_QH","DXH")</f>
        <v>0</v>
      </c>
      <c r="AL39" s="49" t="e">
        <f ca="1">$D39-$BF39</f>
        <v>#REF!</v>
      </c>
      <c r="AM39" s="50">
        <f ca="1">+GETPIVOTDATA("XLL4",'langlon (2016)'!$A$3,"MA_HT","DXH","MA_QH","DKG")</f>
        <v>0</v>
      </c>
      <c r="AN39" s="50">
        <f ca="1">+GETPIVOTDATA("XLL4",'langlon (2016)'!$A$3,"MA_HT","DCH","MA_QH","DDT")</f>
        <v>0</v>
      </c>
      <c r="AO39" s="50">
        <f ca="1">+GETPIVOTDATA("XLL4",'langlon (2016)'!$A$3,"MA_HT","DCH","MA_QH","DDL")</f>
        <v>0</v>
      </c>
      <c r="AP39" s="50">
        <f ca="1">+GETPIVOTDATA("XLL4",'langlon (2016)'!$A$3,"MA_HT","DCH","MA_QH","DRA")</f>
        <v>0</v>
      </c>
      <c r="AQ39" s="50">
        <f ca="1">+GETPIVOTDATA("XLL4",'langlon (2016)'!$A$3,"MA_HT","DCH","MA_QH","ONT")</f>
        <v>0</v>
      </c>
      <c r="AR39" s="50">
        <f ca="1">+GETPIVOTDATA("XLL4",'langlon (2016)'!$A$3,"MA_HT","DCH","MA_QH","ODT")</f>
        <v>0</v>
      </c>
      <c r="AS39" s="50">
        <f ca="1">+GETPIVOTDATA("XLL4",'langlon (2016)'!$A$3,"MA_HT","DCH","MA_QH","TSC")</f>
        <v>0</v>
      </c>
      <c r="AT39" s="50">
        <f ca="1">+GETPIVOTDATA("XLL4",'langlon (2016)'!$A$3,"MA_HT","DCH","MA_QH","DTS")</f>
        <v>0</v>
      </c>
      <c r="AU39" s="50">
        <f ca="1">+GETPIVOTDATA("XLL4",'langlon (2016)'!$A$3,"MA_HT","DCH","MA_QH","DNG")</f>
        <v>0</v>
      </c>
      <c r="AV39" s="50">
        <f ca="1">+GETPIVOTDATA("XLL4",'langlon (2016)'!$A$3,"MA_HT","DCH","MA_QH","TON")</f>
        <v>0</v>
      </c>
      <c r="AW39" s="50">
        <f ca="1">+GETPIVOTDATA("XLL4",'langlon (2016)'!$A$3,"MA_HT","DCH","MA_QH","NTD")</f>
        <v>0</v>
      </c>
      <c r="AX39" s="50">
        <f ca="1">+GETPIVOTDATA("XLL4",'langlon (2016)'!$A$3,"MA_HT","DCH","MA_QH","SKX")</f>
        <v>0</v>
      </c>
      <c r="AY39" s="50">
        <f ca="1">+GETPIVOTDATA("XLL4",'langlon (2016)'!$A$3,"MA_HT","DCH","MA_QH","DSH")</f>
        <v>0</v>
      </c>
      <c r="AZ39" s="50">
        <f ca="1">+GETPIVOTDATA("XLL4",'langlon (2016)'!$A$3,"MA_HT","DCH","MA_QH","DKV")</f>
        <v>0</v>
      </c>
      <c r="BA39" s="88">
        <f ca="1">+GETPIVOTDATA("XLL4",'langlon (2016)'!$A$3,"MA_HT","DCH","MA_QH","TIN")</f>
        <v>0</v>
      </c>
      <c r="BB39" s="50">
        <f ca="1">+GETPIVOTDATA("XLL4",'langlon (2016)'!$A$3,"MA_HT","DCH","MA_QH","SON")</f>
        <v>0</v>
      </c>
      <c r="BC39" s="50">
        <f ca="1">+GETPIVOTDATA("XLL4",'langlon (2016)'!$A$3,"MA_HT","DCH","MA_QH","MNC")</f>
        <v>0</v>
      </c>
      <c r="BD39" s="50">
        <f ca="1">+GETPIVOTDATA("XLL4",'langlon (2016)'!$A$3,"MA_HT","DCH","MA_QH","PNK")</f>
        <v>0</v>
      </c>
      <c r="BE39" s="80">
        <f ca="1">+GETPIVOTDATA("XLL4",'langlon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+GETPIVOTDATA("XLL4",'langlon (2016)'!$A$3,"MA_HT","DKG","MA_QH","LUC")</f>
        <v>0</v>
      </c>
      <c r="H40" s="50">
        <f ca="1">+GETPIVOTDATA("XLL4",'langlon (2016)'!$A$3,"MA_HT","DKG","MA_QH","LUK")</f>
        <v>0</v>
      </c>
      <c r="I40" s="50">
        <f ca="1">+GETPIVOTDATA("XLL4",'langlon (2016)'!$A$3,"MA_HT","DKG","MA_QH","LUN")</f>
        <v>0</v>
      </c>
      <c r="J40" s="50">
        <f ca="1">+GETPIVOTDATA("XLL4",'langlon (2016)'!$A$3,"MA_HT","DKG","MA_QH","HNK")</f>
        <v>0</v>
      </c>
      <c r="K40" s="50">
        <f ca="1">+GETPIVOTDATA("XLL4",'langlon (2016)'!$A$3,"MA_HT","DKG","MA_QH","CLN")</f>
        <v>0</v>
      </c>
      <c r="L40" s="50">
        <f ca="1">+GETPIVOTDATA("XLL4",'langlon (2016)'!$A$3,"MA_HT","DKG","MA_QH","RSX")</f>
        <v>0</v>
      </c>
      <c r="M40" s="50">
        <f ca="1">+GETPIVOTDATA("XLL4",'langlon (2016)'!$A$3,"MA_HT","DKG","MA_QH","RPH")</f>
        <v>0</v>
      </c>
      <c r="N40" s="50">
        <f ca="1">+GETPIVOTDATA("XLL4",'langlon (2016)'!$A$3,"MA_HT","DKG","MA_QH","RDD")</f>
        <v>0</v>
      </c>
      <c r="O40" s="50">
        <f ca="1">+GETPIVOTDATA("XLL4",'langlon (2016)'!$A$3,"MA_HT","DKG","MA_QH","NTS")</f>
        <v>0</v>
      </c>
      <c r="P40" s="50">
        <f ca="1">+GETPIVOTDATA("XLL4",'langlon (2016)'!$A$3,"MA_HT","DKG","MA_QH","LMU")</f>
        <v>0</v>
      </c>
      <c r="Q40" s="50">
        <f ca="1">+GETPIVOTDATA("XLL4",'langlon (2016)'!$A$3,"MA_HT","DKG","MA_QH","NKH")</f>
        <v>0</v>
      </c>
      <c r="R40" s="48">
        <f ca="1" t="shared" si="20"/>
        <v>0</v>
      </c>
      <c r="S40" s="50">
        <f ca="1">+GETPIVOTDATA("XLL4",'langlon (2016)'!$A$3,"MA_HT","DKG","MA_QH","CQP")</f>
        <v>0</v>
      </c>
      <c r="T40" s="50">
        <f ca="1">+GETPIVOTDATA("XLL4",'langlon (2016)'!$A$3,"MA_HT","DKG","MA_QH","CAN")</f>
        <v>0</v>
      </c>
      <c r="U40" s="50">
        <f ca="1">+GETPIVOTDATA("XLL4",'langlon (2016)'!$A$3,"MA_HT","DKG","MA_QH","SKK")</f>
        <v>0</v>
      </c>
      <c r="V40" s="50">
        <f ca="1">+GETPIVOTDATA("XLL4",'langlon (2016)'!$A$3,"MA_HT","DKG","MA_QH","SKT")</f>
        <v>0</v>
      </c>
      <c r="W40" s="50">
        <f ca="1">+GETPIVOTDATA("XLL4",'langlon (2016)'!$A$3,"MA_HT","DKG","MA_QH","SKN")</f>
        <v>0</v>
      </c>
      <c r="X40" s="50">
        <f ca="1">+GETPIVOTDATA("XLL4",'langlon (2016)'!$A$3,"MA_HT","DKG","MA_QH","TMD")</f>
        <v>0</v>
      </c>
      <c r="Y40" s="50">
        <f ca="1">+GETPIVOTDATA("XLL4",'langlon (2016)'!$A$3,"MA_HT","DKG","MA_QH","SKC")</f>
        <v>0</v>
      </c>
      <c r="Z40" s="50">
        <f ca="1">+GETPIVOTDATA("XLL4",'langlon (2016)'!$A$3,"MA_HT","DKG","MA_QH","SKS")</f>
        <v>0</v>
      </c>
      <c r="AA40" s="52">
        <f ca="1">+SUM(AB40:AL40)</f>
        <v>0</v>
      </c>
      <c r="AB40" s="50">
        <f ca="1">+GETPIVOTDATA("XLL4",'langlon (2016)'!$A$3,"MA_HT","DKG","MA_QH","DGT")</f>
        <v>0</v>
      </c>
      <c r="AC40" s="50">
        <f ca="1">+GETPIVOTDATA("XLL4",'langlon (2016)'!$A$3,"MA_HT","DKG","MA_QH","DTL")</f>
        <v>0</v>
      </c>
      <c r="AD40" s="50">
        <f ca="1">+GETPIVOTDATA("XLL4",'langlon (2016)'!$A$3,"MA_HT","DKG","MA_QH","DNL")</f>
        <v>0</v>
      </c>
      <c r="AE40" s="50">
        <f ca="1">+GETPIVOTDATA("XLL4",'langlon (2016)'!$A$3,"MA_HT","DKG","MA_QH","DBV")</f>
        <v>0</v>
      </c>
      <c r="AF40" s="50">
        <f ca="1">+GETPIVOTDATA("XLL4",'langlon (2016)'!$A$3,"MA_HT","DKG","MA_QH","DVH")</f>
        <v>0</v>
      </c>
      <c r="AG40" s="50">
        <f ca="1">+GETPIVOTDATA("XLL4",'langlon (2016)'!$A$3,"MA_HT","DKG","MA_QH","DYT")</f>
        <v>0</v>
      </c>
      <c r="AH40" s="50">
        <f ca="1">+GETPIVOTDATA("XLL4",'langlon (2016)'!$A$3,"MA_HT","DKG","MA_QH","DGD")</f>
        <v>0</v>
      </c>
      <c r="AI40" s="50">
        <f ca="1">+GETPIVOTDATA("XLL4",'langlon (2016)'!$A$3,"MA_HT","DKG","MA_QH","DTT")</f>
        <v>0</v>
      </c>
      <c r="AJ40" s="50">
        <f ca="1">+GETPIVOTDATA("XLL4",'langlon (2016)'!$A$3,"MA_HT","DKG","MA_QH","NCK")</f>
        <v>0</v>
      </c>
      <c r="AK40" s="50">
        <f ca="1">+GETPIVOTDATA("XLL4",'langlon (2016)'!$A$3,"MA_HT","DKG","MA_QH","DXH")</f>
        <v>0</v>
      </c>
      <c r="AL40" s="60">
        <f ca="1">+GETPIVOTDATA("XLL4",'langlon (2016)'!$A$3,"MA_HT","DDT","MA_QH","DKG")</f>
        <v>0</v>
      </c>
      <c r="AM40" s="49" t="e">
        <f ca="1">$D40-$BF40</f>
        <v>#REF!</v>
      </c>
      <c r="AN40" s="50">
        <f ca="1">+GETPIVOTDATA("XLL4",'langlon (2016)'!$A$3,"MA_HT","DKG","MA_QH","DDT")</f>
        <v>0</v>
      </c>
      <c r="AO40" s="50">
        <f ca="1">+GETPIVOTDATA("XLL4",'langlon (2016)'!$A$3,"MA_HT","DKG","MA_QH","DDL")</f>
        <v>0</v>
      </c>
      <c r="AP40" s="50">
        <f ca="1">+GETPIVOTDATA("XLL4",'langlon (2016)'!$A$3,"MA_HT","DKG","MA_QH","DRA")</f>
        <v>0</v>
      </c>
      <c r="AQ40" s="50">
        <f ca="1">+GETPIVOTDATA("XLL4",'langlon (2016)'!$A$3,"MA_HT","DKG","MA_QH","ONT")</f>
        <v>0</v>
      </c>
      <c r="AR40" s="50">
        <f ca="1">+GETPIVOTDATA("XLL4",'langlon (2016)'!$A$3,"MA_HT","DKG","MA_QH","ODT")</f>
        <v>0</v>
      </c>
      <c r="AS40" s="50">
        <f ca="1">+GETPIVOTDATA("XLL4",'langlon (2016)'!$A$3,"MA_HT","DKG","MA_QH","TSC")</f>
        <v>0</v>
      </c>
      <c r="AT40" s="50">
        <f ca="1">+GETPIVOTDATA("XLL4",'langlon (2016)'!$A$3,"MA_HT","DKG","MA_QH","DTS")</f>
        <v>0</v>
      </c>
      <c r="AU40" s="50">
        <f ca="1">+GETPIVOTDATA("XLL4",'langlon (2016)'!$A$3,"MA_HT","DKG","MA_QH","DNG")</f>
        <v>0</v>
      </c>
      <c r="AV40" s="50">
        <f ca="1">+GETPIVOTDATA("XLL4",'langlon (2016)'!$A$3,"MA_HT","DKG","MA_QH","TON")</f>
        <v>0</v>
      </c>
      <c r="AW40" s="50">
        <f ca="1">+GETPIVOTDATA("XLL4",'langlon (2016)'!$A$3,"MA_HT","DKG","MA_QH","NTD")</f>
        <v>0</v>
      </c>
      <c r="AX40" s="50">
        <f ca="1">+GETPIVOTDATA("XLL4",'langlon (2016)'!$A$3,"MA_HT","DKG","MA_QH","SKX")</f>
        <v>0</v>
      </c>
      <c r="AY40" s="50">
        <f ca="1">+GETPIVOTDATA("XLL4",'langlon (2016)'!$A$3,"MA_HT","DKG","MA_QH","DSH")</f>
        <v>0</v>
      </c>
      <c r="AZ40" s="50">
        <f ca="1">+GETPIVOTDATA("XLL4",'langlon (2016)'!$A$3,"MA_HT","DKG","MA_QH","DKV")</f>
        <v>0</v>
      </c>
      <c r="BA40" s="88">
        <f ca="1">+GETPIVOTDATA("XLL4",'langlon (2016)'!$A$3,"MA_HT","DKG","MA_QH","TIN")</f>
        <v>0</v>
      </c>
      <c r="BB40" s="50">
        <f ca="1">+GETPIVOTDATA("XLL4",'langlon (2016)'!$A$3,"MA_HT","DKG","MA_QH","SON")</f>
        <v>0</v>
      </c>
      <c r="BC40" s="50">
        <f ca="1">+GETPIVOTDATA("XLL4",'langlon (2016)'!$A$3,"MA_HT","DKG","MA_QH","MNC")</f>
        <v>0</v>
      </c>
      <c r="BD40" s="50">
        <f ca="1">+GETPIVOTDATA("XLL4",'langlon (2016)'!$A$3,"MA_HT","DKG","MA_QH","PNK")</f>
        <v>0</v>
      </c>
      <c r="BE40" s="80">
        <f ca="1">+GETPIVOTDATA("XLL4",'langlon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+GETPIVOTDATA("XLL4",'langlon (2016)'!$A$3,"MA_HT","DDT","MA_QH","LUC")</f>
        <v>0</v>
      </c>
      <c r="H41" s="60">
        <f ca="1">+GETPIVOTDATA("XLL4",'langlon (2016)'!$A$3,"MA_HT","DDT","MA_QH","LUK")</f>
        <v>0</v>
      </c>
      <c r="I41" s="60">
        <f ca="1">+GETPIVOTDATA("XLL4",'langlon (2016)'!$A$3,"MA_HT","DDT","MA_QH","LUN")</f>
        <v>0</v>
      </c>
      <c r="J41" s="60">
        <f ca="1">+GETPIVOTDATA("XLL4",'langlon (2016)'!$A$3,"MA_HT","DDT","MA_QH","HNK")</f>
        <v>0</v>
      </c>
      <c r="K41" s="60">
        <f ca="1">+GETPIVOTDATA("XLL4",'langlon (2016)'!$A$3,"MA_HT","DDT","MA_QH","CLN")</f>
        <v>0</v>
      </c>
      <c r="L41" s="60">
        <f ca="1">+GETPIVOTDATA("XLL4",'langlon (2016)'!$A$3,"MA_HT","DDT","MA_QH","RSX")</f>
        <v>0</v>
      </c>
      <c r="M41" s="60">
        <f ca="1">+GETPIVOTDATA("XLL4",'langlon (2016)'!$A$3,"MA_HT","DDT","MA_QH","RPH")</f>
        <v>0</v>
      </c>
      <c r="N41" s="60">
        <f ca="1">+GETPIVOTDATA("XLL4",'langlon (2016)'!$A$3,"MA_HT","DDT","MA_QH","RDD")</f>
        <v>0</v>
      </c>
      <c r="O41" s="60">
        <f ca="1">+GETPIVOTDATA("XLL4",'langlon (2016)'!$A$3,"MA_HT","DDT","MA_QH","NTS")</f>
        <v>0</v>
      </c>
      <c r="P41" s="60">
        <f ca="1">+GETPIVOTDATA("XLL4",'langlon (2016)'!$A$3,"MA_HT","DDT","MA_QH","LMU")</f>
        <v>0</v>
      </c>
      <c r="Q41" s="60">
        <f ca="1">+GETPIVOTDATA("XLL4",'langlon (2016)'!$A$3,"MA_HT","DDT","MA_QH","NKH")</f>
        <v>0</v>
      </c>
      <c r="R41" s="78">
        <f ca="1">SUM(S41:AA41,AO41:BD41)</f>
        <v>0</v>
      </c>
      <c r="S41" s="60">
        <f ca="1">+GETPIVOTDATA("XLL4",'langlon (2016)'!$A$3,"MA_HT","DDT","MA_QH","CQP")</f>
        <v>0</v>
      </c>
      <c r="T41" s="60">
        <f ca="1">+GETPIVOTDATA("XLL4",'langlon (2016)'!$A$3,"MA_HT","DDT","MA_QH","CAN")</f>
        <v>0</v>
      </c>
      <c r="U41" s="60">
        <f ca="1">+GETPIVOTDATA("XLL4",'langlon (2016)'!$A$3,"MA_HT","DDT","MA_QH","SKK")</f>
        <v>0</v>
      </c>
      <c r="V41" s="60">
        <f ca="1">+GETPIVOTDATA("XLL4",'langlon (2016)'!$A$3,"MA_HT","DDT","MA_QH","SKT")</f>
        <v>0</v>
      </c>
      <c r="W41" s="60">
        <f ca="1">+GETPIVOTDATA("XLL4",'langlon (2016)'!$A$3,"MA_HT","DDT","MA_QH","SKN")</f>
        <v>0</v>
      </c>
      <c r="X41" s="60">
        <f ca="1">+GETPIVOTDATA("XLL4",'langlon (2016)'!$A$3,"MA_HT","DDT","MA_QH","TMD")</f>
        <v>0</v>
      </c>
      <c r="Y41" s="60">
        <f ca="1">+GETPIVOTDATA("XLL4",'langlon (2016)'!$A$3,"MA_HT","DDT","MA_QH","SKC")</f>
        <v>0</v>
      </c>
      <c r="Z41" s="60">
        <f ca="1">+GETPIVOTDATA("XLL4",'langlon (2016)'!$A$3,"MA_HT","DDT","MA_QH","SKS")</f>
        <v>0</v>
      </c>
      <c r="AA41" s="59">
        <f ca="1" t="shared" ref="AA41:AA58" si="21">+SUM(AB41:AM41)</f>
        <v>0</v>
      </c>
      <c r="AB41" s="60">
        <f ca="1">+GETPIVOTDATA("XLL4",'langlon (2016)'!$A$3,"MA_HT","DDT","MA_QH","DGT")</f>
        <v>0</v>
      </c>
      <c r="AC41" s="60">
        <f ca="1">+GETPIVOTDATA("XLL4",'langlon (2016)'!$A$3,"MA_HT","DDT","MA_QH","DTL")</f>
        <v>0</v>
      </c>
      <c r="AD41" s="60">
        <f ca="1">+GETPIVOTDATA("XLL4",'langlon (2016)'!$A$3,"MA_HT","DDT","MA_QH","DNL")</f>
        <v>0</v>
      </c>
      <c r="AE41" s="60">
        <f ca="1">+GETPIVOTDATA("XLL4",'langlon (2016)'!$A$3,"MA_HT","DDT","MA_QH","DBV")</f>
        <v>0</v>
      </c>
      <c r="AF41" s="60">
        <f ca="1">+GETPIVOTDATA("XLL4",'langlon (2016)'!$A$3,"MA_HT","DDT","MA_QH","DVH")</f>
        <v>0</v>
      </c>
      <c r="AG41" s="60">
        <f ca="1">+GETPIVOTDATA("XLL4",'langlon (2016)'!$A$3,"MA_HT","DDT","MA_QH","DYT")</f>
        <v>0</v>
      </c>
      <c r="AH41" s="60">
        <f ca="1">+GETPIVOTDATA("XLL4",'langlon (2016)'!$A$3,"MA_HT","DDT","MA_QH","DGD")</f>
        <v>0</v>
      </c>
      <c r="AI41" s="60">
        <f ca="1">+GETPIVOTDATA("XLL4",'langlon (2016)'!$A$3,"MA_HT","DDT","MA_QH","DTT")</f>
        <v>0</v>
      </c>
      <c r="AJ41" s="60">
        <f ca="1">+GETPIVOTDATA("XLL4",'langlon (2016)'!$A$3,"MA_HT","DDT","MA_QH","NCK")</f>
        <v>0</v>
      </c>
      <c r="AK41" s="60">
        <f ca="1">+GETPIVOTDATA("XLL4",'langlon (2016)'!$A$3,"MA_HT","DDT","MA_QH","DXH")</f>
        <v>0</v>
      </c>
      <c r="AL41" s="60">
        <f ca="1">+GETPIVOTDATA("XLL4",'langlon (2016)'!$A$3,"MA_HT","DDT","MA_QH","DCH")</f>
        <v>0</v>
      </c>
      <c r="AM41" s="60">
        <f ca="1">+GETPIVOTDATA("XLL4",'langlon (2016)'!$A$3,"MA_HT","DDT","MA_QH","DKG")</f>
        <v>0</v>
      </c>
      <c r="AN41" s="81" t="e">
        <f ca="1">$D41-$BF41</f>
        <v>#REF!</v>
      </c>
      <c r="AO41" s="60">
        <f ca="1">+GETPIVOTDATA("XLL4",'langlon (2016)'!$A$3,"MA_HT","DDT","MA_QH","DDL")</f>
        <v>0</v>
      </c>
      <c r="AP41" s="60">
        <f ca="1">+GETPIVOTDATA("XLL4",'langlon (2016)'!$A$3,"MA_HT","DDT","MA_QH","DRA")</f>
        <v>0</v>
      </c>
      <c r="AQ41" s="60">
        <f ca="1">+GETPIVOTDATA("XLL4",'langlon (2016)'!$A$3,"MA_HT","DDT","MA_QH","ONT")</f>
        <v>0</v>
      </c>
      <c r="AR41" s="60">
        <f ca="1">+GETPIVOTDATA("XLL4",'langlon (2016)'!$A$3,"MA_HT","DDT","MA_QH","ODT")</f>
        <v>0</v>
      </c>
      <c r="AS41" s="60">
        <f ca="1">+GETPIVOTDATA("XLL4",'langlon (2016)'!$A$3,"MA_HT","DDT","MA_QH","TSC")</f>
        <v>0</v>
      </c>
      <c r="AT41" s="60">
        <f ca="1">+GETPIVOTDATA("XLL4",'langlon (2016)'!$A$3,"MA_HT","DDT","MA_QH","DTS")</f>
        <v>0</v>
      </c>
      <c r="AU41" s="60">
        <f ca="1">+GETPIVOTDATA("XLL4",'langlon (2016)'!$A$3,"MA_HT","DDT","MA_QH","DNG")</f>
        <v>0</v>
      </c>
      <c r="AV41" s="60">
        <f ca="1">+GETPIVOTDATA("XLL4",'langlon (2016)'!$A$3,"MA_HT","DDT","MA_QH","TON")</f>
        <v>0</v>
      </c>
      <c r="AW41" s="60">
        <f ca="1">+GETPIVOTDATA("XLL4",'langlon (2016)'!$A$3,"MA_HT","DDT","MA_QH","NTD")</f>
        <v>0</v>
      </c>
      <c r="AX41" s="60">
        <f ca="1">+GETPIVOTDATA("XLL4",'langlon (2016)'!$A$3,"MA_HT","DDT","MA_QH","SKX")</f>
        <v>0</v>
      </c>
      <c r="AY41" s="60">
        <f ca="1">+GETPIVOTDATA("XLL4",'langlon (2016)'!$A$3,"MA_HT","DDT","MA_QH","DSH")</f>
        <v>0</v>
      </c>
      <c r="AZ41" s="60">
        <f ca="1">+GETPIVOTDATA("XLL4",'langlon (2016)'!$A$3,"MA_HT","DDT","MA_QH","DKV")</f>
        <v>0</v>
      </c>
      <c r="BA41" s="90">
        <f ca="1">+GETPIVOTDATA("XLL4",'langlon (2016)'!$A$3,"MA_HT","DDT","MA_QH","TIN")</f>
        <v>0</v>
      </c>
      <c r="BB41" s="91">
        <f ca="1">+GETPIVOTDATA("XLL4",'langlon (2016)'!$A$3,"MA_HT","DDT","MA_QH","SON")</f>
        <v>0</v>
      </c>
      <c r="BC41" s="91">
        <f ca="1">+GETPIVOTDATA("XLL4",'langlon (2016)'!$A$3,"MA_HT","DDT","MA_QH","MNC")</f>
        <v>0</v>
      </c>
      <c r="BD41" s="60">
        <f ca="1">+GETPIVOTDATA("XLL4",'langlon (2016)'!$A$3,"MA_HT","DDT","MA_QH","PNK")</f>
        <v>0</v>
      </c>
      <c r="BE41" s="111">
        <f ca="1">+GETPIVOTDATA("XLL4",'langlon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+GETPIVOTDATA("XLL4",'langlon (2016)'!$A$3,"MA_HT","DDL","MA_QH","LUC")</f>
        <v>0</v>
      </c>
      <c r="H42" s="22">
        <f ca="1">+GETPIVOTDATA("XLL4",'langlon (2016)'!$A$3,"MA_HT","DDL","MA_QH","LUK")</f>
        <v>0</v>
      </c>
      <c r="I42" s="22">
        <f ca="1">+GETPIVOTDATA("XLL4",'langlon (2016)'!$A$3,"MA_HT","DDL","MA_QH","LUN")</f>
        <v>0</v>
      </c>
      <c r="J42" s="22">
        <f ca="1">+GETPIVOTDATA("XLL4",'langlon (2016)'!$A$3,"MA_HT","DDL","MA_QH","HNK")</f>
        <v>0</v>
      </c>
      <c r="K42" s="22">
        <f ca="1">+GETPIVOTDATA("XLL4",'langlon (2016)'!$A$3,"MA_HT","DDL","MA_QH","CLN")</f>
        <v>0</v>
      </c>
      <c r="L42" s="22">
        <f ca="1">+GETPIVOTDATA("XLL4",'langlon (2016)'!$A$3,"MA_HT","DDL","MA_QH","RSX")</f>
        <v>0</v>
      </c>
      <c r="M42" s="22">
        <f ca="1">+GETPIVOTDATA("XLL4",'langlon (2016)'!$A$3,"MA_HT","DDL","MA_QH","RPH")</f>
        <v>0</v>
      </c>
      <c r="N42" s="22">
        <f ca="1">+GETPIVOTDATA("XLL4",'langlon (2016)'!$A$3,"MA_HT","DDL","MA_QH","RDD")</f>
        <v>0</v>
      </c>
      <c r="O42" s="22">
        <f ca="1">+GETPIVOTDATA("XLL4",'langlon (2016)'!$A$3,"MA_HT","DDL","MA_QH","NTS")</f>
        <v>0</v>
      </c>
      <c r="P42" s="22">
        <f ca="1">+GETPIVOTDATA("XLL4",'langlon (2016)'!$A$3,"MA_HT","DDL","MA_QH","LMU")</f>
        <v>0</v>
      </c>
      <c r="Q42" s="22">
        <f ca="1">+GETPIVOTDATA("XLL4",'langlon (2016)'!$A$3,"MA_HT","DDL","MA_QH","NKH")</f>
        <v>0</v>
      </c>
      <c r="R42" s="79">
        <f ca="1">SUM(S42:AA42,AN42,AP42:BD42)</f>
        <v>0</v>
      </c>
      <c r="S42" s="22">
        <f ca="1">+GETPIVOTDATA("XLL4",'langlon (2016)'!$A$3,"MA_HT","DDL","MA_QH","CQP")</f>
        <v>0</v>
      </c>
      <c r="T42" s="22">
        <f ca="1">+GETPIVOTDATA("XLL4",'langlon (2016)'!$A$3,"MA_HT","DDL","MA_QH","CAN")</f>
        <v>0</v>
      </c>
      <c r="U42" s="22">
        <f ca="1">+GETPIVOTDATA("XLL4",'langlon (2016)'!$A$3,"MA_HT","DDL","MA_QH","SKK")</f>
        <v>0</v>
      </c>
      <c r="V42" s="22">
        <f ca="1">+GETPIVOTDATA("XLL4",'langlon (2016)'!$A$3,"MA_HT","DDL","MA_QH","SKT")</f>
        <v>0</v>
      </c>
      <c r="W42" s="22">
        <f ca="1">+GETPIVOTDATA("XLL4",'langlon (2016)'!$A$3,"MA_HT","DDL","MA_QH","SKN")</f>
        <v>0</v>
      </c>
      <c r="X42" s="22">
        <f ca="1">+GETPIVOTDATA("XLL4",'langlon (2016)'!$A$3,"MA_HT","DDL","MA_QH","TMD")</f>
        <v>0</v>
      </c>
      <c r="Y42" s="22">
        <f ca="1">+GETPIVOTDATA("XLL4",'langlon (2016)'!$A$3,"MA_HT","DDL","MA_QH","SKC")</f>
        <v>0</v>
      </c>
      <c r="Z42" s="22">
        <f ca="1">+GETPIVOTDATA("XLL4",'langlon (2016)'!$A$3,"MA_HT","DDL","MA_QH","SKS")</f>
        <v>0</v>
      </c>
      <c r="AA42" s="52">
        <f ca="1" t="shared" si="21"/>
        <v>0</v>
      </c>
      <c r="AB42" s="22">
        <f ca="1">+GETPIVOTDATA("XLL4",'langlon (2016)'!$A$3,"MA_HT","DDL","MA_QH","DGT")</f>
        <v>0</v>
      </c>
      <c r="AC42" s="22">
        <f ca="1">+GETPIVOTDATA("XLL4",'langlon (2016)'!$A$3,"MA_HT","DDL","MA_QH","DTL")</f>
        <v>0</v>
      </c>
      <c r="AD42" s="22">
        <f ca="1">+GETPIVOTDATA("XLL4",'langlon (2016)'!$A$3,"MA_HT","DDL","MA_QH","DNL")</f>
        <v>0</v>
      </c>
      <c r="AE42" s="22">
        <f ca="1">+GETPIVOTDATA("XLL4",'langlon (2016)'!$A$3,"MA_HT","DDL","MA_QH","DBV")</f>
        <v>0</v>
      </c>
      <c r="AF42" s="22">
        <f ca="1">+GETPIVOTDATA("XLL4",'langlon (2016)'!$A$3,"MA_HT","DDL","MA_QH","DVH")</f>
        <v>0</v>
      </c>
      <c r="AG42" s="22">
        <f ca="1">+GETPIVOTDATA("XLL4",'langlon (2016)'!$A$3,"MA_HT","DDL","MA_QH","DYT")</f>
        <v>0</v>
      </c>
      <c r="AH42" s="22">
        <f ca="1">+GETPIVOTDATA("XLL4",'langlon (2016)'!$A$3,"MA_HT","DDL","MA_QH","DGD")</f>
        <v>0</v>
      </c>
      <c r="AI42" s="22">
        <f ca="1">+GETPIVOTDATA("XLL4",'langlon (2016)'!$A$3,"MA_HT","DDL","MA_QH","DTT")</f>
        <v>0</v>
      </c>
      <c r="AJ42" s="22">
        <f ca="1">+GETPIVOTDATA("XLL4",'langlon (2016)'!$A$3,"MA_HT","DDL","MA_QH","NCK")</f>
        <v>0</v>
      </c>
      <c r="AK42" s="22">
        <f ca="1">+GETPIVOTDATA("XLL4",'langlon (2016)'!$A$3,"MA_HT","DDL","MA_QH","DXH")</f>
        <v>0</v>
      </c>
      <c r="AL42" s="22">
        <f ca="1">+GETPIVOTDATA("XLL4",'langlon (2016)'!$A$3,"MA_HT","DDL","MA_QH","DCH")</f>
        <v>0</v>
      </c>
      <c r="AM42" s="22">
        <f ca="1">+GETPIVOTDATA("XLL4",'langlon (2016)'!$A$3,"MA_HT","DDL","MA_QH","DKG")</f>
        <v>0</v>
      </c>
      <c r="AN42" s="22">
        <f ca="1">+GETPIVOTDATA("XLL4",'langlon (2016)'!$A$3,"MA_HT","DDL","MA_QH","DDT")</f>
        <v>0</v>
      </c>
      <c r="AO42" s="43" t="e">
        <f ca="1">$D42-$BF42</f>
        <v>#REF!</v>
      </c>
      <c r="AP42" s="22">
        <f ca="1">+GETPIVOTDATA("XLL4",'langlon (2016)'!$A$3,"MA_HT","DDL","MA_QH","DRA")</f>
        <v>0</v>
      </c>
      <c r="AQ42" s="22">
        <f ca="1">+GETPIVOTDATA("XLL4",'langlon (2016)'!$A$3,"MA_HT","DDL","MA_QH","ONT")</f>
        <v>0</v>
      </c>
      <c r="AR42" s="22">
        <f ca="1">+GETPIVOTDATA("XLL4",'langlon (2016)'!$A$3,"MA_HT","DDL","MA_QH","ODT")</f>
        <v>0</v>
      </c>
      <c r="AS42" s="22">
        <f ca="1">+GETPIVOTDATA("XLL4",'langlon (2016)'!$A$3,"MA_HT","DDL","MA_QH","TSC")</f>
        <v>0</v>
      </c>
      <c r="AT42" s="22">
        <f ca="1">+GETPIVOTDATA("XLL4",'langlon (2016)'!$A$3,"MA_HT","DDL","MA_QH","DTS")</f>
        <v>0</v>
      </c>
      <c r="AU42" s="22">
        <f ca="1">+GETPIVOTDATA("XLL4",'langlon (2016)'!$A$3,"MA_HT","DDL","MA_QH","DNG")</f>
        <v>0</v>
      </c>
      <c r="AV42" s="22">
        <f ca="1">+GETPIVOTDATA("XLL4",'langlon (2016)'!$A$3,"MA_HT","DDL","MA_QH","TON")</f>
        <v>0</v>
      </c>
      <c r="AW42" s="22">
        <f ca="1">+GETPIVOTDATA("XLL4",'langlon (2016)'!$A$3,"MA_HT","DDL","MA_QH","NTD")</f>
        <v>0</v>
      </c>
      <c r="AX42" s="22">
        <f ca="1">+GETPIVOTDATA("XLL4",'langlon (2016)'!$A$3,"MA_HT","DDL","MA_QH","SKX")</f>
        <v>0</v>
      </c>
      <c r="AY42" s="22">
        <f ca="1">+GETPIVOTDATA("XLL4",'langlon (2016)'!$A$3,"MA_HT","DDL","MA_QH","DSH")</f>
        <v>0</v>
      </c>
      <c r="AZ42" s="22">
        <f ca="1">+GETPIVOTDATA("XLL4",'langlon (2016)'!$A$3,"MA_HT","DDL","MA_QH","DKV")</f>
        <v>0</v>
      </c>
      <c r="BA42" s="89">
        <f ca="1">+GETPIVOTDATA("XLL4",'langlon (2016)'!$A$3,"MA_HT","DDL","MA_QH","TIN")</f>
        <v>0</v>
      </c>
      <c r="BB42" s="50">
        <f ca="1">+GETPIVOTDATA("XLL4",'langlon (2016)'!$A$3,"MA_HT","DDL","MA_QH","SON")</f>
        <v>0</v>
      </c>
      <c r="BC42" s="50">
        <f ca="1">+GETPIVOTDATA("XLL4",'langlon (2016)'!$A$3,"MA_HT","DDL","MA_QH","MNC")</f>
        <v>0</v>
      </c>
      <c r="BD42" s="22">
        <f ca="1">+GETPIVOTDATA("XLL4",'langlon (2016)'!$A$3,"MA_HT","DDL","MA_QH","PNK")</f>
        <v>0</v>
      </c>
      <c r="BE42" s="71">
        <f ca="1">+GETPIVOTDATA("XLL4",'langlon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+GETPIVOTDATA("XLL4",'langlon (2016)'!$A$3,"MA_HT","DRA","MA_QH","LUC")</f>
        <v>0</v>
      </c>
      <c r="H43" s="22">
        <f ca="1">+GETPIVOTDATA("XLL4",'langlon (2016)'!$A$3,"MA_HT","DRA","MA_QH","LUK")</f>
        <v>0</v>
      </c>
      <c r="I43" s="22">
        <f ca="1">+GETPIVOTDATA("XLL4",'langlon (2016)'!$A$3,"MA_HT","DRA","MA_QH","LUN")</f>
        <v>0</v>
      </c>
      <c r="J43" s="22">
        <f ca="1">+GETPIVOTDATA("XLL4",'langlon (2016)'!$A$3,"MA_HT","DRA","MA_QH","HNK")</f>
        <v>0</v>
      </c>
      <c r="K43" s="22">
        <f ca="1">+GETPIVOTDATA("XLL4",'langlon (2016)'!$A$3,"MA_HT","DRA","MA_QH","CLN")</f>
        <v>0</v>
      </c>
      <c r="L43" s="22">
        <f ca="1">+GETPIVOTDATA("XLL4",'langlon (2016)'!$A$3,"MA_HT","DRA","MA_QH","RSX")</f>
        <v>0</v>
      </c>
      <c r="M43" s="22">
        <f ca="1">+GETPIVOTDATA("XLL4",'langlon (2016)'!$A$3,"MA_HT","DRA","MA_QH","RPH")</f>
        <v>0</v>
      </c>
      <c r="N43" s="22">
        <f ca="1">+GETPIVOTDATA("XLL4",'langlon (2016)'!$A$3,"MA_HT","DRA","MA_QH","RDD")</f>
        <v>0</v>
      </c>
      <c r="O43" s="22">
        <f ca="1">+GETPIVOTDATA("XLL4",'langlon (2016)'!$A$3,"MA_HT","DRA","MA_QH","NTS")</f>
        <v>0</v>
      </c>
      <c r="P43" s="22">
        <f ca="1">+GETPIVOTDATA("XLL4",'langlon (2016)'!$A$3,"MA_HT","DRA","MA_QH","LMU")</f>
        <v>0</v>
      </c>
      <c r="Q43" s="22">
        <f ca="1">+GETPIVOTDATA("XLL4",'langlon (2016)'!$A$3,"MA_HT","DRA","MA_QH","NKH")</f>
        <v>0</v>
      </c>
      <c r="R43" s="79">
        <f ca="1">SUM(S43:AA43,AN43:AO43,AQ43:BD43)</f>
        <v>0</v>
      </c>
      <c r="S43" s="22">
        <f ca="1">+GETPIVOTDATA("XLL4",'langlon (2016)'!$A$3,"MA_HT","DRA","MA_QH","CQP")</f>
        <v>0</v>
      </c>
      <c r="T43" s="22">
        <f ca="1">+GETPIVOTDATA("XLL4",'langlon (2016)'!$A$3,"MA_HT","DRA","MA_QH","CAN")</f>
        <v>0</v>
      </c>
      <c r="U43" s="22">
        <f ca="1">+GETPIVOTDATA("XLL4",'langlon (2016)'!$A$3,"MA_HT","DRA","MA_QH","SKK")</f>
        <v>0</v>
      </c>
      <c r="V43" s="22">
        <f ca="1">+GETPIVOTDATA("XLL4",'langlon (2016)'!$A$3,"MA_HT","DRA","MA_QH","SKT")</f>
        <v>0</v>
      </c>
      <c r="W43" s="22">
        <f ca="1">+GETPIVOTDATA("XLL4",'langlon (2016)'!$A$3,"MA_HT","DRA","MA_QH","SKN")</f>
        <v>0</v>
      </c>
      <c r="X43" s="22">
        <f ca="1">+GETPIVOTDATA("XLL4",'langlon (2016)'!$A$3,"MA_HT","DRA","MA_QH","TMD")</f>
        <v>0</v>
      </c>
      <c r="Y43" s="22">
        <f ca="1">+GETPIVOTDATA("XLL4",'langlon (2016)'!$A$3,"MA_HT","DRA","MA_QH","SKC")</f>
        <v>0</v>
      </c>
      <c r="Z43" s="22">
        <f ca="1">+GETPIVOTDATA("XLL4",'langlon (2016)'!$A$3,"MA_HT","DRA","MA_QH","SKS")</f>
        <v>0</v>
      </c>
      <c r="AA43" s="52">
        <f ca="1" t="shared" si="21"/>
        <v>0</v>
      </c>
      <c r="AB43" s="22">
        <f ca="1">+GETPIVOTDATA("XLL4",'langlon (2016)'!$A$3,"MA_HT","DRA","MA_QH","DGT")</f>
        <v>0</v>
      </c>
      <c r="AC43" s="22">
        <f ca="1">+GETPIVOTDATA("XLL4",'langlon (2016)'!$A$3,"MA_HT","DRA","MA_QH","DTL")</f>
        <v>0</v>
      </c>
      <c r="AD43" s="22">
        <f ca="1">+GETPIVOTDATA("XLL4",'langlon (2016)'!$A$3,"MA_HT","DRA","MA_QH","DNL")</f>
        <v>0</v>
      </c>
      <c r="AE43" s="22">
        <f ca="1">+GETPIVOTDATA("XLL4",'langlon (2016)'!$A$3,"MA_HT","DRA","MA_QH","DBV")</f>
        <v>0</v>
      </c>
      <c r="AF43" s="22">
        <f ca="1">+GETPIVOTDATA("XLL4",'langlon (2016)'!$A$3,"MA_HT","DRA","MA_QH","DVH")</f>
        <v>0</v>
      </c>
      <c r="AG43" s="22">
        <f ca="1">+GETPIVOTDATA("XLL4",'langlon (2016)'!$A$3,"MA_HT","DRA","MA_QH","DYT")</f>
        <v>0</v>
      </c>
      <c r="AH43" s="22">
        <f ca="1">+GETPIVOTDATA("XLL4",'langlon (2016)'!$A$3,"MA_HT","DRA","MA_QH","DGD")</f>
        <v>0</v>
      </c>
      <c r="AI43" s="22">
        <f ca="1">+GETPIVOTDATA("XLL4",'langlon (2016)'!$A$3,"MA_HT","DRA","MA_QH","DTT")</f>
        <v>0</v>
      </c>
      <c r="AJ43" s="22">
        <f ca="1">+GETPIVOTDATA("XLL4",'langlon (2016)'!$A$3,"MA_HT","DRA","MA_QH","NCK")</f>
        <v>0</v>
      </c>
      <c r="AK43" s="22">
        <f ca="1">+GETPIVOTDATA("XLL4",'langlon (2016)'!$A$3,"MA_HT","DRA","MA_QH","DXH")</f>
        <v>0</v>
      </c>
      <c r="AL43" s="22">
        <f ca="1">+GETPIVOTDATA("XLL4",'langlon (2016)'!$A$3,"MA_HT","DRA","MA_QH","DCH")</f>
        <v>0</v>
      </c>
      <c r="AM43" s="22">
        <f ca="1">+GETPIVOTDATA("XLL4",'langlon (2016)'!$A$3,"MA_HT","DRA","MA_QH","DKG")</f>
        <v>0</v>
      </c>
      <c r="AN43" s="22">
        <f ca="1">+GETPIVOTDATA("XLL4",'langlon (2016)'!$A$3,"MA_HT","DRA","MA_QH","DDT")</f>
        <v>0</v>
      </c>
      <c r="AO43" s="22">
        <f ca="1">+GETPIVOTDATA("XLL4",'langlon (2016)'!$A$3,"MA_HT","DRA","MA_QH","DDL")</f>
        <v>0</v>
      </c>
      <c r="AP43" s="43" t="e">
        <f ca="1">$D43-$BF43</f>
        <v>#REF!</v>
      </c>
      <c r="AQ43" s="22">
        <f ca="1">+GETPIVOTDATA("XLL4",'langlon (2016)'!$A$3,"MA_HT","DRA","MA_QH","ONT")</f>
        <v>0</v>
      </c>
      <c r="AR43" s="22">
        <f ca="1">+GETPIVOTDATA("XLL4",'langlon (2016)'!$A$3,"MA_HT","DRA","MA_QH","ODT")</f>
        <v>0</v>
      </c>
      <c r="AS43" s="22">
        <f ca="1">+GETPIVOTDATA("XLL4",'langlon (2016)'!$A$3,"MA_HT","DRA","MA_QH","TSC")</f>
        <v>0</v>
      </c>
      <c r="AT43" s="22">
        <f ca="1">+GETPIVOTDATA("XLL4",'langlon (2016)'!$A$3,"MA_HT","DRA","MA_QH","DTS")</f>
        <v>0</v>
      </c>
      <c r="AU43" s="22">
        <f ca="1">+GETPIVOTDATA("XLL4",'langlon (2016)'!$A$3,"MA_HT","DRA","MA_QH","DNG")</f>
        <v>0</v>
      </c>
      <c r="AV43" s="22">
        <f ca="1">+GETPIVOTDATA("XLL4",'langlon (2016)'!$A$3,"MA_HT","DRA","MA_QH","TON")</f>
        <v>0</v>
      </c>
      <c r="AW43" s="22">
        <f ca="1">+GETPIVOTDATA("XLL4",'langlon (2016)'!$A$3,"MA_HT","DRA","MA_QH","NTD")</f>
        <v>0</v>
      </c>
      <c r="AX43" s="22">
        <f ca="1">+GETPIVOTDATA("XLL4",'langlon (2016)'!$A$3,"MA_HT","DRA","MA_QH","SKX")</f>
        <v>0</v>
      </c>
      <c r="AY43" s="22">
        <f ca="1">+GETPIVOTDATA("XLL4",'langlon (2016)'!$A$3,"MA_HT","DRA","MA_QH","DSH")</f>
        <v>0</v>
      </c>
      <c r="AZ43" s="22">
        <f ca="1">+GETPIVOTDATA("XLL4",'langlon (2016)'!$A$3,"MA_HT","DRA","MA_QH","DKV")</f>
        <v>0</v>
      </c>
      <c r="BA43" s="89">
        <f ca="1">+GETPIVOTDATA("XLL4",'langlon (2016)'!$A$3,"MA_HT","DRA","MA_QH","TIN")</f>
        <v>0</v>
      </c>
      <c r="BB43" s="50">
        <f ca="1">+GETPIVOTDATA("XLL4",'langlon (2016)'!$A$3,"MA_HT","DRA","MA_QH","SON")</f>
        <v>0</v>
      </c>
      <c r="BC43" s="50">
        <f ca="1">+GETPIVOTDATA("XLL4",'langlon (2016)'!$A$3,"MA_HT","DRA","MA_QH","MNC")</f>
        <v>0</v>
      </c>
      <c r="BD43" s="22">
        <f ca="1">+GETPIVOTDATA("XLL4",'langlon (2016)'!$A$3,"MA_HT","DRA","MA_QH","PNK")</f>
        <v>0</v>
      </c>
      <c r="BE43" s="71">
        <f ca="1">+GETPIVOTDATA("XLL4",'langlon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+GETPIVOTDATA("XLL4",'langlon (2016)'!$A$3,"MA_HT","ONT","MA_QH","LUC")</f>
        <v>0</v>
      </c>
      <c r="H44" s="22">
        <f ca="1">+GETPIVOTDATA("XLL4",'langlon (2016)'!$A$3,"MA_HT","ONT","MA_QH","LUK")</f>
        <v>0</v>
      </c>
      <c r="I44" s="22">
        <f ca="1">+GETPIVOTDATA("XLL4",'langlon (2016)'!$A$3,"MA_HT","ONT","MA_QH","LUN")</f>
        <v>0</v>
      </c>
      <c r="J44" s="22">
        <f ca="1">+GETPIVOTDATA("XLL4",'langlon (2016)'!$A$3,"MA_HT","ONT","MA_QH","HNK")</f>
        <v>0</v>
      </c>
      <c r="K44" s="22">
        <f ca="1">+GETPIVOTDATA("XLL4",'langlon (2016)'!$A$3,"MA_HT","ONT","MA_QH","CLN")</f>
        <v>0</v>
      </c>
      <c r="L44" s="22">
        <f ca="1">+GETPIVOTDATA("XLL4",'langlon (2016)'!$A$3,"MA_HT","ONT","MA_QH","RSX")</f>
        <v>0</v>
      </c>
      <c r="M44" s="22">
        <f ca="1">+GETPIVOTDATA("XLL4",'langlon (2016)'!$A$3,"MA_HT","ONT","MA_QH","RPH")</f>
        <v>0</v>
      </c>
      <c r="N44" s="22">
        <f ca="1">+GETPIVOTDATA("XLL4",'langlon (2016)'!$A$3,"MA_HT","ONT","MA_QH","RDD")</f>
        <v>0</v>
      </c>
      <c r="O44" s="22">
        <f ca="1">+GETPIVOTDATA("XLL4",'langlon (2016)'!$A$3,"MA_HT","ONT","MA_QH","NTS")</f>
        <v>0</v>
      </c>
      <c r="P44" s="22">
        <f ca="1">+GETPIVOTDATA("XLL4",'langlon (2016)'!$A$3,"MA_HT","ONT","MA_QH","LMU")</f>
        <v>0</v>
      </c>
      <c r="Q44" s="22">
        <f ca="1">+GETPIVOTDATA("XLL4",'langlon (2016)'!$A$3,"MA_HT","ONT","MA_QH","NKH")</f>
        <v>0</v>
      </c>
      <c r="R44" s="79">
        <f ca="1">SUM(S44:AA44,AN44:AP44,AR44:BD44)</f>
        <v>0</v>
      </c>
      <c r="S44" s="22">
        <f ca="1">+GETPIVOTDATA("XLL4",'langlon (2016)'!$A$3,"MA_HT","ONT","MA_QH","CQP")</f>
        <v>0</v>
      </c>
      <c r="T44" s="22">
        <f ca="1">+GETPIVOTDATA("XLL4",'langlon (2016)'!$A$3,"MA_HT","ONT","MA_QH","CAN")</f>
        <v>0</v>
      </c>
      <c r="U44" s="22">
        <f ca="1">+GETPIVOTDATA("XLL4",'langlon (2016)'!$A$3,"MA_HT","ONT","MA_QH","SKK")</f>
        <v>0</v>
      </c>
      <c r="V44" s="22">
        <f ca="1">+GETPIVOTDATA("XLL4",'langlon (2016)'!$A$3,"MA_HT","ONT","MA_QH","SKT")</f>
        <v>0</v>
      </c>
      <c r="W44" s="22">
        <f ca="1">+GETPIVOTDATA("XLL4",'langlon (2016)'!$A$3,"MA_HT","ONT","MA_QH","SKN")</f>
        <v>0</v>
      </c>
      <c r="X44" s="22">
        <f ca="1">+GETPIVOTDATA("XLL4",'langlon (2016)'!$A$3,"MA_HT","ONT","MA_QH","TMD")</f>
        <v>0</v>
      </c>
      <c r="Y44" s="22">
        <f ca="1">+GETPIVOTDATA("XLL4",'langlon (2016)'!$A$3,"MA_HT","ONT","MA_QH","SKC")</f>
        <v>0</v>
      </c>
      <c r="Z44" s="22">
        <f ca="1">+GETPIVOTDATA("XLL4",'langlon (2016)'!$A$3,"MA_HT","ONT","MA_QH","SKS")</f>
        <v>0</v>
      </c>
      <c r="AA44" s="52">
        <f ca="1" t="shared" si="21"/>
        <v>0</v>
      </c>
      <c r="AB44" s="22">
        <f ca="1">+GETPIVOTDATA("XLL4",'langlon (2016)'!$A$3,"MA_HT","ONT","MA_QH","DGT")</f>
        <v>0</v>
      </c>
      <c r="AC44" s="22">
        <f ca="1">+GETPIVOTDATA("XLL4",'langlon (2016)'!$A$3,"MA_HT","ONT","MA_QH","DTL")</f>
        <v>0</v>
      </c>
      <c r="AD44" s="22">
        <f ca="1">+GETPIVOTDATA("XLL4",'langlon (2016)'!$A$3,"MA_HT","ONT","MA_QH","DNL")</f>
        <v>0</v>
      </c>
      <c r="AE44" s="22">
        <f ca="1">+GETPIVOTDATA("XLL4",'langlon (2016)'!$A$3,"MA_HT","ONT","MA_QH","DBV")</f>
        <v>0</v>
      </c>
      <c r="AF44" s="22">
        <f ca="1">+GETPIVOTDATA("XLL4",'langlon (2016)'!$A$3,"MA_HT","ONT","MA_QH","DVH")</f>
        <v>0</v>
      </c>
      <c r="AG44" s="22">
        <f ca="1">+GETPIVOTDATA("XLL4",'langlon (2016)'!$A$3,"MA_HT","ONT","MA_QH","DYT")</f>
        <v>0</v>
      </c>
      <c r="AH44" s="22">
        <f ca="1">+GETPIVOTDATA("XLL4",'langlon (2016)'!$A$3,"MA_HT","ONT","MA_QH","DGD")</f>
        <v>0</v>
      </c>
      <c r="AI44" s="22">
        <f ca="1">+GETPIVOTDATA("XLL4",'langlon (2016)'!$A$3,"MA_HT","ONT","MA_QH","DTT")</f>
        <v>0</v>
      </c>
      <c r="AJ44" s="22">
        <f ca="1">+GETPIVOTDATA("XLL4",'langlon (2016)'!$A$3,"MA_HT","ONT","MA_QH","NCK")</f>
        <v>0</v>
      </c>
      <c r="AK44" s="22">
        <f ca="1">+GETPIVOTDATA("XLL4",'langlon (2016)'!$A$3,"MA_HT","ONT","MA_QH","DXH")</f>
        <v>0</v>
      </c>
      <c r="AL44" s="22">
        <f ca="1">+GETPIVOTDATA("XLL4",'langlon (2016)'!$A$3,"MA_HT","ONT","MA_QH","DCH")</f>
        <v>0</v>
      </c>
      <c r="AM44" s="22">
        <f ca="1">+GETPIVOTDATA("XLL4",'langlon (2016)'!$A$3,"MA_HT","ONT","MA_QH","DKG")</f>
        <v>0</v>
      </c>
      <c r="AN44" s="22">
        <f ca="1">+GETPIVOTDATA("XLL4",'langlon (2016)'!$A$3,"MA_HT","ONT","MA_QH","DDT")</f>
        <v>0</v>
      </c>
      <c r="AO44" s="22">
        <f ca="1">+GETPIVOTDATA("XLL4",'langlon (2016)'!$A$3,"MA_HT","ONT","MA_QH","DDL")</f>
        <v>0</v>
      </c>
      <c r="AP44" s="22">
        <f ca="1">+GETPIVOTDATA("XLL4",'langlon (2016)'!$A$3,"MA_HT","ONT","MA_QH","DRA")</f>
        <v>0</v>
      </c>
      <c r="AQ44" s="43" t="e">
        <f ca="1">$D44-$BF44</f>
        <v>#REF!</v>
      </c>
      <c r="AR44" s="22">
        <f ca="1">+GETPIVOTDATA("XLL4",'langlon (2016)'!$A$3,"MA_HT","ONT","MA_QH","ODT")</f>
        <v>0</v>
      </c>
      <c r="AS44" s="22">
        <f ca="1">+GETPIVOTDATA("XLL4",'langlon (2016)'!$A$3,"MA_HT","ONT","MA_QH","TSC")</f>
        <v>0</v>
      </c>
      <c r="AT44" s="22">
        <f ca="1">+GETPIVOTDATA("XLL4",'langlon (2016)'!$A$3,"MA_HT","ONT","MA_QH","DTS")</f>
        <v>0</v>
      </c>
      <c r="AU44" s="22">
        <f ca="1">+GETPIVOTDATA("XLL4",'langlon (2016)'!$A$3,"MA_HT","ONT","MA_QH","DNG")</f>
        <v>0</v>
      </c>
      <c r="AV44" s="22">
        <f ca="1">+GETPIVOTDATA("XLL4",'langlon (2016)'!$A$3,"MA_HT","ONT","MA_QH","TON")</f>
        <v>0</v>
      </c>
      <c r="AW44" s="22">
        <f ca="1">+GETPIVOTDATA("XLL4",'langlon (2016)'!$A$3,"MA_HT","ONT","MA_QH","NTD")</f>
        <v>0</v>
      </c>
      <c r="AX44" s="22">
        <f ca="1">+GETPIVOTDATA("XLL4",'langlon (2016)'!$A$3,"MA_HT","ONT","MA_QH","SKX")</f>
        <v>0</v>
      </c>
      <c r="AY44" s="22">
        <f ca="1">+GETPIVOTDATA("XLL4",'langlon (2016)'!$A$3,"MA_HT","ONT","MA_QH","DSH")</f>
        <v>0</v>
      </c>
      <c r="AZ44" s="22">
        <f ca="1">+GETPIVOTDATA("XLL4",'langlon (2016)'!$A$3,"MA_HT","ONT","MA_QH","DKV")</f>
        <v>0</v>
      </c>
      <c r="BA44" s="89">
        <f ca="1">+GETPIVOTDATA("XLL4",'langlon (2016)'!$A$3,"MA_HT","ONT","MA_QH","TIN")</f>
        <v>0</v>
      </c>
      <c r="BB44" s="50">
        <f ca="1">+GETPIVOTDATA("XLL4",'langlon (2016)'!$A$3,"MA_HT","ONT","MA_QH","SON")</f>
        <v>0</v>
      </c>
      <c r="BC44" s="50">
        <f ca="1">+GETPIVOTDATA("XLL4",'langlon (2016)'!$A$3,"MA_HT","ONT","MA_QH","MNC")</f>
        <v>0</v>
      </c>
      <c r="BD44" s="22">
        <f ca="1">+GETPIVOTDATA("XLL4",'langlon (2016)'!$A$3,"MA_HT","ONT","MA_QH","PNK")</f>
        <v>0</v>
      </c>
      <c r="BE44" s="71">
        <f ca="1">+GETPIVOTDATA("XLL4",'langlon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+GETPIVOTDATA("XLL4",'langlon (2016)'!$A$3,"MA_HT","ODT","MA_QH","LUC")</f>
        <v>0</v>
      </c>
      <c r="H45" s="67">
        <f ca="1">+GETPIVOTDATA("XLL4",'langlon (2016)'!$A$3,"MA_HT","ODT","MA_QH","LUK")</f>
        <v>0</v>
      </c>
      <c r="I45" s="67">
        <f ca="1">+GETPIVOTDATA("XLL4",'langlon (2016)'!$A$3,"MA_HT","ODT","MA_QH","LUN")</f>
        <v>0</v>
      </c>
      <c r="J45" s="67">
        <f ca="1">+GETPIVOTDATA("XLL4",'langlon (2016)'!$A$3,"MA_HT","ODT","MA_QH","HNK")</f>
        <v>0</v>
      </c>
      <c r="K45" s="67">
        <f ca="1">+GETPIVOTDATA("XLL4",'langlon (2016)'!$A$3,"MA_HT","ODT","MA_QH","CLN")</f>
        <v>0</v>
      </c>
      <c r="L45" s="67">
        <f ca="1">+GETPIVOTDATA("XLL4",'langlon (2016)'!$A$3,"MA_HT","ODT","MA_QH","RSX")</f>
        <v>0</v>
      </c>
      <c r="M45" s="67">
        <f ca="1">+GETPIVOTDATA("XLL4",'langlon (2016)'!$A$3,"MA_HT","ODT","MA_QH","RPH")</f>
        <v>0</v>
      </c>
      <c r="N45" s="67">
        <f ca="1">+GETPIVOTDATA("XLL4",'langlon (2016)'!$A$3,"MA_HT","ODT","MA_QH","RDD")</f>
        <v>0</v>
      </c>
      <c r="O45" s="67">
        <f ca="1">+GETPIVOTDATA("XLL4",'langlon (2016)'!$A$3,"MA_HT","ODT","MA_QH","NTS")</f>
        <v>0</v>
      </c>
      <c r="P45" s="67">
        <f ca="1">+GETPIVOTDATA("XLL4",'langlon (2016)'!$A$3,"MA_HT","ODT","MA_QH","LMU")</f>
        <v>0</v>
      </c>
      <c r="Q45" s="67">
        <f ca="1">+GETPIVOTDATA("XLL4",'langlon (2016)'!$A$3,"MA_HT","ODT","MA_QH","NKH")</f>
        <v>0</v>
      </c>
      <c r="R45" s="79">
        <f ca="1">SUM(S45:AA45,AN45:AQ45,AS45:BD45)</f>
        <v>0</v>
      </c>
      <c r="S45" s="67">
        <f ca="1">+GETPIVOTDATA("XLL4",'langlon (2016)'!$A$3,"MA_HT","ODT","MA_QH","CQP")</f>
        <v>0</v>
      </c>
      <c r="T45" s="67">
        <f ca="1">+GETPIVOTDATA("XLL4",'langlon (2016)'!$A$3,"MA_HT","ODT","MA_QH","CAN")</f>
        <v>0</v>
      </c>
      <c r="U45" s="67">
        <f ca="1">+GETPIVOTDATA("XLL4",'langlon (2016)'!$A$3,"MA_HT","ODT","MA_QH","SKK")</f>
        <v>0</v>
      </c>
      <c r="V45" s="67">
        <f ca="1">+GETPIVOTDATA("XLL4",'langlon (2016)'!$A$3,"MA_HT","ODT","MA_QH","SKT")</f>
        <v>0</v>
      </c>
      <c r="W45" s="67">
        <f ca="1">+GETPIVOTDATA("XLL4",'langlon (2016)'!$A$3,"MA_HT","ODT","MA_QH","SKN")</f>
        <v>0</v>
      </c>
      <c r="X45" s="67">
        <f ca="1">+GETPIVOTDATA("XLL4",'langlon (2016)'!$A$3,"MA_HT","ODT","MA_QH","TMD")</f>
        <v>0</v>
      </c>
      <c r="Y45" s="67">
        <f ca="1">+GETPIVOTDATA("XLL4",'langlon (2016)'!$A$3,"MA_HT","ODT","MA_QH","SKC")</f>
        <v>0</v>
      </c>
      <c r="Z45" s="67">
        <f ca="1">+GETPIVOTDATA("XLL4",'langlon (2016)'!$A$3,"MA_HT","ODT","MA_QH","SKS")</f>
        <v>0</v>
      </c>
      <c r="AA45" s="66">
        <f ca="1" t="shared" si="21"/>
        <v>0</v>
      </c>
      <c r="AB45" s="67">
        <f ca="1">+GETPIVOTDATA("XLL4",'langlon (2016)'!$A$3,"MA_HT","ODT","MA_QH","DGT")</f>
        <v>0</v>
      </c>
      <c r="AC45" s="67">
        <f ca="1">+GETPIVOTDATA("XLL4",'langlon (2016)'!$A$3,"MA_HT","ODT","MA_QH","DTL")</f>
        <v>0</v>
      </c>
      <c r="AD45" s="67">
        <f ca="1">+GETPIVOTDATA("XLL4",'langlon (2016)'!$A$3,"MA_HT","ODT","MA_QH","DNL")</f>
        <v>0</v>
      </c>
      <c r="AE45" s="67">
        <f ca="1">+GETPIVOTDATA("XLL4",'langlon (2016)'!$A$3,"MA_HT","ODT","MA_QH","DBV")</f>
        <v>0</v>
      </c>
      <c r="AF45" s="67">
        <f ca="1">+GETPIVOTDATA("XLL4",'langlon (2016)'!$A$3,"MA_HT","ODT","MA_QH","DVH")</f>
        <v>0</v>
      </c>
      <c r="AG45" s="67">
        <f ca="1">+GETPIVOTDATA("XLL4",'langlon (2016)'!$A$3,"MA_HT","ODT","MA_QH","DYT")</f>
        <v>0</v>
      </c>
      <c r="AH45" s="67">
        <f ca="1">+GETPIVOTDATA("XLL4",'langlon (2016)'!$A$3,"MA_HT","ODT","MA_QH","DGD")</f>
        <v>0</v>
      </c>
      <c r="AI45" s="67">
        <f ca="1">+GETPIVOTDATA("XLL4",'langlon (2016)'!$A$3,"MA_HT","ODT","MA_QH","DTT")</f>
        <v>0</v>
      </c>
      <c r="AJ45" s="67">
        <f ca="1">+GETPIVOTDATA("XLL4",'langlon (2016)'!$A$3,"MA_HT","ODT","MA_QH","NCK")</f>
        <v>0</v>
      </c>
      <c r="AK45" s="67">
        <f ca="1">+GETPIVOTDATA("XLL4",'langlon (2016)'!$A$3,"MA_HT","ODT","MA_QH","DXH")</f>
        <v>0</v>
      </c>
      <c r="AL45" s="67">
        <f ca="1">+GETPIVOTDATA("XLL4",'langlon (2016)'!$A$3,"MA_HT","ODT","MA_QH","DCH")</f>
        <v>0</v>
      </c>
      <c r="AM45" s="67">
        <f ca="1">+GETPIVOTDATA("XLL4",'langlon (2016)'!$A$3,"MA_HT","ODT","MA_QH","DKG")</f>
        <v>0</v>
      </c>
      <c r="AN45" s="67">
        <f ca="1">+GETPIVOTDATA("XLL4",'langlon (2016)'!$A$3,"MA_HT","ODT","MA_QH","DDT")</f>
        <v>0</v>
      </c>
      <c r="AO45" s="67">
        <f ca="1">+GETPIVOTDATA("XLL4",'langlon (2016)'!$A$3,"MA_HT","ODT","MA_QH","DDL")</f>
        <v>0</v>
      </c>
      <c r="AP45" s="67">
        <f ca="1">+GETPIVOTDATA("XLL4",'langlon (2016)'!$A$3,"MA_HT","ODT","MA_QH","DRA")</f>
        <v>0</v>
      </c>
      <c r="AQ45" s="67">
        <f ca="1">+GETPIVOTDATA("XLL4",'langlon (2016)'!$A$3,"MA_HT","ODT","MA_QH","ONT")</f>
        <v>0</v>
      </c>
      <c r="AR45" s="82" t="e">
        <f ca="1">$D45-$BF45</f>
        <v>#REF!</v>
      </c>
      <c r="AS45" s="67">
        <f ca="1">+GETPIVOTDATA("XLL4",'langlon (2016)'!$A$3,"MA_HT","ODT","MA_QH","TSC")</f>
        <v>0</v>
      </c>
      <c r="AT45" s="67">
        <f ca="1">+GETPIVOTDATA("XLL4",'langlon (2016)'!$A$3,"MA_HT","ODT","MA_QH","DTS")</f>
        <v>0</v>
      </c>
      <c r="AU45" s="67">
        <f ca="1">+GETPIVOTDATA("XLL4",'langlon (2016)'!$A$3,"MA_HT","ODT","MA_QH","DNG")</f>
        <v>0</v>
      </c>
      <c r="AV45" s="67">
        <f ca="1">+GETPIVOTDATA("XLL4",'langlon (2016)'!$A$3,"MA_HT","ODT","MA_QH","TON")</f>
        <v>0</v>
      </c>
      <c r="AW45" s="67">
        <f ca="1">+GETPIVOTDATA("XLL4",'langlon (2016)'!$A$3,"MA_HT","ODT","MA_QH","NTD")</f>
        <v>0</v>
      </c>
      <c r="AX45" s="67">
        <f ca="1">+GETPIVOTDATA("XLL4",'langlon (2016)'!$A$3,"MA_HT","ODT","MA_QH","SKX")</f>
        <v>0</v>
      </c>
      <c r="AY45" s="67">
        <f ca="1">+GETPIVOTDATA("XLL4",'langlon (2016)'!$A$3,"MA_HT","ODT","MA_QH","DSH")</f>
        <v>0</v>
      </c>
      <c r="AZ45" s="67">
        <f ca="1">+GETPIVOTDATA("XLL4",'langlon (2016)'!$A$3,"MA_HT","ODT","MA_QH","DKV")</f>
        <v>0</v>
      </c>
      <c r="BA45" s="92">
        <f ca="1">+GETPIVOTDATA("XLL4",'langlon (2016)'!$A$3,"MA_HT","ODT","MA_QH","TIN")</f>
        <v>0</v>
      </c>
      <c r="BB45" s="93">
        <f ca="1">+GETPIVOTDATA("XLL4",'langlon (2016)'!$A$3,"MA_HT","ODT","MA_QH","SON")</f>
        <v>0</v>
      </c>
      <c r="BC45" s="93">
        <f ca="1">+GETPIVOTDATA("XLL4",'langlon (2016)'!$A$3,"MA_HT","ODT","MA_QH","MNC")</f>
        <v>0</v>
      </c>
      <c r="BD45" s="67">
        <f ca="1">+GETPIVOTDATA("XLL4",'langlon (2016)'!$A$3,"MA_HT","ODT","MA_QH","PNK")</f>
        <v>0</v>
      </c>
      <c r="BE45" s="116">
        <f ca="1">+GETPIVOTDATA("XLL4",'langlon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+GETPIVOTDATA("XLL4",'langlon (2016)'!$A$3,"MA_HT","TSC","MA_QH","LUC")</f>
        <v>0</v>
      </c>
      <c r="H46" s="22">
        <f ca="1">+GETPIVOTDATA("XLL4",'langlon (2016)'!$A$3,"MA_HT","TSC","MA_QH","LUK")</f>
        <v>0</v>
      </c>
      <c r="I46" s="22">
        <f ca="1">+GETPIVOTDATA("XLL4",'langlon (2016)'!$A$3,"MA_HT","TSC","MA_QH","LUN")</f>
        <v>0</v>
      </c>
      <c r="J46" s="22">
        <f ca="1">+GETPIVOTDATA("XLL4",'langlon (2016)'!$A$3,"MA_HT","TSC","MA_QH","HNK")</f>
        <v>0</v>
      </c>
      <c r="K46" s="22">
        <f ca="1">+GETPIVOTDATA("XLL4",'langlon (2016)'!$A$3,"MA_HT","TSC","MA_QH","CLN")</f>
        <v>0</v>
      </c>
      <c r="L46" s="22">
        <f ca="1">+GETPIVOTDATA("XLL4",'langlon (2016)'!$A$3,"MA_HT","TSC","MA_QH","RSX")</f>
        <v>0</v>
      </c>
      <c r="M46" s="22">
        <f ca="1">+GETPIVOTDATA("XLL4",'langlon (2016)'!$A$3,"MA_HT","TSC","MA_QH","RPH")</f>
        <v>0</v>
      </c>
      <c r="N46" s="22">
        <f ca="1">+GETPIVOTDATA("XLL4",'langlon (2016)'!$A$3,"MA_HT","TSC","MA_QH","RDD")</f>
        <v>0</v>
      </c>
      <c r="O46" s="22">
        <f ca="1">+GETPIVOTDATA("XLL4",'langlon (2016)'!$A$3,"MA_HT","TSC","MA_QH","NTS")</f>
        <v>0</v>
      </c>
      <c r="P46" s="22">
        <f ca="1">+GETPIVOTDATA("XLL4",'langlon (2016)'!$A$3,"MA_HT","TSC","MA_QH","LMU")</f>
        <v>0</v>
      </c>
      <c r="Q46" s="22">
        <f ca="1">+GETPIVOTDATA("XLL4",'langlon (2016)'!$A$3,"MA_HT","TSC","MA_QH","NKH")</f>
        <v>0</v>
      </c>
      <c r="R46" s="48">
        <f ca="1">SUM(S46:AA46,AN46:AR46,AT46:BD46)</f>
        <v>0</v>
      </c>
      <c r="S46" s="22">
        <f ca="1">+GETPIVOTDATA("XLL4",'langlon (2016)'!$A$3,"MA_HT","TSC","MA_QH","CQP")</f>
        <v>0</v>
      </c>
      <c r="T46" s="22">
        <f ca="1">+GETPIVOTDATA("XLL4",'langlon (2016)'!$A$3,"MA_HT","TSC","MA_QH","CAN")</f>
        <v>0</v>
      </c>
      <c r="U46" s="22">
        <f ca="1">+GETPIVOTDATA("XLL4",'langlon (2016)'!$A$3,"MA_HT","TSC","MA_QH","SKK")</f>
        <v>0</v>
      </c>
      <c r="V46" s="22">
        <f ca="1">+GETPIVOTDATA("XLL4",'langlon (2016)'!$A$3,"MA_HT","TSC","MA_QH","SKT")</f>
        <v>0</v>
      </c>
      <c r="W46" s="22">
        <f ca="1">+GETPIVOTDATA("XLL4",'langlon (2016)'!$A$3,"MA_HT","TSC","MA_QH","SKN")</f>
        <v>0</v>
      </c>
      <c r="X46" s="22">
        <f ca="1">+GETPIVOTDATA("XLL4",'langlon (2016)'!$A$3,"MA_HT","TSC","MA_QH","TMD")</f>
        <v>0</v>
      </c>
      <c r="Y46" s="22">
        <f ca="1">+GETPIVOTDATA("XLL4",'langlon (2016)'!$A$3,"MA_HT","TSC","MA_QH","SKC")</f>
        <v>0</v>
      </c>
      <c r="Z46" s="22">
        <f ca="1">+GETPIVOTDATA("XLL4",'langlon (2016)'!$A$3,"MA_HT","TSC","MA_QH","SKS")</f>
        <v>0</v>
      </c>
      <c r="AA46" s="52">
        <f ca="1" t="shared" si="21"/>
        <v>0</v>
      </c>
      <c r="AB46" s="22">
        <f ca="1">+GETPIVOTDATA("XLL4",'langlon (2016)'!$A$3,"MA_HT","TSC","MA_QH","DGT")</f>
        <v>0</v>
      </c>
      <c r="AC46" s="22">
        <f ca="1">+GETPIVOTDATA("XLL4",'langlon (2016)'!$A$3,"MA_HT","TSC","MA_QH","DTL")</f>
        <v>0</v>
      </c>
      <c r="AD46" s="22">
        <f ca="1">+GETPIVOTDATA("XLL4",'langlon (2016)'!$A$3,"MA_HT","TSC","MA_QH","DNL")</f>
        <v>0</v>
      </c>
      <c r="AE46" s="22">
        <f ca="1">+GETPIVOTDATA("XLL4",'langlon (2016)'!$A$3,"MA_HT","TSC","MA_QH","DBV")</f>
        <v>0</v>
      </c>
      <c r="AF46" s="22">
        <f ca="1">+GETPIVOTDATA("XLL4",'langlon (2016)'!$A$3,"MA_HT","TSC","MA_QH","DVH")</f>
        <v>0</v>
      </c>
      <c r="AG46" s="22">
        <f ca="1">+GETPIVOTDATA("XLL4",'langlon (2016)'!$A$3,"MA_HT","TSC","MA_QH","DYT")</f>
        <v>0</v>
      </c>
      <c r="AH46" s="22">
        <f ca="1">+GETPIVOTDATA("XLL4",'langlon (2016)'!$A$3,"MA_HT","TSC","MA_QH","DGD")</f>
        <v>0</v>
      </c>
      <c r="AI46" s="22">
        <f ca="1">+GETPIVOTDATA("XLL4",'langlon (2016)'!$A$3,"MA_HT","TSC","MA_QH","DTT")</f>
        <v>0</v>
      </c>
      <c r="AJ46" s="22">
        <f ca="1">+GETPIVOTDATA("XLL4",'langlon (2016)'!$A$3,"MA_HT","TSC","MA_QH","NCK")</f>
        <v>0</v>
      </c>
      <c r="AK46" s="22">
        <f ca="1">+GETPIVOTDATA("XLL4",'langlon (2016)'!$A$3,"MA_HT","TSC","MA_QH","DXH")</f>
        <v>0</v>
      </c>
      <c r="AL46" s="22">
        <f ca="1">+GETPIVOTDATA("XLL4",'langlon (2016)'!$A$3,"MA_HT","TSC","MA_QH","DCH")</f>
        <v>0</v>
      </c>
      <c r="AM46" s="22">
        <f ca="1">+GETPIVOTDATA("XLL4",'langlon (2016)'!$A$3,"MA_HT","TSC","MA_QH","DKG")</f>
        <v>0</v>
      </c>
      <c r="AN46" s="22">
        <f ca="1">+GETPIVOTDATA("XLL4",'langlon (2016)'!$A$3,"MA_HT","TSC","MA_QH","DDT")</f>
        <v>0</v>
      </c>
      <c r="AO46" s="22">
        <f ca="1">+GETPIVOTDATA("XLL4",'langlon (2016)'!$A$3,"MA_HT","TSC","MA_QH","DDL")</f>
        <v>0</v>
      </c>
      <c r="AP46" s="22">
        <f ca="1">+GETPIVOTDATA("XLL4",'langlon (2016)'!$A$3,"MA_HT","TSC","MA_QH","DRA")</f>
        <v>0</v>
      </c>
      <c r="AQ46" s="22">
        <f ca="1">+GETPIVOTDATA("XLL4",'langlon (2016)'!$A$3,"MA_HT","TSC","MA_QH","ONT")</f>
        <v>0</v>
      </c>
      <c r="AR46" s="22">
        <f ca="1">+GETPIVOTDATA("XLL4",'langlon (2016)'!$A$3,"MA_HT","TSC","MA_QH","ODT")</f>
        <v>0</v>
      </c>
      <c r="AS46" s="43" t="e">
        <f ca="1">$D46-$BF46</f>
        <v>#REF!</v>
      </c>
      <c r="AT46" s="22">
        <f ca="1">+GETPIVOTDATA("XLL4",'langlon (2016)'!$A$3,"MA_HT","TSC","MA_QH","DTS")</f>
        <v>0</v>
      </c>
      <c r="AU46" s="22">
        <f ca="1">+GETPIVOTDATA("XLL4",'langlon (2016)'!$A$3,"MA_HT","TSC","MA_QH","DNG")</f>
        <v>0</v>
      </c>
      <c r="AV46" s="22">
        <f ca="1">+GETPIVOTDATA("XLL4",'langlon (2016)'!$A$3,"MA_HT","TSC","MA_QH","TON")</f>
        <v>0</v>
      </c>
      <c r="AW46" s="22">
        <f ca="1">+GETPIVOTDATA("XLL4",'langlon (2016)'!$A$3,"MA_HT","TSC","MA_QH","NTD")</f>
        <v>0</v>
      </c>
      <c r="AX46" s="22">
        <f ca="1">+GETPIVOTDATA("XLL4",'langlon (2016)'!$A$3,"MA_HT","TSC","MA_QH","SKX")</f>
        <v>0</v>
      </c>
      <c r="AY46" s="22">
        <f ca="1">+GETPIVOTDATA("XLL4",'langlon (2016)'!$A$3,"MA_HT","TSC","MA_QH","DSH")</f>
        <v>0</v>
      </c>
      <c r="AZ46" s="22">
        <f ca="1">+GETPIVOTDATA("XLL4",'langlon (2016)'!$A$3,"MA_HT","TSC","MA_QH","DKV")</f>
        <v>0</v>
      </c>
      <c r="BA46" s="89">
        <f ca="1">+GETPIVOTDATA("XLL4",'langlon (2016)'!$A$3,"MA_HT","TSC","MA_QH","TIN")</f>
        <v>0</v>
      </c>
      <c r="BB46" s="50">
        <f ca="1">+GETPIVOTDATA("XLL4",'langlon (2016)'!$A$3,"MA_HT","TSC","MA_QH","SON")</f>
        <v>0</v>
      </c>
      <c r="BC46" s="50">
        <f ca="1">+GETPIVOTDATA("XLL4",'langlon (2016)'!$A$3,"MA_HT","TSC","MA_QH","MNC")</f>
        <v>0</v>
      </c>
      <c r="BD46" s="22">
        <f ca="1">+GETPIVOTDATA("XLL4",'langlon (2016)'!$A$3,"MA_HT","TSC","MA_QH","PNK")</f>
        <v>0</v>
      </c>
      <c r="BE46" s="71">
        <f ca="1">+GETPIVOTDATA("XLL4",'langlon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+GETPIVOTDATA("XLL4",'langlon (2016)'!$A$3,"MA_HT","DTS","MA_QH","LUC")</f>
        <v>0</v>
      </c>
      <c r="H47" s="60">
        <f ca="1">+GETPIVOTDATA("XLL4",'langlon (2016)'!$A$3,"MA_HT","DTS","MA_QH","LUK")</f>
        <v>0</v>
      </c>
      <c r="I47" s="60">
        <f ca="1">+GETPIVOTDATA("XLL4",'langlon (2016)'!$A$3,"MA_HT","DTS","MA_QH","LUN")</f>
        <v>0</v>
      </c>
      <c r="J47" s="60">
        <f ca="1">+GETPIVOTDATA("XLL4",'langlon (2016)'!$A$3,"MA_HT","DTS","MA_QH","HNK")</f>
        <v>0</v>
      </c>
      <c r="K47" s="60">
        <f ca="1">+GETPIVOTDATA("XLL4",'langlon (2016)'!$A$3,"MA_HT","DTS","MA_QH","CLN")</f>
        <v>0</v>
      </c>
      <c r="L47" s="60">
        <f ca="1">+GETPIVOTDATA("XLL4",'langlon (2016)'!$A$3,"MA_HT","DTS","MA_QH","RSX")</f>
        <v>0</v>
      </c>
      <c r="M47" s="60">
        <f ca="1">+GETPIVOTDATA("XLL4",'langlon (2016)'!$A$3,"MA_HT","DTS","MA_QH","RPH")</f>
        <v>0</v>
      </c>
      <c r="N47" s="60">
        <f ca="1">+GETPIVOTDATA("XLL4",'langlon (2016)'!$A$3,"MA_HT","DTS","MA_QH","RDD")</f>
        <v>0</v>
      </c>
      <c r="O47" s="60">
        <f ca="1">+GETPIVOTDATA("XLL4",'langlon (2016)'!$A$3,"MA_HT","DTS","MA_QH","NTS")</f>
        <v>0</v>
      </c>
      <c r="P47" s="60">
        <f ca="1">+GETPIVOTDATA("XLL4",'langlon (2016)'!$A$3,"MA_HT","DTS","MA_QH","LMU")</f>
        <v>0</v>
      </c>
      <c r="Q47" s="60">
        <f ca="1">+GETPIVOTDATA("XLL4",'langlon (2016)'!$A$3,"MA_HT","DTS","MA_QH","NKH")</f>
        <v>0</v>
      </c>
      <c r="R47" s="78">
        <f ca="1">SUM(S47:AA47,AN47:AS47,AU47:BD47)</f>
        <v>0</v>
      </c>
      <c r="S47" s="60">
        <f ca="1">+GETPIVOTDATA("XLL4",'langlon (2016)'!$A$3,"MA_HT","DTS","MA_QH","CQP")</f>
        <v>0</v>
      </c>
      <c r="T47" s="60">
        <f ca="1">+GETPIVOTDATA("XLL4",'langlon (2016)'!$A$3,"MA_HT","DTS","MA_QH","CAN")</f>
        <v>0</v>
      </c>
      <c r="U47" s="60">
        <f ca="1">+GETPIVOTDATA("XLL4",'langlon (2016)'!$A$3,"MA_HT","DTS","MA_QH","SKK")</f>
        <v>0</v>
      </c>
      <c r="V47" s="60">
        <f ca="1">+GETPIVOTDATA("XLL4",'langlon (2016)'!$A$3,"MA_HT","DTS","MA_QH","SKT")</f>
        <v>0</v>
      </c>
      <c r="W47" s="60">
        <f ca="1">+GETPIVOTDATA("XLL4",'langlon (2016)'!$A$3,"MA_HT","DTS","MA_QH","SKN")</f>
        <v>0</v>
      </c>
      <c r="X47" s="60">
        <f ca="1">+GETPIVOTDATA("XLL4",'langlon (2016)'!$A$3,"MA_HT","DTS","MA_QH","TMD")</f>
        <v>0</v>
      </c>
      <c r="Y47" s="60">
        <f ca="1">+GETPIVOTDATA("XLL4",'langlon (2016)'!$A$3,"MA_HT","DTS","MA_QH","SKC")</f>
        <v>0</v>
      </c>
      <c r="Z47" s="60">
        <f ca="1">+GETPIVOTDATA("XLL4",'langlon (2016)'!$A$3,"MA_HT","DTS","MA_QH","SKS")</f>
        <v>0</v>
      </c>
      <c r="AA47" s="59">
        <f ca="1" t="shared" si="21"/>
        <v>0</v>
      </c>
      <c r="AB47" s="60">
        <f ca="1">+GETPIVOTDATA("XLL4",'langlon (2016)'!$A$3,"MA_HT","DTS","MA_QH","DGT")</f>
        <v>0</v>
      </c>
      <c r="AC47" s="60">
        <f ca="1">+GETPIVOTDATA("XLL4",'langlon (2016)'!$A$3,"MA_HT","DTS","MA_QH","DTL")</f>
        <v>0</v>
      </c>
      <c r="AD47" s="60">
        <f ca="1">+GETPIVOTDATA("XLL4",'langlon (2016)'!$A$3,"MA_HT","DTS","MA_QH","DNL")</f>
        <v>0</v>
      </c>
      <c r="AE47" s="60">
        <f ca="1">+GETPIVOTDATA("XLL4",'langlon (2016)'!$A$3,"MA_HT","DTS","MA_QH","DBV")</f>
        <v>0</v>
      </c>
      <c r="AF47" s="60">
        <f ca="1">+GETPIVOTDATA("XLL4",'langlon (2016)'!$A$3,"MA_HT","DTS","MA_QH","DVH")</f>
        <v>0</v>
      </c>
      <c r="AG47" s="60">
        <f ca="1">+GETPIVOTDATA("XLL4",'langlon (2016)'!$A$3,"MA_HT","DTS","MA_QH","DYT")</f>
        <v>0</v>
      </c>
      <c r="AH47" s="60">
        <f ca="1">+GETPIVOTDATA("XLL4",'langlon (2016)'!$A$3,"MA_HT","DTS","MA_QH","DGD")</f>
        <v>0</v>
      </c>
      <c r="AI47" s="60">
        <f ca="1">+GETPIVOTDATA("XLL4",'langlon (2016)'!$A$3,"MA_HT","DTS","MA_QH","DTT")</f>
        <v>0</v>
      </c>
      <c r="AJ47" s="60">
        <f ca="1">+GETPIVOTDATA("XLL4",'langlon (2016)'!$A$3,"MA_HT","DTS","MA_QH","NCK")</f>
        <v>0</v>
      </c>
      <c r="AK47" s="60">
        <f ca="1">+GETPIVOTDATA("XLL4",'langlon (2016)'!$A$3,"MA_HT","DTS","MA_QH","DXH")</f>
        <v>0</v>
      </c>
      <c r="AL47" s="60">
        <f ca="1">+GETPIVOTDATA("XLL4",'langlon (2016)'!$A$3,"MA_HT","DTS","MA_QH","DCH")</f>
        <v>0</v>
      </c>
      <c r="AM47" s="60">
        <f ca="1">+GETPIVOTDATA("XLL4",'langlon (2016)'!$A$3,"MA_HT","DTS","MA_QH","DKG")</f>
        <v>0</v>
      </c>
      <c r="AN47" s="60">
        <f ca="1">+GETPIVOTDATA("XLL4",'langlon (2016)'!$A$3,"MA_HT","DTS","MA_QH","DDT")</f>
        <v>0</v>
      </c>
      <c r="AO47" s="60">
        <f ca="1">+GETPIVOTDATA("XLL4",'langlon (2016)'!$A$3,"MA_HT","DTS","MA_QH","DDL")</f>
        <v>0</v>
      </c>
      <c r="AP47" s="60">
        <f ca="1">+GETPIVOTDATA("XLL4",'langlon (2016)'!$A$3,"MA_HT","DTS","MA_QH","DRA")</f>
        <v>0</v>
      </c>
      <c r="AQ47" s="60">
        <f ca="1">+GETPIVOTDATA("XLL4",'langlon (2016)'!$A$3,"MA_HT","DTS","MA_QH","ONT")</f>
        <v>0</v>
      </c>
      <c r="AR47" s="60">
        <f ca="1">+GETPIVOTDATA("XLL4",'langlon (2016)'!$A$3,"MA_HT","DTS","MA_QH","ODT")</f>
        <v>0</v>
      </c>
      <c r="AS47" s="60">
        <f ca="1">+GETPIVOTDATA("XLL4",'langlon (2016)'!$A$3,"MA_HT","DTS","MA_QH","TSC")</f>
        <v>0</v>
      </c>
      <c r="AT47" s="81" t="e">
        <f ca="1">$D47-$BF47</f>
        <v>#REF!</v>
      </c>
      <c r="AU47" s="60">
        <f ca="1">+GETPIVOTDATA("XLL4",'langlon (2016)'!$A$3,"MA_HT","DTS","MA_QH","DNG")</f>
        <v>0</v>
      </c>
      <c r="AV47" s="60">
        <f ca="1">+GETPIVOTDATA("XLL4",'langlon (2016)'!$A$3,"MA_HT","DTS","MA_QH","TON")</f>
        <v>0</v>
      </c>
      <c r="AW47" s="60">
        <f ca="1">+GETPIVOTDATA("XLL4",'langlon (2016)'!$A$3,"MA_HT","DTS","MA_QH","NTD")</f>
        <v>0</v>
      </c>
      <c r="AX47" s="60">
        <f ca="1">+GETPIVOTDATA("XLL4",'langlon (2016)'!$A$3,"MA_HT","DTS","MA_QH","SKX")</f>
        <v>0</v>
      </c>
      <c r="AY47" s="60">
        <f ca="1">+GETPIVOTDATA("XLL4",'langlon (2016)'!$A$3,"MA_HT","DTS","MA_QH","DSH")</f>
        <v>0</v>
      </c>
      <c r="AZ47" s="60">
        <f ca="1">+GETPIVOTDATA("XLL4",'langlon (2016)'!$A$3,"MA_HT","DTS","MA_QH","DKV")</f>
        <v>0</v>
      </c>
      <c r="BA47" s="90">
        <f ca="1">+GETPIVOTDATA("XLL4",'langlon (2016)'!$A$3,"MA_HT","DTS","MA_QH","TIN")</f>
        <v>0</v>
      </c>
      <c r="BB47" s="91">
        <f ca="1">+GETPIVOTDATA("XLL4",'langlon (2016)'!$A$3,"MA_HT","DTS","MA_QH","SON")</f>
        <v>0</v>
      </c>
      <c r="BC47" s="91">
        <f ca="1">+GETPIVOTDATA("XLL4",'langlon (2016)'!$A$3,"MA_HT","DTS","MA_QH","MNC")</f>
        <v>0</v>
      </c>
      <c r="BD47" s="60">
        <f ca="1">+GETPIVOTDATA("XLL4",'langlon (2016)'!$A$3,"MA_HT","DTS","MA_QH","PNK")</f>
        <v>0</v>
      </c>
      <c r="BE47" s="111">
        <f ca="1">+GETPIVOTDATA("XLL4",'langlon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+GETPIVOTDATA("XLL4",'langlon (2016)'!$A$3,"MA_HT","DNG","MA_QH","LUC")</f>
        <v>0</v>
      </c>
      <c r="H48" s="22">
        <f ca="1">+GETPIVOTDATA("XLL4",'langlon (2016)'!$A$3,"MA_HT","DNG","MA_QH","LUK")</f>
        <v>0</v>
      </c>
      <c r="I48" s="22">
        <f ca="1">+GETPIVOTDATA("XLL4",'langlon (2016)'!$A$3,"MA_HT","DNG","MA_QH","LUN")</f>
        <v>0</v>
      </c>
      <c r="J48" s="22">
        <f ca="1">+GETPIVOTDATA("XLL4",'langlon (2016)'!$A$3,"MA_HT","DNG","MA_QH","HNK")</f>
        <v>0</v>
      </c>
      <c r="K48" s="22">
        <f ca="1">+GETPIVOTDATA("XLL4",'langlon (2016)'!$A$3,"MA_HT","DNG","MA_QH","CLN")</f>
        <v>0</v>
      </c>
      <c r="L48" s="22">
        <f ca="1">+GETPIVOTDATA("XLL4",'langlon (2016)'!$A$3,"MA_HT","DNG","MA_QH","RSX")</f>
        <v>0</v>
      </c>
      <c r="M48" s="22">
        <f ca="1">+GETPIVOTDATA("XLL4",'langlon (2016)'!$A$3,"MA_HT","DNG","MA_QH","RPH")</f>
        <v>0</v>
      </c>
      <c r="N48" s="22">
        <f ca="1">+GETPIVOTDATA("XLL4",'langlon (2016)'!$A$3,"MA_HT","DNG","MA_QH","RDD")</f>
        <v>0</v>
      </c>
      <c r="O48" s="22">
        <f ca="1">+GETPIVOTDATA("XLL4",'langlon (2016)'!$A$3,"MA_HT","DNG","MA_QH","NTS")</f>
        <v>0</v>
      </c>
      <c r="P48" s="22">
        <f ca="1">+GETPIVOTDATA("XLL4",'langlon (2016)'!$A$3,"MA_HT","DNG","MA_QH","LMU")</f>
        <v>0</v>
      </c>
      <c r="Q48" s="22">
        <f ca="1">+GETPIVOTDATA("XLL4",'langlon (2016)'!$A$3,"MA_HT","DNG","MA_QH","NKH")</f>
        <v>0</v>
      </c>
      <c r="R48" s="79">
        <f ca="1">SUM(S48:AA48,AN48:AT48,AV48:BD48)</f>
        <v>0</v>
      </c>
      <c r="S48" s="22">
        <f ca="1">+GETPIVOTDATA("XLL4",'langlon (2016)'!$A$3,"MA_HT","DNG","MA_QH","CQP")</f>
        <v>0</v>
      </c>
      <c r="T48" s="22">
        <f ca="1">+GETPIVOTDATA("XLL4",'langlon (2016)'!$A$3,"MA_HT","DNG","MA_QH","CAN")</f>
        <v>0</v>
      </c>
      <c r="U48" s="22">
        <f ca="1">+GETPIVOTDATA("XLL4",'langlon (2016)'!$A$3,"MA_HT","DNG","MA_QH","SKK")</f>
        <v>0</v>
      </c>
      <c r="V48" s="22">
        <f ca="1">+GETPIVOTDATA("XLL4",'langlon (2016)'!$A$3,"MA_HT","DNG","MA_QH","SKT")</f>
        <v>0</v>
      </c>
      <c r="W48" s="22">
        <f ca="1">+GETPIVOTDATA("XLL4",'langlon (2016)'!$A$3,"MA_HT","DNG","MA_QH","SKN")</f>
        <v>0</v>
      </c>
      <c r="X48" s="22">
        <f ca="1">+GETPIVOTDATA("XLL4",'langlon (2016)'!$A$3,"MA_HT","DNG","MA_QH","TMD")</f>
        <v>0</v>
      </c>
      <c r="Y48" s="22">
        <f ca="1">+GETPIVOTDATA("XLL4",'langlon (2016)'!$A$3,"MA_HT","DNG","MA_QH","SKC")</f>
        <v>0</v>
      </c>
      <c r="Z48" s="22">
        <f ca="1">+GETPIVOTDATA("XLL4",'langlon (2016)'!$A$3,"MA_HT","DNG","MA_QH","SKS")</f>
        <v>0</v>
      </c>
      <c r="AA48" s="52">
        <f ca="1" t="shared" si="21"/>
        <v>0</v>
      </c>
      <c r="AB48" s="22">
        <f ca="1">+GETPIVOTDATA("XLL4",'langlon (2016)'!$A$3,"MA_HT","DNG","MA_QH","DGT")</f>
        <v>0</v>
      </c>
      <c r="AC48" s="22">
        <f ca="1">+GETPIVOTDATA("XLL4",'langlon (2016)'!$A$3,"MA_HT","DNG","MA_QH","DTL")</f>
        <v>0</v>
      </c>
      <c r="AD48" s="22">
        <f ca="1">+GETPIVOTDATA("XLL4",'langlon (2016)'!$A$3,"MA_HT","DNG","MA_QH","DNL")</f>
        <v>0</v>
      </c>
      <c r="AE48" s="22">
        <f ca="1">+GETPIVOTDATA("XLL4",'langlon (2016)'!$A$3,"MA_HT","DNG","MA_QH","DBV")</f>
        <v>0</v>
      </c>
      <c r="AF48" s="22">
        <f ca="1">+GETPIVOTDATA("XLL4",'langlon (2016)'!$A$3,"MA_HT","DNG","MA_QH","DVH")</f>
        <v>0</v>
      </c>
      <c r="AG48" s="22">
        <f ca="1">+GETPIVOTDATA("XLL4",'langlon (2016)'!$A$3,"MA_HT","DNG","MA_QH","DYT")</f>
        <v>0</v>
      </c>
      <c r="AH48" s="22">
        <f ca="1">+GETPIVOTDATA("XLL4",'langlon (2016)'!$A$3,"MA_HT","DNG","MA_QH","DGD")</f>
        <v>0</v>
      </c>
      <c r="AI48" s="22">
        <f ca="1">+GETPIVOTDATA("XLL4",'langlon (2016)'!$A$3,"MA_HT","DNG","MA_QH","DTT")</f>
        <v>0</v>
      </c>
      <c r="AJ48" s="22">
        <f ca="1">+GETPIVOTDATA("XLL4",'langlon (2016)'!$A$3,"MA_HT","DNG","MA_QH","NCK")</f>
        <v>0</v>
      </c>
      <c r="AK48" s="22">
        <f ca="1">+GETPIVOTDATA("XLL4",'langlon (2016)'!$A$3,"MA_HT","DNG","MA_QH","DXH")</f>
        <v>0</v>
      </c>
      <c r="AL48" s="22">
        <f ca="1">+GETPIVOTDATA("XLL4",'langlon (2016)'!$A$3,"MA_HT","DNG","MA_QH","DCH")</f>
        <v>0</v>
      </c>
      <c r="AM48" s="22">
        <f ca="1">+GETPIVOTDATA("XLL4",'langlon (2016)'!$A$3,"MA_HT","DNG","MA_QH","DKG")</f>
        <v>0</v>
      </c>
      <c r="AN48" s="22">
        <f ca="1">+GETPIVOTDATA("XLL4",'langlon (2016)'!$A$3,"MA_HT","DNG","MA_QH","DDT")</f>
        <v>0</v>
      </c>
      <c r="AO48" s="22">
        <f ca="1">+GETPIVOTDATA("XLL4",'langlon (2016)'!$A$3,"MA_HT","DNG","MA_QH","DDL")</f>
        <v>0</v>
      </c>
      <c r="AP48" s="22">
        <f ca="1">+GETPIVOTDATA("XLL4",'langlon (2016)'!$A$3,"MA_HT","DNG","MA_QH","DRA")</f>
        <v>0</v>
      </c>
      <c r="AQ48" s="22">
        <f ca="1">+GETPIVOTDATA("XLL4",'langlon (2016)'!$A$3,"MA_HT","DNG","MA_QH","ONT")</f>
        <v>0</v>
      </c>
      <c r="AR48" s="22">
        <f ca="1">+GETPIVOTDATA("XLL4",'langlon (2016)'!$A$3,"MA_HT","DNG","MA_QH","ODT")</f>
        <v>0</v>
      </c>
      <c r="AS48" s="22">
        <f ca="1">+GETPIVOTDATA("XLL4",'langlon (2016)'!$A$3,"MA_HT","DNG","MA_QH","TSC")</f>
        <v>0</v>
      </c>
      <c r="AT48" s="22">
        <f ca="1">+GETPIVOTDATA("XLL4",'langlon (2016)'!$A$3,"MA_HT","DNG","MA_QH","DTS")</f>
        <v>0</v>
      </c>
      <c r="AU48" s="43" t="e">
        <f ca="1">$D48-$BF48</f>
        <v>#REF!</v>
      </c>
      <c r="AV48" s="22">
        <f ca="1">+GETPIVOTDATA("XLL4",'langlon (2016)'!$A$3,"MA_HT","DNG","MA_QH","TON")</f>
        <v>0</v>
      </c>
      <c r="AW48" s="22">
        <f ca="1">+GETPIVOTDATA("XLL4",'langlon (2016)'!$A$3,"MA_HT","DNG","MA_QH","NTD")</f>
        <v>0</v>
      </c>
      <c r="AX48" s="22">
        <f ca="1">+GETPIVOTDATA("XLL4",'langlon (2016)'!$A$3,"MA_HT","DNG","MA_QH","SKX")</f>
        <v>0</v>
      </c>
      <c r="AY48" s="22">
        <f ca="1">+GETPIVOTDATA("XLL4",'langlon (2016)'!$A$3,"MA_HT","DNG","MA_QH","DSH")</f>
        <v>0</v>
      </c>
      <c r="AZ48" s="22">
        <f ca="1">+GETPIVOTDATA("XLL4",'langlon (2016)'!$A$3,"MA_HT","DNG","MA_QH","DKV")</f>
        <v>0</v>
      </c>
      <c r="BA48" s="89">
        <f ca="1">+GETPIVOTDATA("XLL4",'langlon (2016)'!$A$3,"MA_HT","DNG","MA_QH","TIN")</f>
        <v>0</v>
      </c>
      <c r="BB48" s="50">
        <f ca="1">+GETPIVOTDATA("XLL4",'langlon (2016)'!$A$3,"MA_HT","DNG","MA_QH","SON")</f>
        <v>0</v>
      </c>
      <c r="BC48" s="50">
        <f ca="1">+GETPIVOTDATA("XLL4",'langlon (2016)'!$A$3,"MA_HT","DNG","MA_QH","MNC")</f>
        <v>0</v>
      </c>
      <c r="BD48" s="22">
        <f ca="1">+GETPIVOTDATA("XLL4",'langlon (2016)'!$A$3,"MA_HT","DNG","MA_QH","PNK")</f>
        <v>0</v>
      </c>
      <c r="BE48" s="71">
        <f ca="1">+GETPIVOTDATA("XLL4",'langlon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+GETPIVOTDATA("XLL4",'langlon (2016)'!$A$3,"MA_HT","TON","MA_QH","LUC")</f>
        <v>0</v>
      </c>
      <c r="H49" s="22">
        <f ca="1">+GETPIVOTDATA("XLL4",'langlon (2016)'!$A$3,"MA_HT","TON","MA_QH","LUK")</f>
        <v>0</v>
      </c>
      <c r="I49" s="22">
        <f ca="1">+GETPIVOTDATA("XLL4",'langlon (2016)'!$A$3,"MA_HT","TON","MA_QH","LUN")</f>
        <v>0</v>
      </c>
      <c r="J49" s="22">
        <f ca="1">+GETPIVOTDATA("XLL4",'langlon (2016)'!$A$3,"MA_HT","TON","MA_QH","HNK")</f>
        <v>0</v>
      </c>
      <c r="K49" s="22">
        <f ca="1">+GETPIVOTDATA("XLL4",'langlon (2016)'!$A$3,"MA_HT","TON","MA_QH","CLN")</f>
        <v>0</v>
      </c>
      <c r="L49" s="22">
        <f ca="1">+GETPIVOTDATA("XLL4",'langlon (2016)'!$A$3,"MA_HT","TON","MA_QH","RSX")</f>
        <v>0</v>
      </c>
      <c r="M49" s="22">
        <f ca="1">+GETPIVOTDATA("XLL4",'langlon (2016)'!$A$3,"MA_HT","TON","MA_QH","RPH")</f>
        <v>0</v>
      </c>
      <c r="N49" s="22">
        <f ca="1">+GETPIVOTDATA("XLL4",'langlon (2016)'!$A$3,"MA_HT","TON","MA_QH","RDD")</f>
        <v>0</v>
      </c>
      <c r="O49" s="22">
        <f ca="1">+GETPIVOTDATA("XLL4",'langlon (2016)'!$A$3,"MA_HT","TON","MA_QH","NTS")</f>
        <v>0</v>
      </c>
      <c r="P49" s="22">
        <f ca="1">+GETPIVOTDATA("XLL4",'langlon (2016)'!$A$3,"MA_HT","TON","MA_QH","LMU")</f>
        <v>0</v>
      </c>
      <c r="Q49" s="22">
        <f ca="1">+GETPIVOTDATA("XLL4",'langlon (2016)'!$A$3,"MA_HT","TON","MA_QH","NKH")</f>
        <v>0</v>
      </c>
      <c r="R49" s="79">
        <f ca="1">SUM(S49:AA49,AN49:AU49,AW49:BD49)</f>
        <v>0</v>
      </c>
      <c r="S49" s="22">
        <f ca="1">+GETPIVOTDATA("XLL4",'langlon (2016)'!$A$3,"MA_HT","TON","MA_QH","CQP")</f>
        <v>0</v>
      </c>
      <c r="T49" s="22">
        <f ca="1">+GETPIVOTDATA("XLL4",'langlon (2016)'!$A$3,"MA_HT","TON","MA_QH","CAN")</f>
        <v>0</v>
      </c>
      <c r="U49" s="22">
        <f ca="1">+GETPIVOTDATA("XLL4",'langlon (2016)'!$A$3,"MA_HT","TON","MA_QH","SKK")</f>
        <v>0</v>
      </c>
      <c r="V49" s="22">
        <f ca="1">+GETPIVOTDATA("XLL4",'langlon (2016)'!$A$3,"MA_HT","TON","MA_QH","SKT")</f>
        <v>0</v>
      </c>
      <c r="W49" s="22">
        <f ca="1">+GETPIVOTDATA("XLL4",'langlon (2016)'!$A$3,"MA_HT","TON","MA_QH","SKN")</f>
        <v>0</v>
      </c>
      <c r="X49" s="22">
        <f ca="1">+GETPIVOTDATA("XLL4",'langlon (2016)'!$A$3,"MA_HT","TON","MA_QH","TMD")</f>
        <v>0</v>
      </c>
      <c r="Y49" s="22">
        <f ca="1">+GETPIVOTDATA("XLL4",'langlon (2016)'!$A$3,"MA_HT","TON","MA_QH","SKC")</f>
        <v>0</v>
      </c>
      <c r="Z49" s="22">
        <f ca="1">+GETPIVOTDATA("XLL4",'langlon (2016)'!$A$3,"MA_HT","TON","MA_QH","SKS")</f>
        <v>0</v>
      </c>
      <c r="AA49" s="52">
        <f ca="1" t="shared" si="21"/>
        <v>0</v>
      </c>
      <c r="AB49" s="22">
        <f ca="1">+GETPIVOTDATA("XLL4",'langlon (2016)'!$A$3,"MA_HT","TON","MA_QH","DGT")</f>
        <v>0</v>
      </c>
      <c r="AC49" s="22">
        <f ca="1">+GETPIVOTDATA("XLL4",'langlon (2016)'!$A$3,"MA_HT","TON","MA_QH","DTL")</f>
        <v>0</v>
      </c>
      <c r="AD49" s="22">
        <f ca="1">+GETPIVOTDATA("XLL4",'langlon (2016)'!$A$3,"MA_HT","TON","MA_QH","DNL")</f>
        <v>0</v>
      </c>
      <c r="AE49" s="22">
        <f ca="1">+GETPIVOTDATA("XLL4",'langlon (2016)'!$A$3,"MA_HT","TON","MA_QH","DBV")</f>
        <v>0</v>
      </c>
      <c r="AF49" s="22">
        <f ca="1">+GETPIVOTDATA("XLL4",'langlon (2016)'!$A$3,"MA_HT","TON","MA_QH","DVH")</f>
        <v>0</v>
      </c>
      <c r="AG49" s="22">
        <f ca="1">+GETPIVOTDATA("XLL4",'langlon (2016)'!$A$3,"MA_HT","TON","MA_QH","DYT")</f>
        <v>0</v>
      </c>
      <c r="AH49" s="22">
        <f ca="1">+GETPIVOTDATA("XLL4",'langlon (2016)'!$A$3,"MA_HT","TON","MA_QH","DGD")</f>
        <v>0</v>
      </c>
      <c r="AI49" s="22">
        <f ca="1">+GETPIVOTDATA("XLL4",'langlon (2016)'!$A$3,"MA_HT","TON","MA_QH","DTT")</f>
        <v>0</v>
      </c>
      <c r="AJ49" s="22">
        <f ca="1">+GETPIVOTDATA("XLL4",'langlon (2016)'!$A$3,"MA_HT","TON","MA_QH","NCK")</f>
        <v>0</v>
      </c>
      <c r="AK49" s="22">
        <f ca="1">+GETPIVOTDATA("XLL4",'langlon (2016)'!$A$3,"MA_HT","TON","MA_QH","DXH")</f>
        <v>0</v>
      </c>
      <c r="AL49" s="22">
        <f ca="1">+GETPIVOTDATA("XLL4",'langlon (2016)'!$A$3,"MA_HT","TON","MA_QH","DCH")</f>
        <v>0</v>
      </c>
      <c r="AM49" s="22">
        <f ca="1">+GETPIVOTDATA("XLL4",'langlon (2016)'!$A$3,"MA_HT","TON","MA_QH","DKG")</f>
        <v>0</v>
      </c>
      <c r="AN49" s="22">
        <f ca="1">+GETPIVOTDATA("XLL4",'langlon (2016)'!$A$3,"MA_HT","TON","MA_QH","DDT")</f>
        <v>0</v>
      </c>
      <c r="AO49" s="22">
        <f ca="1">+GETPIVOTDATA("XLL4",'langlon (2016)'!$A$3,"MA_HT","TON","MA_QH","DDL")</f>
        <v>0</v>
      </c>
      <c r="AP49" s="22">
        <f ca="1">+GETPIVOTDATA("XLL4",'langlon (2016)'!$A$3,"MA_HT","TON","MA_QH","DRA")</f>
        <v>0</v>
      </c>
      <c r="AQ49" s="22">
        <f ca="1">+GETPIVOTDATA("XLL4",'langlon (2016)'!$A$3,"MA_HT","TON","MA_QH","ONT")</f>
        <v>0</v>
      </c>
      <c r="AR49" s="22">
        <f ca="1">+GETPIVOTDATA("XLL4",'langlon (2016)'!$A$3,"MA_HT","TON","MA_QH","ODT")</f>
        <v>0</v>
      </c>
      <c r="AS49" s="22">
        <f ca="1">+GETPIVOTDATA("XLL4",'langlon (2016)'!$A$3,"MA_HT","TON","MA_QH","TSC")</f>
        <v>0</v>
      </c>
      <c r="AT49" s="22">
        <f ca="1">+GETPIVOTDATA("XLL4",'langlon (2016)'!$A$3,"MA_HT","TON","MA_QH","DTS")</f>
        <v>0</v>
      </c>
      <c r="AU49" s="22">
        <f ca="1">+GETPIVOTDATA("XLL4",'langlon (2016)'!$A$3,"MA_HT","TON","MA_QH","DNG")</f>
        <v>0</v>
      </c>
      <c r="AV49" s="43" t="e">
        <f ca="1">$D49-$BF49</f>
        <v>#REF!</v>
      </c>
      <c r="AW49" s="22">
        <f ca="1">+GETPIVOTDATA("XLL4",'langlon (2016)'!$A$3,"MA_HT","TON","MA_QH","NTD")</f>
        <v>0</v>
      </c>
      <c r="AX49" s="22">
        <f ca="1">+GETPIVOTDATA("XLL4",'langlon (2016)'!$A$3,"MA_HT","TON","MA_QH","SKX")</f>
        <v>0</v>
      </c>
      <c r="AY49" s="22">
        <f ca="1">+GETPIVOTDATA("XLL4",'langlon (2016)'!$A$3,"MA_HT","TON","MA_QH","DSH")</f>
        <v>0</v>
      </c>
      <c r="AZ49" s="22">
        <f ca="1">+GETPIVOTDATA("XLL4",'langlon (2016)'!$A$3,"MA_HT","TON","MA_QH","DKV")</f>
        <v>0</v>
      </c>
      <c r="BA49" s="89">
        <f ca="1">+GETPIVOTDATA("XLL4",'langlon (2016)'!$A$3,"MA_HT","TON","MA_QH","TIN")</f>
        <v>0</v>
      </c>
      <c r="BB49" s="50">
        <f ca="1">+GETPIVOTDATA("XLL4",'langlon (2016)'!$A$3,"MA_HT","TON","MA_QH","SON")</f>
        <v>0</v>
      </c>
      <c r="BC49" s="50">
        <f ca="1">+GETPIVOTDATA("XLL4",'langlon (2016)'!$A$3,"MA_HT","TON","MA_QH","MNC")</f>
        <v>0</v>
      </c>
      <c r="BD49" s="22">
        <f ca="1">+GETPIVOTDATA("XLL4",'langlon (2016)'!$A$3,"MA_HT","TON","MA_QH","PNK")</f>
        <v>0</v>
      </c>
      <c r="BE49" s="71">
        <f ca="1">+GETPIVOTDATA("XLL4",'langlon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+GETPIVOTDATA("XLL4",'langlon (2016)'!$A$3,"MA_HT","NTD","MA_QH","LUC")</f>
        <v>0</v>
      </c>
      <c r="H50" s="22">
        <f ca="1">+GETPIVOTDATA("XLL4",'langlon (2016)'!$A$3,"MA_HT","NTD","MA_QH","LUK")</f>
        <v>0</v>
      </c>
      <c r="I50" s="22">
        <f ca="1">+GETPIVOTDATA("XLL4",'langlon (2016)'!$A$3,"MA_HT","NTD","MA_QH","LUN")</f>
        <v>0</v>
      </c>
      <c r="J50" s="22">
        <f ca="1">+GETPIVOTDATA("XLL4",'langlon (2016)'!$A$3,"MA_HT","NTD","MA_QH","HNK")</f>
        <v>0</v>
      </c>
      <c r="K50" s="22">
        <f ca="1">+GETPIVOTDATA("XLL4",'langlon (2016)'!$A$3,"MA_HT","NTD","MA_QH","CLN")</f>
        <v>0</v>
      </c>
      <c r="L50" s="22">
        <f ca="1">+GETPIVOTDATA("XLL4",'langlon (2016)'!$A$3,"MA_HT","NTD","MA_QH","RSX")</f>
        <v>0</v>
      </c>
      <c r="M50" s="22">
        <f ca="1">+GETPIVOTDATA("XLL4",'langlon (2016)'!$A$3,"MA_HT","NTD","MA_QH","RPH")</f>
        <v>0</v>
      </c>
      <c r="N50" s="22">
        <f ca="1">+GETPIVOTDATA("XLL4",'langlon (2016)'!$A$3,"MA_HT","NTD","MA_QH","RDD")</f>
        <v>0</v>
      </c>
      <c r="O50" s="22">
        <f ca="1">+GETPIVOTDATA("XLL4",'langlon (2016)'!$A$3,"MA_HT","NTD","MA_QH","NTS")</f>
        <v>0</v>
      </c>
      <c r="P50" s="22">
        <f ca="1">+GETPIVOTDATA("XLL4",'langlon (2016)'!$A$3,"MA_HT","NTD","MA_QH","LMU")</f>
        <v>0</v>
      </c>
      <c r="Q50" s="22">
        <f ca="1">+GETPIVOTDATA("XLL4",'langlon (2016)'!$A$3,"MA_HT","NTD","MA_QH","NKH")</f>
        <v>0</v>
      </c>
      <c r="R50" s="79">
        <f ca="1">SUM(S50:AA50,AN50:AV50,AX50:BD50)</f>
        <v>0</v>
      </c>
      <c r="S50" s="22">
        <f ca="1">+GETPIVOTDATA("XLL4",'langlon (2016)'!$A$3,"MA_HT","NTD","MA_QH","CQP")</f>
        <v>0</v>
      </c>
      <c r="T50" s="22">
        <f ca="1">+GETPIVOTDATA("XLL4",'langlon (2016)'!$A$3,"MA_HT","NTD","MA_QH","CAN")</f>
        <v>0</v>
      </c>
      <c r="U50" s="22">
        <f ca="1">+GETPIVOTDATA("XLL4",'langlon (2016)'!$A$3,"MA_HT","NTD","MA_QH","SKK")</f>
        <v>0</v>
      </c>
      <c r="V50" s="22">
        <f ca="1">+GETPIVOTDATA("XLL4",'langlon (2016)'!$A$3,"MA_HT","NTD","MA_QH","SKT")</f>
        <v>0</v>
      </c>
      <c r="W50" s="22">
        <f ca="1">+GETPIVOTDATA("XLL4",'langlon (2016)'!$A$3,"MA_HT","NTD","MA_QH","SKN")</f>
        <v>0</v>
      </c>
      <c r="X50" s="22">
        <f ca="1">+GETPIVOTDATA("XLL4",'langlon (2016)'!$A$3,"MA_HT","NTD","MA_QH","TMD")</f>
        <v>0</v>
      </c>
      <c r="Y50" s="22">
        <f ca="1">+GETPIVOTDATA("XLL4",'langlon (2016)'!$A$3,"MA_HT","NTD","MA_QH","SKC")</f>
        <v>0</v>
      </c>
      <c r="Z50" s="22">
        <f ca="1">+GETPIVOTDATA("XLL4",'langlon (2016)'!$A$3,"MA_HT","NTD","MA_QH","SKS")</f>
        <v>0</v>
      </c>
      <c r="AA50" s="52">
        <f ca="1" t="shared" si="21"/>
        <v>0</v>
      </c>
      <c r="AB50" s="22">
        <f ca="1">+GETPIVOTDATA("XLL4",'langlon (2016)'!$A$3,"MA_HT","NTD","MA_QH","DGT")</f>
        <v>0</v>
      </c>
      <c r="AC50" s="22">
        <f ca="1">+GETPIVOTDATA("XLL4",'langlon (2016)'!$A$3,"MA_HT","NTD","MA_QH","DTL")</f>
        <v>0</v>
      </c>
      <c r="AD50" s="22">
        <f ca="1">+GETPIVOTDATA("XLL4",'langlon (2016)'!$A$3,"MA_HT","NTD","MA_QH","DNL")</f>
        <v>0</v>
      </c>
      <c r="AE50" s="22">
        <f ca="1">+GETPIVOTDATA("XLL4",'langlon (2016)'!$A$3,"MA_HT","NTD","MA_QH","DBV")</f>
        <v>0</v>
      </c>
      <c r="AF50" s="22">
        <f ca="1">+GETPIVOTDATA("XLL4",'langlon (2016)'!$A$3,"MA_HT","NTD","MA_QH","DVH")</f>
        <v>0</v>
      </c>
      <c r="AG50" s="22">
        <f ca="1">+GETPIVOTDATA("XLL4",'langlon (2016)'!$A$3,"MA_HT","NTD","MA_QH","DYT")</f>
        <v>0</v>
      </c>
      <c r="AH50" s="22">
        <f ca="1">+GETPIVOTDATA("XLL4",'langlon (2016)'!$A$3,"MA_HT","NTD","MA_QH","DGD")</f>
        <v>0</v>
      </c>
      <c r="AI50" s="22">
        <f ca="1">+GETPIVOTDATA("XLL4",'langlon (2016)'!$A$3,"MA_HT","NTD","MA_QH","DTT")</f>
        <v>0</v>
      </c>
      <c r="AJ50" s="22">
        <f ca="1">+GETPIVOTDATA("XLL4",'langlon (2016)'!$A$3,"MA_HT","NTD","MA_QH","NCK")</f>
        <v>0</v>
      </c>
      <c r="AK50" s="22">
        <f ca="1">+GETPIVOTDATA("XLL4",'langlon (2016)'!$A$3,"MA_HT","NTD","MA_QH","DXH")</f>
        <v>0</v>
      </c>
      <c r="AL50" s="22">
        <f ca="1">+GETPIVOTDATA("XLL4",'langlon (2016)'!$A$3,"MA_HT","NTD","MA_QH","DCH")</f>
        <v>0</v>
      </c>
      <c r="AM50" s="22">
        <f ca="1">+GETPIVOTDATA("XLL4",'langlon (2016)'!$A$3,"MA_HT","NTD","MA_QH","DKG")</f>
        <v>0</v>
      </c>
      <c r="AN50" s="22">
        <f ca="1">+GETPIVOTDATA("XLL4",'langlon (2016)'!$A$3,"MA_HT","NTD","MA_QH","DDT")</f>
        <v>0</v>
      </c>
      <c r="AO50" s="22">
        <f ca="1">+GETPIVOTDATA("XLL4",'langlon (2016)'!$A$3,"MA_HT","NTD","MA_QH","DDL")</f>
        <v>0</v>
      </c>
      <c r="AP50" s="22">
        <f ca="1">+GETPIVOTDATA("XLL4",'langlon (2016)'!$A$3,"MA_HT","NTD","MA_QH","DRA")</f>
        <v>0</v>
      </c>
      <c r="AQ50" s="22">
        <f ca="1">+GETPIVOTDATA("XLL4",'langlon (2016)'!$A$3,"MA_HT","NTD","MA_QH","ONT")</f>
        <v>0</v>
      </c>
      <c r="AR50" s="22">
        <f ca="1">+GETPIVOTDATA("XLL4",'langlon (2016)'!$A$3,"MA_HT","NTD","MA_QH","ODT")</f>
        <v>0</v>
      </c>
      <c r="AS50" s="22">
        <f ca="1">+GETPIVOTDATA("XLL4",'langlon (2016)'!$A$3,"MA_HT","NTD","MA_QH","TSC")</f>
        <v>0</v>
      </c>
      <c r="AT50" s="22">
        <f ca="1">+GETPIVOTDATA("XLL4",'langlon (2016)'!$A$3,"MA_HT","NTD","MA_QH","DTS")</f>
        <v>0</v>
      </c>
      <c r="AU50" s="22">
        <f ca="1">+GETPIVOTDATA("XLL4",'langlon (2016)'!$A$3,"MA_HT","NTD","MA_QH","DNG")</f>
        <v>0</v>
      </c>
      <c r="AV50" s="22">
        <f ca="1">+GETPIVOTDATA("XLL4",'langlon (2016)'!$A$3,"MA_HT","NTD","MA_QH","TON")</f>
        <v>0</v>
      </c>
      <c r="AW50" s="43" t="e">
        <f ca="1">$D50-$BF50</f>
        <v>#REF!</v>
      </c>
      <c r="AX50" s="22">
        <f ca="1">+GETPIVOTDATA("XLL4",'langlon (2016)'!$A$3,"MA_HT","NTD","MA_QH","SKX")</f>
        <v>0</v>
      </c>
      <c r="AY50" s="22">
        <f ca="1">+GETPIVOTDATA("XLL4",'langlon (2016)'!$A$3,"MA_HT","NTD","MA_QH","DSH")</f>
        <v>0</v>
      </c>
      <c r="AZ50" s="22">
        <f ca="1">+GETPIVOTDATA("XLL4",'langlon (2016)'!$A$3,"MA_HT","NTD","MA_QH","DKV")</f>
        <v>0</v>
      </c>
      <c r="BA50" s="89">
        <f ca="1">+GETPIVOTDATA("XLL4",'langlon (2016)'!$A$3,"MA_HT","NTD","MA_QH","TIN")</f>
        <v>0</v>
      </c>
      <c r="BB50" s="50">
        <f ca="1">+GETPIVOTDATA("XLL4",'langlon (2016)'!$A$3,"MA_HT","NTD","MA_QH","SON")</f>
        <v>0</v>
      </c>
      <c r="BC50" s="50">
        <f ca="1">+GETPIVOTDATA("XLL4",'langlon (2016)'!$A$3,"MA_HT","NTD","MA_QH","MNC")</f>
        <v>0</v>
      </c>
      <c r="BD50" s="22">
        <f ca="1">+GETPIVOTDATA("XLL4",'langlon (2016)'!$A$3,"MA_HT","NTD","MA_QH","PNK")</f>
        <v>0</v>
      </c>
      <c r="BE50" s="71">
        <f ca="1">+GETPIVOTDATA("XLL4",'langlon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+GETPIVOTDATA("XLL4",'langlon (2016)'!$A$3,"MA_HT","SKX","MA_QH","LUC")</f>
        <v>0</v>
      </c>
      <c r="H51" s="22">
        <f ca="1">+GETPIVOTDATA("XLL4",'langlon (2016)'!$A$3,"MA_HT","SKX","MA_QH","LUK")</f>
        <v>0</v>
      </c>
      <c r="I51" s="22">
        <f ca="1">+GETPIVOTDATA("XLL4",'langlon (2016)'!$A$3,"MA_HT","SKX","MA_QH","LUN")</f>
        <v>0</v>
      </c>
      <c r="J51" s="22">
        <f ca="1">+GETPIVOTDATA("XLL4",'langlon (2016)'!$A$3,"MA_HT","SKX","MA_QH","HNK")</f>
        <v>0</v>
      </c>
      <c r="K51" s="22">
        <f ca="1">+GETPIVOTDATA("XLL4",'langlon (2016)'!$A$3,"MA_HT","SKX","MA_QH","CLN")</f>
        <v>0</v>
      </c>
      <c r="L51" s="22">
        <f ca="1">+GETPIVOTDATA("XLL4",'langlon (2016)'!$A$3,"MA_HT","SKX","MA_QH","RSX")</f>
        <v>0</v>
      </c>
      <c r="M51" s="22">
        <f ca="1">+GETPIVOTDATA("XLL4",'langlon (2016)'!$A$3,"MA_HT","SKX","MA_QH","RPH")</f>
        <v>0</v>
      </c>
      <c r="N51" s="22">
        <f ca="1">+GETPIVOTDATA("XLL4",'langlon (2016)'!$A$3,"MA_HT","SKX","MA_QH","RDD")</f>
        <v>0</v>
      </c>
      <c r="O51" s="22">
        <f ca="1">+GETPIVOTDATA("XLL4",'langlon (2016)'!$A$3,"MA_HT","SKX","MA_QH","NTS")</f>
        <v>0</v>
      </c>
      <c r="P51" s="22">
        <f ca="1">+GETPIVOTDATA("XLL4",'langlon (2016)'!$A$3,"MA_HT","SKX","MA_QH","LMU")</f>
        <v>0</v>
      </c>
      <c r="Q51" s="22">
        <f ca="1">+GETPIVOTDATA("XLL4",'langlon (2016)'!$A$3,"MA_HT","SKX","MA_QH","NKH")</f>
        <v>0</v>
      </c>
      <c r="R51" s="79">
        <f ca="1">SUM(S51:AA51,AN51:AW51,AY51:BD51)</f>
        <v>0</v>
      </c>
      <c r="S51" s="22">
        <f ca="1">+GETPIVOTDATA("XLL4",'langlon (2016)'!$A$3,"MA_HT","SKX","MA_QH","CQP")</f>
        <v>0</v>
      </c>
      <c r="T51" s="22">
        <f ca="1">+GETPIVOTDATA("XLL4",'langlon (2016)'!$A$3,"MA_HT","SKX","MA_QH","CAN")</f>
        <v>0</v>
      </c>
      <c r="U51" s="22">
        <f ca="1">+GETPIVOTDATA("XLL4",'langlon (2016)'!$A$3,"MA_HT","SKX","MA_QH","SKK")</f>
        <v>0</v>
      </c>
      <c r="V51" s="22">
        <f ca="1">+GETPIVOTDATA("XLL4",'langlon (2016)'!$A$3,"MA_HT","SKX","MA_QH","SKT")</f>
        <v>0</v>
      </c>
      <c r="W51" s="22">
        <f ca="1">+GETPIVOTDATA("XLL4",'langlon (2016)'!$A$3,"MA_HT","SKX","MA_QH","SKN")</f>
        <v>0</v>
      </c>
      <c r="X51" s="22">
        <f ca="1">+GETPIVOTDATA("XLL4",'langlon (2016)'!$A$3,"MA_HT","SKX","MA_QH","TMD")</f>
        <v>0</v>
      </c>
      <c r="Y51" s="22">
        <f ca="1">+GETPIVOTDATA("XLL4",'langlon (2016)'!$A$3,"MA_HT","SKX","MA_QH","SKC")</f>
        <v>0</v>
      </c>
      <c r="Z51" s="22">
        <f ca="1">+GETPIVOTDATA("XLL4",'langlon (2016)'!$A$3,"MA_HT","SKX","MA_QH","SKS")</f>
        <v>0</v>
      </c>
      <c r="AA51" s="52">
        <f ca="1" t="shared" si="21"/>
        <v>0</v>
      </c>
      <c r="AB51" s="22">
        <f ca="1">+GETPIVOTDATA("XLL4",'langlon (2016)'!$A$3,"MA_HT","SKX","MA_QH","DGT")</f>
        <v>0</v>
      </c>
      <c r="AC51" s="22">
        <f ca="1">+GETPIVOTDATA("XLL4",'langlon (2016)'!$A$3,"MA_HT","SKX","MA_QH","DTL")</f>
        <v>0</v>
      </c>
      <c r="AD51" s="22">
        <f ca="1">+GETPIVOTDATA("XLL4",'langlon (2016)'!$A$3,"MA_HT","SKX","MA_QH","DNL")</f>
        <v>0</v>
      </c>
      <c r="AE51" s="22">
        <f ca="1">+GETPIVOTDATA("XLL4",'langlon (2016)'!$A$3,"MA_HT","SKX","MA_QH","DBV")</f>
        <v>0</v>
      </c>
      <c r="AF51" s="22">
        <f ca="1">+GETPIVOTDATA("XLL4",'langlon (2016)'!$A$3,"MA_HT","SKX","MA_QH","DVH")</f>
        <v>0</v>
      </c>
      <c r="AG51" s="22">
        <f ca="1">+GETPIVOTDATA("XLL4",'langlon (2016)'!$A$3,"MA_HT","SKX","MA_QH","DYT")</f>
        <v>0</v>
      </c>
      <c r="AH51" s="22">
        <f ca="1">+GETPIVOTDATA("XLL4",'langlon (2016)'!$A$3,"MA_HT","SKX","MA_QH","DGD")</f>
        <v>0</v>
      </c>
      <c r="AI51" s="22">
        <f ca="1">+GETPIVOTDATA("XLL4",'langlon (2016)'!$A$3,"MA_HT","SKX","MA_QH","DTT")</f>
        <v>0</v>
      </c>
      <c r="AJ51" s="22">
        <f ca="1">+GETPIVOTDATA("XLL4",'langlon (2016)'!$A$3,"MA_HT","SKX","MA_QH","NCK")</f>
        <v>0</v>
      </c>
      <c r="AK51" s="22">
        <f ca="1">+GETPIVOTDATA("XLL4",'langlon (2016)'!$A$3,"MA_HT","SKX","MA_QH","DXH")</f>
        <v>0</v>
      </c>
      <c r="AL51" s="22">
        <f ca="1">+GETPIVOTDATA("XLL4",'langlon (2016)'!$A$3,"MA_HT","SKX","MA_QH","DCH")</f>
        <v>0</v>
      </c>
      <c r="AM51" s="22">
        <f ca="1">+GETPIVOTDATA("XLL4",'langlon (2016)'!$A$3,"MA_HT","SKX","MA_QH","DKG")</f>
        <v>0</v>
      </c>
      <c r="AN51" s="22">
        <f ca="1">+GETPIVOTDATA("XLL4",'langlon (2016)'!$A$3,"MA_HT","SKX","MA_QH","DDT")</f>
        <v>0</v>
      </c>
      <c r="AO51" s="22">
        <f ca="1">+GETPIVOTDATA("XLL4",'langlon (2016)'!$A$3,"MA_HT","SKX","MA_QH","DDL")</f>
        <v>0</v>
      </c>
      <c r="AP51" s="22">
        <f ca="1">+GETPIVOTDATA("XLL4",'langlon (2016)'!$A$3,"MA_HT","SKX","MA_QH","DRA")</f>
        <v>0</v>
      </c>
      <c r="AQ51" s="22">
        <f ca="1">+GETPIVOTDATA("XLL4",'langlon (2016)'!$A$3,"MA_HT","SKX","MA_QH","ONT")</f>
        <v>0</v>
      </c>
      <c r="AR51" s="22">
        <f ca="1">+GETPIVOTDATA("XLL4",'langlon (2016)'!$A$3,"MA_HT","SKX","MA_QH","ODT")</f>
        <v>0</v>
      </c>
      <c r="AS51" s="22">
        <f ca="1">+GETPIVOTDATA("XLL4",'langlon (2016)'!$A$3,"MA_HT","SKX","MA_QH","TSC")</f>
        <v>0</v>
      </c>
      <c r="AT51" s="22">
        <f ca="1">+GETPIVOTDATA("XLL4",'langlon (2016)'!$A$3,"MA_HT","SKX","MA_QH","DTS")</f>
        <v>0</v>
      </c>
      <c r="AU51" s="22">
        <f ca="1">+GETPIVOTDATA("XLL4",'langlon (2016)'!$A$3,"MA_HT","SKX","MA_QH","DNG")</f>
        <v>0</v>
      </c>
      <c r="AV51" s="22">
        <f ca="1">+GETPIVOTDATA("XLL4",'langlon (2016)'!$A$3,"MA_HT","SKX","MA_QH","TON")</f>
        <v>0</v>
      </c>
      <c r="AW51" s="22">
        <f ca="1">+GETPIVOTDATA("XLL4",'langlon (2016)'!$A$3,"MA_HT","SKX","MA_QH","NTD")</f>
        <v>0</v>
      </c>
      <c r="AX51" s="43" t="e">
        <f ca="1">$D51-$BF51</f>
        <v>#REF!</v>
      </c>
      <c r="AY51" s="22">
        <f ca="1">+GETPIVOTDATA("XLL4",'langlon (2016)'!$A$3,"MA_HT","SKX","MA_QH","DSH")</f>
        <v>0</v>
      </c>
      <c r="AZ51" s="22">
        <f ca="1">+GETPIVOTDATA("XLL4",'langlon (2016)'!$A$3,"MA_HT","SKX","MA_QH","DKV")</f>
        <v>0</v>
      </c>
      <c r="BA51" s="89">
        <f ca="1">+GETPIVOTDATA("XLL4",'langlon (2016)'!$A$3,"MA_HT","SKX","MA_QH","TIN")</f>
        <v>0</v>
      </c>
      <c r="BB51" s="50">
        <f ca="1">+GETPIVOTDATA("XLL4",'langlon (2016)'!$A$3,"MA_HT","SKX","MA_QH","SON")</f>
        <v>0</v>
      </c>
      <c r="BC51" s="50">
        <f ca="1">+GETPIVOTDATA("XLL4",'langlon (2016)'!$A$3,"MA_HT","SKX","MA_QH","MNC")</f>
        <v>0</v>
      </c>
      <c r="BD51" s="22">
        <f ca="1">+GETPIVOTDATA("XLL4",'langlon (2016)'!$A$3,"MA_HT","SKX","MA_QH","PNK")</f>
        <v>0</v>
      </c>
      <c r="BE51" s="71">
        <f ca="1">+GETPIVOTDATA("XLL4",'langlon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+GETPIVOTDATA("XLL4",'langlon (2016)'!$A$3,"MA_HT","DSH","MA_QH","LUC")</f>
        <v>0</v>
      </c>
      <c r="H52" s="22">
        <f ca="1">+GETPIVOTDATA("XLL4",'langlon (2016)'!$A$3,"MA_HT","DSH","MA_QH","LUK")</f>
        <v>0</v>
      </c>
      <c r="I52" s="22">
        <f ca="1">+GETPIVOTDATA("XLL4",'langlon (2016)'!$A$3,"MA_HT","DSH","MA_QH","LUN")</f>
        <v>0</v>
      </c>
      <c r="J52" s="22">
        <f ca="1">+GETPIVOTDATA("XLL4",'langlon (2016)'!$A$3,"MA_HT","DSH","MA_QH","HNK")</f>
        <v>0</v>
      </c>
      <c r="K52" s="22">
        <f ca="1">+GETPIVOTDATA("XLL4",'langlon (2016)'!$A$3,"MA_HT","DSH","MA_QH","CLN")</f>
        <v>0</v>
      </c>
      <c r="L52" s="22">
        <f ca="1">+GETPIVOTDATA("XLL4",'langlon (2016)'!$A$3,"MA_HT","DSH","MA_QH","RSX")</f>
        <v>0</v>
      </c>
      <c r="M52" s="22">
        <f ca="1">+GETPIVOTDATA("XLL4",'langlon (2016)'!$A$3,"MA_HT","DSH","MA_QH","RPH")</f>
        <v>0</v>
      </c>
      <c r="N52" s="22">
        <f ca="1">+GETPIVOTDATA("XLL4",'langlon (2016)'!$A$3,"MA_HT","DSH","MA_QH","RDD")</f>
        <v>0</v>
      </c>
      <c r="O52" s="22">
        <f ca="1">+GETPIVOTDATA("XLL4",'langlon (2016)'!$A$3,"MA_HT","DSH","MA_QH","NTS")</f>
        <v>0</v>
      </c>
      <c r="P52" s="22">
        <f ca="1">+GETPIVOTDATA("XLL4",'langlon (2016)'!$A$3,"MA_HT","DSH","MA_QH","LMU")</f>
        <v>0</v>
      </c>
      <c r="Q52" s="22">
        <f ca="1">+GETPIVOTDATA("XLL4",'langlon (2016)'!$A$3,"MA_HT","DSH","MA_QH","NKH")</f>
        <v>0</v>
      </c>
      <c r="R52" s="79">
        <f ca="1">SUM(S52:AA52,AN52:AX52,AZ52:BD52)</f>
        <v>0</v>
      </c>
      <c r="S52" s="22">
        <f ca="1">+GETPIVOTDATA("XLL4",'langlon (2016)'!$A$3,"MA_HT","DSH","MA_QH","CQP")</f>
        <v>0</v>
      </c>
      <c r="T52" s="22">
        <f ca="1">+GETPIVOTDATA("XLL4",'langlon (2016)'!$A$3,"MA_HT","DSH","MA_QH","CAN")</f>
        <v>0</v>
      </c>
      <c r="U52" s="22">
        <f ca="1">+GETPIVOTDATA("XLL4",'langlon (2016)'!$A$3,"MA_HT","DSH","MA_QH","SKK")</f>
        <v>0</v>
      </c>
      <c r="V52" s="22">
        <f ca="1">+GETPIVOTDATA("XLL4",'langlon (2016)'!$A$3,"MA_HT","DSH","MA_QH","SKT")</f>
        <v>0</v>
      </c>
      <c r="W52" s="22">
        <f ca="1">+GETPIVOTDATA("XLL4",'langlon (2016)'!$A$3,"MA_HT","DSH","MA_QH","SKN")</f>
        <v>0</v>
      </c>
      <c r="X52" s="22">
        <f ca="1">+GETPIVOTDATA("XLL4",'langlon (2016)'!$A$3,"MA_HT","DSH","MA_QH","TMD")</f>
        <v>0</v>
      </c>
      <c r="Y52" s="22">
        <f ca="1">+GETPIVOTDATA("XLL4",'langlon (2016)'!$A$3,"MA_HT","DSH","MA_QH","SKC")</f>
        <v>0</v>
      </c>
      <c r="Z52" s="22">
        <f ca="1">+GETPIVOTDATA("XLL4",'langlon (2016)'!$A$3,"MA_HT","DSH","MA_QH","SKS")</f>
        <v>0</v>
      </c>
      <c r="AA52" s="52">
        <f ca="1" t="shared" si="21"/>
        <v>0</v>
      </c>
      <c r="AB52" s="22">
        <f ca="1">+GETPIVOTDATA("XLL4",'langlon (2016)'!$A$3,"MA_HT","DSH","MA_QH","DGT")</f>
        <v>0</v>
      </c>
      <c r="AC52" s="22">
        <f ca="1">+GETPIVOTDATA("XLL4",'langlon (2016)'!$A$3,"MA_HT","DSH","MA_QH","DTL")</f>
        <v>0</v>
      </c>
      <c r="AD52" s="22">
        <f ca="1">+GETPIVOTDATA("XLL4",'langlon (2016)'!$A$3,"MA_HT","DSH","MA_QH","DNL")</f>
        <v>0</v>
      </c>
      <c r="AE52" s="22">
        <f ca="1">+GETPIVOTDATA("XLL4",'langlon (2016)'!$A$3,"MA_HT","DSH","MA_QH","DBV")</f>
        <v>0</v>
      </c>
      <c r="AF52" s="22">
        <f ca="1">+GETPIVOTDATA("XLL4",'langlon (2016)'!$A$3,"MA_HT","DSH","MA_QH","DVH")</f>
        <v>0</v>
      </c>
      <c r="AG52" s="22">
        <f ca="1">+GETPIVOTDATA("XLL4",'langlon (2016)'!$A$3,"MA_HT","DSH","MA_QH","DYT")</f>
        <v>0</v>
      </c>
      <c r="AH52" s="22">
        <f ca="1">+GETPIVOTDATA("XLL4",'langlon (2016)'!$A$3,"MA_HT","DSH","MA_QH","DGD")</f>
        <v>0</v>
      </c>
      <c r="AI52" s="22">
        <f ca="1">+GETPIVOTDATA("XLL4",'langlon (2016)'!$A$3,"MA_HT","DSH","MA_QH","DTT")</f>
        <v>0</v>
      </c>
      <c r="AJ52" s="22">
        <f ca="1">+GETPIVOTDATA("XLL4",'langlon (2016)'!$A$3,"MA_HT","DSH","MA_QH","NCK")</f>
        <v>0</v>
      </c>
      <c r="AK52" s="22">
        <f ca="1">+GETPIVOTDATA("XLL4",'langlon (2016)'!$A$3,"MA_HT","DSH","MA_QH","DXH")</f>
        <v>0</v>
      </c>
      <c r="AL52" s="22">
        <f ca="1">+GETPIVOTDATA("XLL4",'langlon (2016)'!$A$3,"MA_HT","DSH","MA_QH","DCH")</f>
        <v>0</v>
      </c>
      <c r="AM52" s="22">
        <f ca="1">+GETPIVOTDATA("XLL4",'langlon (2016)'!$A$3,"MA_HT","DSH","MA_QH","DKG")</f>
        <v>0</v>
      </c>
      <c r="AN52" s="22">
        <f ca="1">+GETPIVOTDATA("XLL4",'langlon (2016)'!$A$3,"MA_HT","DSH","MA_QH","DDT")</f>
        <v>0</v>
      </c>
      <c r="AO52" s="22">
        <f ca="1">+GETPIVOTDATA("XLL4",'langlon (2016)'!$A$3,"MA_HT","DSH","MA_QH","DDL")</f>
        <v>0</v>
      </c>
      <c r="AP52" s="22">
        <f ca="1">+GETPIVOTDATA("XLL4",'langlon (2016)'!$A$3,"MA_HT","DSH","MA_QH","DRA")</f>
        <v>0</v>
      </c>
      <c r="AQ52" s="22">
        <f ca="1">+GETPIVOTDATA("XLL4",'langlon (2016)'!$A$3,"MA_HT","DSH","MA_QH","ONT")</f>
        <v>0</v>
      </c>
      <c r="AR52" s="22">
        <f ca="1">+GETPIVOTDATA("XLL4",'langlon (2016)'!$A$3,"MA_HT","DSH","MA_QH","ODT")</f>
        <v>0</v>
      </c>
      <c r="AS52" s="22">
        <f ca="1">+GETPIVOTDATA("XLL4",'langlon (2016)'!$A$3,"MA_HT","DSH","MA_QH","TSC")</f>
        <v>0</v>
      </c>
      <c r="AT52" s="22">
        <f ca="1">+GETPIVOTDATA("XLL4",'langlon (2016)'!$A$3,"MA_HT","DSH","MA_QH","DTS")</f>
        <v>0</v>
      </c>
      <c r="AU52" s="22">
        <f ca="1">+GETPIVOTDATA("XLL4",'langlon (2016)'!$A$3,"MA_HT","DSH","MA_QH","DNG")</f>
        <v>0</v>
      </c>
      <c r="AV52" s="22">
        <f ca="1">+GETPIVOTDATA("XLL4",'langlon (2016)'!$A$3,"MA_HT","DSH","MA_QH","TON")</f>
        <v>0</v>
      </c>
      <c r="AW52" s="22">
        <f ca="1">+GETPIVOTDATA("XLL4",'langlon (2016)'!$A$3,"MA_HT","DSH","MA_QH","NTD")</f>
        <v>0</v>
      </c>
      <c r="AX52" s="22">
        <f ca="1">+GETPIVOTDATA("XLL4",'langlon (2016)'!$A$3,"MA_HT","DSH","MA_QH","SKX")</f>
        <v>0</v>
      </c>
      <c r="AY52" s="43" t="e">
        <f ca="1">$D52-$BF52</f>
        <v>#REF!</v>
      </c>
      <c r="AZ52" s="22">
        <f ca="1">+GETPIVOTDATA("XLL4",'langlon (2016)'!$A$3,"MA_HT","DSH","MA_QH","DKV")</f>
        <v>0</v>
      </c>
      <c r="BA52" s="89">
        <f ca="1">+GETPIVOTDATA("XLL4",'langlon (2016)'!$A$3,"MA_HT","DSH","MA_QH","TIN")</f>
        <v>0</v>
      </c>
      <c r="BB52" s="50">
        <f ca="1">+GETPIVOTDATA("XLL4",'langlon (2016)'!$A$3,"MA_HT","DSH","MA_QH","SON")</f>
        <v>0</v>
      </c>
      <c r="BC52" s="50">
        <f ca="1">+GETPIVOTDATA("XLL4",'langlon (2016)'!$A$3,"MA_HT","DSH","MA_QH","MNC")</f>
        <v>0</v>
      </c>
      <c r="BD52" s="22">
        <f ca="1">+GETPIVOTDATA("XLL4",'langlon (2016)'!$A$3,"MA_HT","DSH","MA_QH","PNK")</f>
        <v>0</v>
      </c>
      <c r="BE52" s="71">
        <f ca="1">+GETPIVOTDATA("XLL4",'langlon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+GETPIVOTDATA("XLL4",'langlon (2016)'!$A$3,"MA_HT","DKV","MA_QH","LUC")</f>
        <v>0</v>
      </c>
      <c r="H53" s="22">
        <f ca="1">+GETPIVOTDATA("XLL4",'langlon (2016)'!$A$3,"MA_HT","DKV","MA_QH","LUK")</f>
        <v>0</v>
      </c>
      <c r="I53" s="22">
        <f ca="1">+GETPIVOTDATA("XLL4",'langlon (2016)'!$A$3,"MA_HT","DKV","MA_QH","LUN")</f>
        <v>0</v>
      </c>
      <c r="J53" s="22">
        <f ca="1">+GETPIVOTDATA("XLL4",'langlon (2016)'!$A$3,"MA_HT","DKV","MA_QH","HNK")</f>
        <v>0</v>
      </c>
      <c r="K53" s="22">
        <f ca="1">+GETPIVOTDATA("XLL4",'langlon (2016)'!$A$3,"MA_HT","DKV","MA_QH","CLN")</f>
        <v>0</v>
      </c>
      <c r="L53" s="22">
        <f ca="1">+GETPIVOTDATA("XLL4",'langlon (2016)'!$A$3,"MA_HT","DKV","MA_QH","RSX")</f>
        <v>0</v>
      </c>
      <c r="M53" s="22">
        <f ca="1">+GETPIVOTDATA("XLL4",'langlon (2016)'!$A$3,"MA_HT","DKV","MA_QH","RPH")</f>
        <v>0</v>
      </c>
      <c r="N53" s="22">
        <f ca="1">+GETPIVOTDATA("XLL4",'langlon (2016)'!$A$3,"MA_HT","DKV","MA_QH","RDD")</f>
        <v>0</v>
      </c>
      <c r="O53" s="22">
        <f ca="1">+GETPIVOTDATA("XLL4",'langlon (2016)'!$A$3,"MA_HT","DKV","MA_QH","NTS")</f>
        <v>0</v>
      </c>
      <c r="P53" s="22">
        <f ca="1">+GETPIVOTDATA("XLL4",'langlon (2016)'!$A$3,"MA_HT","DKV","MA_QH","LMU")</f>
        <v>0</v>
      </c>
      <c r="Q53" s="22">
        <f ca="1">+GETPIVOTDATA("XLL4",'langlon (2016)'!$A$3,"MA_HT","DKV","MA_QH","NKH")</f>
        <v>0</v>
      </c>
      <c r="R53" s="79">
        <f ca="1">SUM(S53:AA53,AN53:AY53,BB53:BD53)</f>
        <v>0</v>
      </c>
      <c r="S53" s="22">
        <f ca="1">+GETPIVOTDATA("XLL4",'langlon (2016)'!$A$3,"MA_HT","DKV","MA_QH","CQP")</f>
        <v>0</v>
      </c>
      <c r="T53" s="22">
        <f ca="1">+GETPIVOTDATA("XLL4",'langlon (2016)'!$A$3,"MA_HT","DKV","MA_QH","CAN")</f>
        <v>0</v>
      </c>
      <c r="U53" s="22">
        <f ca="1">+GETPIVOTDATA("XLL4",'langlon (2016)'!$A$3,"MA_HT","DKV","MA_QH","SKK")</f>
        <v>0</v>
      </c>
      <c r="V53" s="22">
        <f ca="1">+GETPIVOTDATA("XLL4",'langlon (2016)'!$A$3,"MA_HT","DKV","MA_QH","SKT")</f>
        <v>0</v>
      </c>
      <c r="W53" s="22">
        <f ca="1">+GETPIVOTDATA("XLL4",'langlon (2016)'!$A$3,"MA_HT","DKV","MA_QH","SKN")</f>
        <v>0</v>
      </c>
      <c r="X53" s="22">
        <f ca="1">+GETPIVOTDATA("XLL4",'langlon (2016)'!$A$3,"MA_HT","DKV","MA_QH","TMD")</f>
        <v>0</v>
      </c>
      <c r="Y53" s="22">
        <f ca="1">+GETPIVOTDATA("XLL4",'langlon (2016)'!$A$3,"MA_HT","DKV","MA_QH","SKC")</f>
        <v>0</v>
      </c>
      <c r="Z53" s="22">
        <f ca="1">+GETPIVOTDATA("XLL4",'langlon (2016)'!$A$3,"MA_HT","DKV","MA_QH","SKS")</f>
        <v>0</v>
      </c>
      <c r="AA53" s="52">
        <f ca="1" t="shared" si="21"/>
        <v>0</v>
      </c>
      <c r="AB53" s="22">
        <f ca="1">+GETPIVOTDATA("XLL4",'langlon (2016)'!$A$3,"MA_HT","DKV","MA_QH","DGT")</f>
        <v>0</v>
      </c>
      <c r="AC53" s="22">
        <f ca="1">+GETPIVOTDATA("XLL4",'langlon (2016)'!$A$3,"MA_HT","DKV","MA_QH","DTL")</f>
        <v>0</v>
      </c>
      <c r="AD53" s="22">
        <f ca="1">+GETPIVOTDATA("XLL4",'langlon (2016)'!$A$3,"MA_HT","DKV","MA_QH","DNL")</f>
        <v>0</v>
      </c>
      <c r="AE53" s="22">
        <f ca="1">+GETPIVOTDATA("XLL4",'langlon (2016)'!$A$3,"MA_HT","DKV","MA_QH","DBV")</f>
        <v>0</v>
      </c>
      <c r="AF53" s="22">
        <f ca="1">+GETPIVOTDATA("XLL4",'langlon (2016)'!$A$3,"MA_HT","DKV","MA_QH","DVH")</f>
        <v>0</v>
      </c>
      <c r="AG53" s="22">
        <f ca="1">+GETPIVOTDATA("XLL4",'langlon (2016)'!$A$3,"MA_HT","DKV","MA_QH","DYT")</f>
        <v>0</v>
      </c>
      <c r="AH53" s="22">
        <f ca="1">+GETPIVOTDATA("XLL4",'langlon (2016)'!$A$3,"MA_HT","DKV","MA_QH","DGD")</f>
        <v>0</v>
      </c>
      <c r="AI53" s="22">
        <f ca="1">+GETPIVOTDATA("XLL4",'langlon (2016)'!$A$3,"MA_HT","DKV","MA_QH","DTT")</f>
        <v>0</v>
      </c>
      <c r="AJ53" s="22">
        <f ca="1">+GETPIVOTDATA("XLL4",'langlon (2016)'!$A$3,"MA_HT","DKV","MA_QH","NCK")</f>
        <v>0</v>
      </c>
      <c r="AK53" s="22">
        <f ca="1">+GETPIVOTDATA("XLL4",'langlon (2016)'!$A$3,"MA_HT","DKV","MA_QH","DXH")</f>
        <v>0</v>
      </c>
      <c r="AL53" s="22">
        <f ca="1">+GETPIVOTDATA("XLL4",'langlon (2016)'!$A$3,"MA_HT","DKV","MA_QH","DCH")</f>
        <v>0</v>
      </c>
      <c r="AM53" s="22">
        <f ca="1">+GETPIVOTDATA("XLL4",'langlon (2016)'!$A$3,"MA_HT","DKV","MA_QH","DKG")</f>
        <v>0</v>
      </c>
      <c r="AN53" s="22">
        <f ca="1">+GETPIVOTDATA("XLL4",'langlon (2016)'!$A$3,"MA_HT","DKV","MA_QH","DDT")</f>
        <v>0</v>
      </c>
      <c r="AO53" s="22">
        <f ca="1">+GETPIVOTDATA("XLL4",'langlon (2016)'!$A$3,"MA_HT","DKV","MA_QH","DDL")</f>
        <v>0</v>
      </c>
      <c r="AP53" s="22">
        <f ca="1">+GETPIVOTDATA("XLL4",'langlon (2016)'!$A$3,"MA_HT","DKV","MA_QH","DRA")</f>
        <v>0</v>
      </c>
      <c r="AQ53" s="22">
        <f ca="1">+GETPIVOTDATA("XLL4",'langlon (2016)'!$A$3,"MA_HT","DKV","MA_QH","ONT")</f>
        <v>0</v>
      </c>
      <c r="AR53" s="22">
        <f ca="1">+GETPIVOTDATA("XLL4",'langlon (2016)'!$A$3,"MA_HT","DKV","MA_QH","ODT")</f>
        <v>0</v>
      </c>
      <c r="AS53" s="22">
        <f ca="1">+GETPIVOTDATA("XLL4",'langlon (2016)'!$A$3,"MA_HT","DKV","MA_QH","TSC")</f>
        <v>0</v>
      </c>
      <c r="AT53" s="22">
        <f ca="1">+GETPIVOTDATA("XLL4",'langlon (2016)'!$A$3,"MA_HT","DKV","MA_QH","DTS")</f>
        <v>0</v>
      </c>
      <c r="AU53" s="22">
        <f ca="1">+GETPIVOTDATA("XLL4",'langlon (2016)'!$A$3,"MA_HT","DKV","MA_QH","DNG")</f>
        <v>0</v>
      </c>
      <c r="AV53" s="22">
        <f ca="1">+GETPIVOTDATA("XLL4",'langlon (2016)'!$A$3,"MA_HT","DKV","MA_QH","TON")</f>
        <v>0</v>
      </c>
      <c r="AW53" s="22">
        <f ca="1">+GETPIVOTDATA("XLL4",'langlon (2016)'!$A$3,"MA_HT","DKV","MA_QH","NTD")</f>
        <v>0</v>
      </c>
      <c r="AX53" s="22">
        <f ca="1">+GETPIVOTDATA("XLL4",'langlon (2016)'!$A$3,"MA_HT","DKV","MA_QH","SKX")</f>
        <v>0</v>
      </c>
      <c r="AY53" s="22">
        <f ca="1">+GETPIVOTDATA("XLL4",'langlon (2016)'!$A$3,"MA_HT","DKV","MA_QH","DSH")</f>
        <v>0</v>
      </c>
      <c r="AZ53" s="43" t="e">
        <f ca="1">$D53-$BF53</f>
        <v>#REF!</v>
      </c>
      <c r="BA53" s="89">
        <f ca="1">+GETPIVOTDATA("XLL4",'langlon (2016)'!$A$3,"MA_HT","DKV","MA_QH","TIN")</f>
        <v>0</v>
      </c>
      <c r="BB53" s="50">
        <f ca="1">+GETPIVOTDATA("XLL4",'langlon (2016)'!$A$3,"MA_HT","DKV","MA_QH","SON")</f>
        <v>0</v>
      </c>
      <c r="BC53" s="50">
        <f ca="1">+GETPIVOTDATA("XLL4",'langlon (2016)'!$A$3,"MA_HT","DKV","MA_QH","MNC")</f>
        <v>0</v>
      </c>
      <c r="BD53" s="22">
        <f ca="1">+GETPIVOTDATA("XLL4",'langlon (2016)'!$A$3,"MA_HT","DKV","MA_QH","PNK")</f>
        <v>0</v>
      </c>
      <c r="BE53" s="71">
        <f ca="1">+GETPIVOTDATA("XLL4",'langlon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+GETPIVOTDATA("XLL4",'langlon (2016)'!$A$3,"MA_HT","TIN","MA_QH","LUC")</f>
        <v>0</v>
      </c>
      <c r="H54" s="22">
        <f ca="1">+GETPIVOTDATA("XLL4",'langlon (2016)'!$A$3,"MA_HT","TIN","MA_QH","LUK")</f>
        <v>0</v>
      </c>
      <c r="I54" s="22">
        <f ca="1">+GETPIVOTDATA("XLL4",'langlon (2016)'!$A$3,"MA_HT","TIN","MA_QH","LUN")</f>
        <v>0</v>
      </c>
      <c r="J54" s="22">
        <f ca="1">+GETPIVOTDATA("XLL4",'langlon (2016)'!$A$3,"MA_HT","TIN","MA_QH","HNK")</f>
        <v>0</v>
      </c>
      <c r="K54" s="22">
        <f ca="1">+GETPIVOTDATA("XLL4",'langlon (2016)'!$A$3,"MA_HT","TIN","MA_QH","CLN")</f>
        <v>0</v>
      </c>
      <c r="L54" s="22">
        <f ca="1">+GETPIVOTDATA("XLL4",'langlon (2016)'!$A$3,"MA_HT","TIN","MA_QH","RSX")</f>
        <v>0</v>
      </c>
      <c r="M54" s="22">
        <f ca="1">+GETPIVOTDATA("XLL4",'langlon (2016)'!$A$3,"MA_HT","TIN","MA_QH","RPH")</f>
        <v>0</v>
      </c>
      <c r="N54" s="22">
        <f ca="1">+GETPIVOTDATA("XLL4",'langlon (2016)'!$A$3,"MA_HT","TIN","MA_QH","RDD")</f>
        <v>0</v>
      </c>
      <c r="O54" s="22">
        <f ca="1">+GETPIVOTDATA("XLL4",'langlon (2016)'!$A$3,"MA_HT","TIN","MA_QH","NTS")</f>
        <v>0</v>
      </c>
      <c r="P54" s="22">
        <f ca="1">+GETPIVOTDATA("XLL4",'langlon (2016)'!$A$3,"MA_HT","TIN","MA_QH","LMU")</f>
        <v>0</v>
      </c>
      <c r="Q54" s="22">
        <f ca="1">+GETPIVOTDATA("XLL4",'langlon (2016)'!$A$3,"MA_HT","TIN","MA_QH","NKH")</f>
        <v>0</v>
      </c>
      <c r="R54" s="79">
        <f ca="1">SUM(S54:AA54,AN54:AZ54,BB54:BD54)</f>
        <v>0</v>
      </c>
      <c r="S54" s="22">
        <f ca="1">+GETPIVOTDATA("XLL4",'langlon (2016)'!$A$3,"MA_HT","TIN","MA_QH","CQP")</f>
        <v>0</v>
      </c>
      <c r="T54" s="22">
        <f ca="1">+GETPIVOTDATA("XLL4",'langlon (2016)'!$A$3,"MA_HT","TIN","MA_QH","CAN")</f>
        <v>0</v>
      </c>
      <c r="U54" s="22">
        <f ca="1">+GETPIVOTDATA("XLL4",'langlon (2016)'!$A$3,"MA_HT","TIN","MA_QH","SKK")</f>
        <v>0</v>
      </c>
      <c r="V54" s="22">
        <f ca="1">+GETPIVOTDATA("XLL4",'langlon (2016)'!$A$3,"MA_HT","TIN","MA_QH","SKT")</f>
        <v>0</v>
      </c>
      <c r="W54" s="22">
        <f ca="1">+GETPIVOTDATA("XLL4",'langlon (2016)'!$A$3,"MA_HT","TIN","MA_QH","SKN")</f>
        <v>0</v>
      </c>
      <c r="X54" s="22">
        <f ca="1">+GETPIVOTDATA("XLL4",'langlon (2016)'!$A$3,"MA_HT","TIN","MA_QH","TMD")</f>
        <v>0</v>
      </c>
      <c r="Y54" s="22">
        <f ca="1">+GETPIVOTDATA("XLL4",'langlon (2016)'!$A$3,"MA_HT","TIN","MA_QH","SKC")</f>
        <v>0</v>
      </c>
      <c r="Z54" s="22">
        <f ca="1">+GETPIVOTDATA("XLL4",'langlon (2016)'!$A$3,"MA_HT","TIN","MA_QH","SKS")</f>
        <v>0</v>
      </c>
      <c r="AA54" s="52">
        <f ca="1" t="shared" si="21"/>
        <v>0</v>
      </c>
      <c r="AB54" s="22">
        <f ca="1">+GETPIVOTDATA("XLL4",'langlon (2016)'!$A$3,"MA_HT","TIN","MA_QH","DGT")</f>
        <v>0</v>
      </c>
      <c r="AC54" s="22">
        <f ca="1">+GETPIVOTDATA("XLL4",'langlon (2016)'!$A$3,"MA_HT","TIN","MA_QH","DTL")</f>
        <v>0</v>
      </c>
      <c r="AD54" s="22">
        <f ca="1">+GETPIVOTDATA("XLL4",'langlon (2016)'!$A$3,"MA_HT","TIN","MA_QH","DNL")</f>
        <v>0</v>
      </c>
      <c r="AE54" s="22">
        <f ca="1">+GETPIVOTDATA("XLL4",'langlon (2016)'!$A$3,"MA_HT","TIN","MA_QH","DBV")</f>
        <v>0</v>
      </c>
      <c r="AF54" s="22">
        <f ca="1">+GETPIVOTDATA("XLL4",'langlon (2016)'!$A$3,"MA_HT","TIN","MA_QH","DVH")</f>
        <v>0</v>
      </c>
      <c r="AG54" s="22">
        <f ca="1">+GETPIVOTDATA("XLL4",'langlon (2016)'!$A$3,"MA_HT","TIN","MA_QH","DYT")</f>
        <v>0</v>
      </c>
      <c r="AH54" s="22">
        <f ca="1">+GETPIVOTDATA("XLL4",'langlon (2016)'!$A$3,"MA_HT","TIN","MA_QH","DGD")</f>
        <v>0</v>
      </c>
      <c r="AI54" s="22">
        <f ca="1">+GETPIVOTDATA("XLL4",'langlon (2016)'!$A$3,"MA_HT","TIN","MA_QH","DTT")</f>
        <v>0</v>
      </c>
      <c r="AJ54" s="22">
        <f ca="1">+GETPIVOTDATA("XLL4",'langlon (2016)'!$A$3,"MA_HT","TIN","MA_QH","NCK")</f>
        <v>0</v>
      </c>
      <c r="AK54" s="22">
        <f ca="1">+GETPIVOTDATA("XLL4",'langlon (2016)'!$A$3,"MA_HT","TIN","MA_QH","DXH")</f>
        <v>0</v>
      </c>
      <c r="AL54" s="22">
        <f ca="1">+GETPIVOTDATA("XLL4",'langlon (2016)'!$A$3,"MA_HT","TIN","MA_QH","DCH")</f>
        <v>0</v>
      </c>
      <c r="AM54" s="22">
        <f ca="1">+GETPIVOTDATA("XLL4",'langlon (2016)'!$A$3,"MA_HT","TIN","MA_QH","DKG")</f>
        <v>0</v>
      </c>
      <c r="AN54" s="22">
        <f ca="1">+GETPIVOTDATA("XLL4",'langlon (2016)'!$A$3,"MA_HT","TIN","MA_QH","DDT")</f>
        <v>0</v>
      </c>
      <c r="AO54" s="22">
        <f ca="1">+GETPIVOTDATA("XLL4",'langlon (2016)'!$A$3,"MA_HT","TIN","MA_QH","DDL")</f>
        <v>0</v>
      </c>
      <c r="AP54" s="22">
        <f ca="1">+GETPIVOTDATA("XLL4",'langlon (2016)'!$A$3,"MA_HT","TIN","MA_QH","DRA")</f>
        <v>0</v>
      </c>
      <c r="AQ54" s="22">
        <f ca="1">+GETPIVOTDATA("XLL4",'langlon (2016)'!$A$3,"MA_HT","TIN","MA_QH","ONT")</f>
        <v>0</v>
      </c>
      <c r="AR54" s="22">
        <f ca="1">+GETPIVOTDATA("XLL4",'langlon (2016)'!$A$3,"MA_HT","TIN","MA_QH","ODT")</f>
        <v>0</v>
      </c>
      <c r="AS54" s="22">
        <f ca="1">+GETPIVOTDATA("XLL4",'langlon (2016)'!$A$3,"MA_HT","TIN","MA_QH","TSC")</f>
        <v>0</v>
      </c>
      <c r="AT54" s="22">
        <f ca="1">+GETPIVOTDATA("XLL4",'langlon (2016)'!$A$3,"MA_HT","TIN","MA_QH","DTS")</f>
        <v>0</v>
      </c>
      <c r="AU54" s="22">
        <f ca="1">+GETPIVOTDATA("XLL4",'langlon (2016)'!$A$3,"MA_HT","TIN","MA_QH","DNG")</f>
        <v>0</v>
      </c>
      <c r="AV54" s="22">
        <f ca="1">+GETPIVOTDATA("XLL4",'langlon (2016)'!$A$3,"MA_HT","TIN","MA_QH","TON")</f>
        <v>0</v>
      </c>
      <c r="AW54" s="22">
        <f ca="1">+GETPIVOTDATA("XLL4",'langlon (2016)'!$A$3,"MA_HT","TIN","MA_QH","NTD")</f>
        <v>0</v>
      </c>
      <c r="AX54" s="22">
        <f ca="1">+GETPIVOTDATA("XLL4",'langlon (2016)'!$A$3,"MA_HT","TIN","MA_QH","SKX")</f>
        <v>0</v>
      </c>
      <c r="AY54" s="22">
        <f ca="1">+GETPIVOTDATA("XLL4",'langlon (2016)'!$A$3,"MA_HT","TIN","MA_QH","DSH")</f>
        <v>0</v>
      </c>
      <c r="AZ54" s="22">
        <f ca="1">+GETPIVOTDATA("XLL4",'langlon (2016)'!$A$3,"MA_HT","TIN","MA_QH","DKV")</f>
        <v>0</v>
      </c>
      <c r="BA54" s="43" t="e">
        <f ca="1">$D54-$BF54</f>
        <v>#REF!</v>
      </c>
      <c r="BB54" s="22">
        <f ca="1">+GETPIVOTDATA("XLL4",'langlon (2016)'!$A$3,"MA_HT","TIN","MA_QH","SON")</f>
        <v>0</v>
      </c>
      <c r="BC54" s="22">
        <f ca="1">+GETPIVOTDATA("XLL4",'langlon (2016)'!$A$3,"MA_HT","TIN","MA_QH","MNC")</f>
        <v>0</v>
      </c>
      <c r="BD54" s="22">
        <f ca="1">+GETPIVOTDATA("XLL4",'langlon (2016)'!$A$3,"MA_HT","TIN","MA_QH","PNK")</f>
        <v>0</v>
      </c>
      <c r="BE54" s="71">
        <f ca="1">+GETPIVOTDATA("XLL4",'langlon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+GETPIVOTDATA("XLL4",'langlon (2016)'!$A$3,"MA_HT","SON","MA_QH","LUC")</f>
        <v>0</v>
      </c>
      <c r="H55" s="22">
        <f ca="1">+GETPIVOTDATA("XLL4",'langlon (2016)'!$A$3,"MA_HT","SON","MA_QH","LUK")</f>
        <v>0</v>
      </c>
      <c r="I55" s="22">
        <f ca="1">+GETPIVOTDATA("XLL4",'langlon (2016)'!$A$3,"MA_HT","SON","MA_QH","LUN")</f>
        <v>0</v>
      </c>
      <c r="J55" s="22">
        <f ca="1">+GETPIVOTDATA("XLL4",'langlon (2016)'!$A$3,"MA_HT","SON","MA_QH","HNK")</f>
        <v>0</v>
      </c>
      <c r="K55" s="22">
        <f ca="1">+GETPIVOTDATA("XLL4",'langlon (2016)'!$A$3,"MA_HT","SON","MA_QH","CLN")</f>
        <v>0</v>
      </c>
      <c r="L55" s="22">
        <f ca="1">+GETPIVOTDATA("XLL4",'langlon (2016)'!$A$3,"MA_HT","SON","MA_QH","RSX")</f>
        <v>0</v>
      </c>
      <c r="M55" s="22">
        <f ca="1">+GETPIVOTDATA("XLL4",'langlon (2016)'!$A$3,"MA_HT","SON","MA_QH","RPH")</f>
        <v>0</v>
      </c>
      <c r="N55" s="22">
        <f ca="1">+GETPIVOTDATA("XLL4",'langlon (2016)'!$A$3,"MA_HT","SON","MA_QH","RDD")</f>
        <v>0</v>
      </c>
      <c r="O55" s="22">
        <f ca="1">+GETPIVOTDATA("XLL4",'langlon (2016)'!$A$3,"MA_HT","SON","MA_QH","NTS")</f>
        <v>0</v>
      </c>
      <c r="P55" s="22">
        <f ca="1">+GETPIVOTDATA("XLL4",'langlon (2016)'!$A$3,"MA_HT","SON","MA_QH","LMU")</f>
        <v>0</v>
      </c>
      <c r="Q55" s="22">
        <f ca="1">+GETPIVOTDATA("XLL4",'langlon (2016)'!$A$3,"MA_HT","SON","MA_QH","NKH")</f>
        <v>0</v>
      </c>
      <c r="R55" s="79">
        <f ca="1">SUM(S55:AA55,AN55:AZ55,BC55:BD55)</f>
        <v>0</v>
      </c>
      <c r="S55" s="22">
        <f ca="1">+GETPIVOTDATA("XLL4",'langlon (2016)'!$A$3,"MA_HT","SON","MA_QH","CQP")</f>
        <v>0</v>
      </c>
      <c r="T55" s="22">
        <f ca="1">+GETPIVOTDATA("XLL4",'langlon (2016)'!$A$3,"MA_HT","SON","MA_QH","CAN")</f>
        <v>0</v>
      </c>
      <c r="U55" s="22">
        <f ca="1">+GETPIVOTDATA("XLL4",'langlon (2016)'!$A$3,"MA_HT","SON","MA_QH","SKK")</f>
        <v>0</v>
      </c>
      <c r="V55" s="22">
        <f ca="1">+GETPIVOTDATA("XLL4",'langlon (2016)'!$A$3,"MA_HT","SON","MA_QH","SKT")</f>
        <v>0</v>
      </c>
      <c r="W55" s="22">
        <f ca="1">+GETPIVOTDATA("XLL4",'langlon (2016)'!$A$3,"MA_HT","SON","MA_QH","SKN")</f>
        <v>0</v>
      </c>
      <c r="X55" s="22">
        <f ca="1">+GETPIVOTDATA("XLL4",'langlon (2016)'!$A$3,"MA_HT","SON","MA_QH","TMD")</f>
        <v>0</v>
      </c>
      <c r="Y55" s="22">
        <f ca="1">+GETPIVOTDATA("XLL4",'langlon (2016)'!$A$3,"MA_HT","SON","MA_QH","SKC")</f>
        <v>0</v>
      </c>
      <c r="Z55" s="22">
        <f ca="1">+GETPIVOTDATA("XLL4",'langlon (2016)'!$A$3,"MA_HT","SON","MA_QH","SKS")</f>
        <v>0</v>
      </c>
      <c r="AA55" s="52">
        <f ca="1" t="shared" si="21"/>
        <v>0</v>
      </c>
      <c r="AB55" s="22">
        <f ca="1">+GETPIVOTDATA("XLL4",'langlon (2016)'!$A$3,"MA_HT","SON","MA_QH","DGT")</f>
        <v>0</v>
      </c>
      <c r="AC55" s="22">
        <f ca="1">+GETPIVOTDATA("XLL4",'langlon (2016)'!$A$3,"MA_HT","SON","MA_QH","DTL")</f>
        <v>0</v>
      </c>
      <c r="AD55" s="22">
        <f ca="1">+GETPIVOTDATA("XLL4",'langlon (2016)'!$A$3,"MA_HT","SON","MA_QH","DNL")</f>
        <v>0</v>
      </c>
      <c r="AE55" s="22">
        <f ca="1">+GETPIVOTDATA("XLL4",'langlon (2016)'!$A$3,"MA_HT","SON","MA_QH","DBV")</f>
        <v>0</v>
      </c>
      <c r="AF55" s="22">
        <f ca="1">+GETPIVOTDATA("XLL4",'langlon (2016)'!$A$3,"MA_HT","SON","MA_QH","DVH")</f>
        <v>0</v>
      </c>
      <c r="AG55" s="22">
        <f ca="1">+GETPIVOTDATA("XLL4",'langlon (2016)'!$A$3,"MA_HT","SON","MA_QH","DYT")</f>
        <v>0</v>
      </c>
      <c r="AH55" s="22">
        <f ca="1">+GETPIVOTDATA("XLL4",'langlon (2016)'!$A$3,"MA_HT","SON","MA_QH","DGD")</f>
        <v>0</v>
      </c>
      <c r="AI55" s="22">
        <f ca="1">+GETPIVOTDATA("XLL4",'langlon (2016)'!$A$3,"MA_HT","SON","MA_QH","DTT")</f>
        <v>0</v>
      </c>
      <c r="AJ55" s="22">
        <f ca="1">+GETPIVOTDATA("XLL4",'langlon (2016)'!$A$3,"MA_HT","SON","MA_QH","NCK")</f>
        <v>0</v>
      </c>
      <c r="AK55" s="22">
        <f ca="1">+GETPIVOTDATA("XLL4",'langlon (2016)'!$A$3,"MA_HT","SON","MA_QH","DXH")</f>
        <v>0</v>
      </c>
      <c r="AL55" s="22">
        <f ca="1">+GETPIVOTDATA("XLL4",'langlon (2016)'!$A$3,"MA_HT","SON","MA_QH","DCH")</f>
        <v>0</v>
      </c>
      <c r="AM55" s="22">
        <f ca="1">+GETPIVOTDATA("XLL4",'langlon (2016)'!$A$3,"MA_HT","SON","MA_QH","DKG")</f>
        <v>0</v>
      </c>
      <c r="AN55" s="22">
        <f ca="1">+GETPIVOTDATA("XLL4",'langlon (2016)'!$A$3,"MA_HT","SON","MA_QH","DDT")</f>
        <v>0</v>
      </c>
      <c r="AO55" s="22">
        <f ca="1">+GETPIVOTDATA("XLL4",'langlon (2016)'!$A$3,"MA_HT","SON","MA_QH","DDL")</f>
        <v>0</v>
      </c>
      <c r="AP55" s="22">
        <f ca="1">+GETPIVOTDATA("XLL4",'langlon (2016)'!$A$3,"MA_HT","SON","MA_QH","DRA")</f>
        <v>0</v>
      </c>
      <c r="AQ55" s="22">
        <f ca="1">+GETPIVOTDATA("XLL4",'langlon (2016)'!$A$3,"MA_HT","SON","MA_QH","ONT")</f>
        <v>0</v>
      </c>
      <c r="AR55" s="22">
        <f ca="1">+GETPIVOTDATA("XLL4",'langlon (2016)'!$A$3,"MA_HT","SON","MA_QH","ODT")</f>
        <v>0</v>
      </c>
      <c r="AS55" s="22">
        <f ca="1">+GETPIVOTDATA("XLL4",'langlon (2016)'!$A$3,"MA_HT","SON","MA_QH","TSC")</f>
        <v>0</v>
      </c>
      <c r="AT55" s="22">
        <f ca="1">+GETPIVOTDATA("XLL4",'langlon (2016)'!$A$3,"MA_HT","SON","MA_QH","DTS")</f>
        <v>0</v>
      </c>
      <c r="AU55" s="22">
        <f ca="1">+GETPIVOTDATA("XLL4",'langlon (2016)'!$A$3,"MA_HT","SON","MA_QH","DNG")</f>
        <v>0</v>
      </c>
      <c r="AV55" s="22">
        <f ca="1">+GETPIVOTDATA("XLL4",'langlon (2016)'!$A$3,"MA_HT","SON","MA_QH","TON")</f>
        <v>0</v>
      </c>
      <c r="AW55" s="22">
        <f ca="1">+GETPIVOTDATA("XLL4",'langlon (2016)'!$A$3,"MA_HT","SON","MA_QH","NTD")</f>
        <v>0</v>
      </c>
      <c r="AX55" s="22">
        <f ca="1">+GETPIVOTDATA("XLL4",'langlon (2016)'!$A$3,"MA_HT","SON","MA_QH","SKX")</f>
        <v>0</v>
      </c>
      <c r="AY55" s="22">
        <f ca="1">+GETPIVOTDATA("XLL4",'langlon (2016)'!$A$3,"MA_HT","SON","MA_QH","DSH")</f>
        <v>0</v>
      </c>
      <c r="AZ55" s="22">
        <f ca="1">+GETPIVOTDATA("XLL4",'langlon (2016)'!$A$3,"MA_HT","SON","MA_QH","DKV")</f>
        <v>0</v>
      </c>
      <c r="BA55" s="89">
        <f ca="1">+GETPIVOTDATA("XLL4",'langlon (2016)'!$A$3,"MA_HT","SON","MA_QH","TIN")</f>
        <v>0</v>
      </c>
      <c r="BB55" s="43" t="e">
        <f ca="1">$D55-$BF55</f>
        <v>#REF!</v>
      </c>
      <c r="BC55" s="50">
        <f ca="1">+GETPIVOTDATA("XLL4",'langlon (2016)'!$A$3,"MA_HT","SON","MA_QH","MNC")</f>
        <v>0</v>
      </c>
      <c r="BD55" s="22">
        <f ca="1">+GETPIVOTDATA("XLL4",'langlon (2016)'!$A$3,"MA_HT","SON","MA_QH","PNK")</f>
        <v>0</v>
      </c>
      <c r="BE55" s="71">
        <f ca="1">+GETPIVOTDATA("XLL4",'langlon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+GETPIVOTDATA("XLL4",'langlon (2016)'!$A$3,"MA_HT","MNC","MA_QH","LUC")</f>
        <v>0</v>
      </c>
      <c r="H56" s="22">
        <f ca="1">+GETPIVOTDATA("XLL4",'langlon (2016)'!$A$3,"MA_HT","MNC","MA_QH","LUK")</f>
        <v>0</v>
      </c>
      <c r="I56" s="22">
        <f ca="1">+GETPIVOTDATA("XLL4",'langlon (2016)'!$A$3,"MA_HT","MNC","MA_QH","LUN")</f>
        <v>0</v>
      </c>
      <c r="J56" s="22">
        <f ca="1">+GETPIVOTDATA("XLL4",'langlon (2016)'!$A$3,"MA_HT","MNC","MA_QH","HNK")</f>
        <v>0</v>
      </c>
      <c r="K56" s="22">
        <f ca="1">+GETPIVOTDATA("XLL4",'langlon (2016)'!$A$3,"MA_HT","MNC","MA_QH","CLN")</f>
        <v>0</v>
      </c>
      <c r="L56" s="22">
        <f ca="1">+GETPIVOTDATA("XLL4",'langlon (2016)'!$A$3,"MA_HT","MNC","MA_QH","RSX")</f>
        <v>0</v>
      </c>
      <c r="M56" s="22">
        <f ca="1">+GETPIVOTDATA("XLL4",'langlon (2016)'!$A$3,"MA_HT","MNC","MA_QH","RPH")</f>
        <v>0</v>
      </c>
      <c r="N56" s="22">
        <f ca="1">+GETPIVOTDATA("XLL4",'langlon (2016)'!$A$3,"MA_HT","MNC","MA_QH","RDD")</f>
        <v>0</v>
      </c>
      <c r="O56" s="22">
        <f ca="1">+GETPIVOTDATA("XLL4",'langlon (2016)'!$A$3,"MA_HT","MNC","MA_QH","NTS")</f>
        <v>0</v>
      </c>
      <c r="P56" s="22">
        <f ca="1">+GETPIVOTDATA("XLL4",'langlon (2016)'!$A$3,"MA_HT","MNC","MA_QH","LMU")</f>
        <v>0</v>
      </c>
      <c r="Q56" s="22">
        <f ca="1">+GETPIVOTDATA("XLL4",'langlon (2016)'!$A$3,"MA_HT","MNC","MA_QH","NKH")</f>
        <v>0</v>
      </c>
      <c r="R56" s="79">
        <f ca="1">SUM(S56:AA56,AN56:BB56,BD56)</f>
        <v>0</v>
      </c>
      <c r="S56" s="22">
        <f ca="1">+GETPIVOTDATA("XLL4",'langlon (2016)'!$A$3,"MA_HT","MNC","MA_QH","CQP")</f>
        <v>0</v>
      </c>
      <c r="T56" s="22">
        <f ca="1">+GETPIVOTDATA("XLL4",'langlon (2016)'!$A$3,"MA_HT","MNC","MA_QH","CAN")</f>
        <v>0</v>
      </c>
      <c r="U56" s="22">
        <f ca="1">+GETPIVOTDATA("XLL4",'langlon (2016)'!$A$3,"MA_HT","MNC","MA_QH","SKK")</f>
        <v>0</v>
      </c>
      <c r="V56" s="22">
        <f ca="1">+GETPIVOTDATA("XLL4",'langlon (2016)'!$A$3,"MA_HT","MNC","MA_QH","SKT")</f>
        <v>0</v>
      </c>
      <c r="W56" s="22">
        <f ca="1">+GETPIVOTDATA("XLL4",'langlon (2016)'!$A$3,"MA_HT","MNC","MA_QH","SKN")</f>
        <v>0</v>
      </c>
      <c r="X56" s="22">
        <f ca="1">+GETPIVOTDATA("XLL4",'langlon (2016)'!$A$3,"MA_HT","MNC","MA_QH","TMD")</f>
        <v>0</v>
      </c>
      <c r="Y56" s="22">
        <f ca="1">+GETPIVOTDATA("XLL4",'langlon (2016)'!$A$3,"MA_HT","MNC","MA_QH","SKC")</f>
        <v>0</v>
      </c>
      <c r="Z56" s="22">
        <f ca="1">+GETPIVOTDATA("XLL4",'langlon (2016)'!$A$3,"MA_HT","MNC","MA_QH","SKS")</f>
        <v>0</v>
      </c>
      <c r="AA56" s="52">
        <f ca="1" t="shared" si="21"/>
        <v>0</v>
      </c>
      <c r="AB56" s="22">
        <f ca="1">+GETPIVOTDATA("XLL4",'langlon (2016)'!$A$3,"MA_HT","MNC","MA_QH","DGT")</f>
        <v>0</v>
      </c>
      <c r="AC56" s="22">
        <f ca="1">+GETPIVOTDATA("XLL4",'langlon (2016)'!$A$3,"MA_HT","MNC","MA_QH","DTL")</f>
        <v>0</v>
      </c>
      <c r="AD56" s="22">
        <f ca="1">+GETPIVOTDATA("XLL4",'langlon (2016)'!$A$3,"MA_HT","MNC","MA_QH","DNL")</f>
        <v>0</v>
      </c>
      <c r="AE56" s="22">
        <f ca="1">+GETPIVOTDATA("XLL4",'langlon (2016)'!$A$3,"MA_HT","MNC","MA_QH","DBV")</f>
        <v>0</v>
      </c>
      <c r="AF56" s="22">
        <f ca="1">+GETPIVOTDATA("XLL4",'langlon (2016)'!$A$3,"MA_HT","MNC","MA_QH","DVH")</f>
        <v>0</v>
      </c>
      <c r="AG56" s="22">
        <f ca="1">+GETPIVOTDATA("XLL4",'langlon (2016)'!$A$3,"MA_HT","MNC","MA_QH","DYT")</f>
        <v>0</v>
      </c>
      <c r="AH56" s="22">
        <f ca="1">+GETPIVOTDATA("XLL4",'langlon (2016)'!$A$3,"MA_HT","MNC","MA_QH","DGD")</f>
        <v>0</v>
      </c>
      <c r="AI56" s="22">
        <f ca="1">+GETPIVOTDATA("XLL4",'langlon (2016)'!$A$3,"MA_HT","MNC","MA_QH","DTT")</f>
        <v>0</v>
      </c>
      <c r="AJ56" s="22">
        <f ca="1">+GETPIVOTDATA("XLL4",'langlon (2016)'!$A$3,"MA_HT","MNC","MA_QH","NCK")</f>
        <v>0</v>
      </c>
      <c r="AK56" s="22">
        <f ca="1">+GETPIVOTDATA("XLL4",'langlon (2016)'!$A$3,"MA_HT","MNC","MA_QH","DXH")</f>
        <v>0</v>
      </c>
      <c r="AL56" s="22">
        <f ca="1">+GETPIVOTDATA("XLL4",'langlon (2016)'!$A$3,"MA_HT","MNC","MA_QH","DCH")</f>
        <v>0</v>
      </c>
      <c r="AM56" s="22">
        <f ca="1">+GETPIVOTDATA("XLL4",'langlon (2016)'!$A$3,"MA_HT","MNC","MA_QH","DKG")</f>
        <v>0</v>
      </c>
      <c r="AN56" s="22">
        <f ca="1">+GETPIVOTDATA("XLL4",'langlon (2016)'!$A$3,"MA_HT","MNC","MA_QH","DDT")</f>
        <v>0</v>
      </c>
      <c r="AO56" s="22">
        <f ca="1">+GETPIVOTDATA("XLL4",'langlon (2016)'!$A$3,"MA_HT","MNC","MA_QH","DDL")</f>
        <v>0</v>
      </c>
      <c r="AP56" s="22">
        <f ca="1">+GETPIVOTDATA("XLL4",'langlon (2016)'!$A$3,"MA_HT","MNC","MA_QH","DRA")</f>
        <v>0</v>
      </c>
      <c r="AQ56" s="22">
        <f ca="1">+GETPIVOTDATA("XLL4",'langlon (2016)'!$A$3,"MA_HT","MNC","MA_QH","ONT")</f>
        <v>0</v>
      </c>
      <c r="AR56" s="22">
        <f ca="1">+GETPIVOTDATA("XLL4",'langlon (2016)'!$A$3,"MA_HT","MNC","MA_QH","ODT")</f>
        <v>0</v>
      </c>
      <c r="AS56" s="22">
        <f ca="1">+GETPIVOTDATA("XLL4",'langlon (2016)'!$A$3,"MA_HT","MNC","MA_QH","TSC")</f>
        <v>0</v>
      </c>
      <c r="AT56" s="22">
        <f ca="1">+GETPIVOTDATA("XLL4",'langlon (2016)'!$A$3,"MA_HT","MNC","MA_QH","DTS")</f>
        <v>0</v>
      </c>
      <c r="AU56" s="22">
        <f ca="1">+GETPIVOTDATA("XLL4",'langlon (2016)'!$A$3,"MA_HT","MNC","MA_QH","DNG")</f>
        <v>0</v>
      </c>
      <c r="AV56" s="22">
        <f ca="1">+GETPIVOTDATA("XLL4",'langlon (2016)'!$A$3,"MA_HT","MNC","MA_QH","TON")</f>
        <v>0</v>
      </c>
      <c r="AW56" s="22">
        <f ca="1">+GETPIVOTDATA("XLL4",'langlon (2016)'!$A$3,"MA_HT","MNC","MA_QH","NTD")</f>
        <v>0</v>
      </c>
      <c r="AX56" s="22">
        <f ca="1">+GETPIVOTDATA("XLL4",'langlon (2016)'!$A$3,"MA_HT","MNC","MA_QH","SKX")</f>
        <v>0</v>
      </c>
      <c r="AY56" s="22">
        <f ca="1">+GETPIVOTDATA("XLL4",'langlon (2016)'!$A$3,"MA_HT","MNC","MA_QH","DSH")</f>
        <v>0</v>
      </c>
      <c r="AZ56" s="22">
        <f ca="1">+GETPIVOTDATA("XLL4",'langlon (2016)'!$A$3,"MA_HT","MNC","MA_QH","DKV")</f>
        <v>0</v>
      </c>
      <c r="BA56" s="89">
        <f ca="1">+GETPIVOTDATA("XLL4",'langlon (2016)'!$A$3,"MA_HT","MNC","MA_QH","TIN")</f>
        <v>0</v>
      </c>
      <c r="BB56" s="50">
        <f ca="1">+GETPIVOTDATA("XLL4",'langlon (2016)'!$A$3,"MA_HT","MNC","MA_QH","SON")</f>
        <v>0</v>
      </c>
      <c r="BC56" s="43" t="e">
        <f ca="1">$D56-$BF56</f>
        <v>#REF!</v>
      </c>
      <c r="BD56" s="22">
        <f ca="1">+GETPIVOTDATA("XLL4",'langlon (2016)'!$A$3,"MA_HT","MNC","MA_QH","PNK")</f>
        <v>0</v>
      </c>
      <c r="BE56" s="71">
        <f ca="1">+GETPIVOTDATA("XLL4",'langlon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+GETPIVOTDATA("XLL4",'langlon (2016)'!$A$3,"MA_HT","PNK","MA_QH","LUC")</f>
        <v>0</v>
      </c>
      <c r="H57" s="22">
        <f ca="1">+GETPIVOTDATA("XLL4",'langlon (2016)'!$A$3,"MA_HT","PNK","MA_QH","LUK")</f>
        <v>0</v>
      </c>
      <c r="I57" s="22">
        <f ca="1">+GETPIVOTDATA("XLL4",'langlon (2016)'!$A$3,"MA_HT","PNK","MA_QH","LUN")</f>
        <v>0</v>
      </c>
      <c r="J57" s="22">
        <f ca="1">+GETPIVOTDATA("XLL4",'langlon (2016)'!$A$3,"MA_HT","PNK","MA_QH","HNK")</f>
        <v>0</v>
      </c>
      <c r="K57" s="22">
        <f ca="1">+GETPIVOTDATA("XLL4",'langlon (2016)'!$A$3,"MA_HT","PNK","MA_QH","CLN")</f>
        <v>0</v>
      </c>
      <c r="L57" s="22">
        <f ca="1">+GETPIVOTDATA("XLL4",'langlon (2016)'!$A$3,"MA_HT","PNK","MA_QH","RSX")</f>
        <v>0</v>
      </c>
      <c r="M57" s="22">
        <f ca="1">+GETPIVOTDATA("XLL4",'langlon (2016)'!$A$3,"MA_HT","PNK","MA_QH","RPH")</f>
        <v>0</v>
      </c>
      <c r="N57" s="22">
        <f ca="1">+GETPIVOTDATA("XLL4",'langlon (2016)'!$A$3,"MA_HT","PNK","MA_QH","RDD")</f>
        <v>0</v>
      </c>
      <c r="O57" s="22">
        <f ca="1">+GETPIVOTDATA("XLL4",'langlon (2016)'!$A$3,"MA_HT","PNK","MA_QH","NTS")</f>
        <v>0</v>
      </c>
      <c r="P57" s="22">
        <f ca="1">+GETPIVOTDATA("XLL4",'langlon (2016)'!$A$3,"MA_HT","PNK","MA_QH","LMU")</f>
        <v>0</v>
      </c>
      <c r="Q57" s="22">
        <f ca="1">+GETPIVOTDATA("XLL4",'langlon (2016)'!$A$3,"MA_HT","PNK","MA_QH","NKH")</f>
        <v>0</v>
      </c>
      <c r="R57" s="79">
        <f ca="1">SUM(S57:AA57,AN57:BC57)</f>
        <v>0</v>
      </c>
      <c r="S57" s="22">
        <f ca="1">+GETPIVOTDATA("XLL4",'langlon (2016)'!$A$3,"MA_HT","PNK","MA_QH","CQP")</f>
        <v>0</v>
      </c>
      <c r="T57" s="22">
        <f ca="1">+GETPIVOTDATA("XLL4",'langlon (2016)'!$A$3,"MA_HT","PNK","MA_QH","CAN")</f>
        <v>0</v>
      </c>
      <c r="U57" s="22">
        <f ca="1">+GETPIVOTDATA("XLL4",'langlon (2016)'!$A$3,"MA_HT","PNK","MA_QH","SKK")</f>
        <v>0</v>
      </c>
      <c r="V57" s="22">
        <f ca="1">+GETPIVOTDATA("XLL4",'langlon (2016)'!$A$3,"MA_HT","PNK","MA_QH","SKT")</f>
        <v>0</v>
      </c>
      <c r="W57" s="22">
        <f ca="1">+GETPIVOTDATA("XLL4",'langlon (2016)'!$A$3,"MA_HT","PNK","MA_QH","SKN")</f>
        <v>0</v>
      </c>
      <c r="X57" s="22">
        <f ca="1">+GETPIVOTDATA("XLL4",'langlon (2016)'!$A$3,"MA_HT","PNK","MA_QH","TMD")</f>
        <v>0</v>
      </c>
      <c r="Y57" s="22">
        <f ca="1">+GETPIVOTDATA("XLL4",'langlon (2016)'!$A$3,"MA_HT","PNK","MA_QH","SKC")</f>
        <v>0</v>
      </c>
      <c r="Z57" s="22">
        <f ca="1">+GETPIVOTDATA("XLL4",'langlon (2016)'!$A$3,"MA_HT","PNK","MA_QH","SKS")</f>
        <v>0</v>
      </c>
      <c r="AA57" s="52">
        <f ca="1" t="shared" si="21"/>
        <v>0</v>
      </c>
      <c r="AB57" s="22">
        <f ca="1">+GETPIVOTDATA("XLL4",'langlon (2016)'!$A$3,"MA_HT","PNK","MA_QH","DGT")</f>
        <v>0</v>
      </c>
      <c r="AC57" s="22">
        <f ca="1">+GETPIVOTDATA("XLL4",'langlon (2016)'!$A$3,"MA_HT","PNK","MA_QH","DTL")</f>
        <v>0</v>
      </c>
      <c r="AD57" s="22">
        <f ca="1">+GETPIVOTDATA("XLL4",'langlon (2016)'!$A$3,"MA_HT","PNK","MA_QH","DNL")</f>
        <v>0</v>
      </c>
      <c r="AE57" s="22">
        <f ca="1">+GETPIVOTDATA("XLL4",'langlon (2016)'!$A$3,"MA_HT","PNK","MA_QH","DBV")</f>
        <v>0</v>
      </c>
      <c r="AF57" s="22">
        <f ca="1">+GETPIVOTDATA("XLL4",'langlon (2016)'!$A$3,"MA_HT","PNK","MA_QH","DVH")</f>
        <v>0</v>
      </c>
      <c r="AG57" s="22">
        <f ca="1">+GETPIVOTDATA("XLL4",'langlon (2016)'!$A$3,"MA_HT","PNK","MA_QH","DYT")</f>
        <v>0</v>
      </c>
      <c r="AH57" s="22">
        <f ca="1">+GETPIVOTDATA("XLL4",'langlon (2016)'!$A$3,"MA_HT","PNK","MA_QH","DGD")</f>
        <v>0</v>
      </c>
      <c r="AI57" s="22">
        <f ca="1">+GETPIVOTDATA("XLL4",'langlon (2016)'!$A$3,"MA_HT","PNK","MA_QH","DTT")</f>
        <v>0</v>
      </c>
      <c r="AJ57" s="22">
        <f ca="1">+GETPIVOTDATA("XLL4",'langlon (2016)'!$A$3,"MA_HT","PNK","MA_QH","NCK")</f>
        <v>0</v>
      </c>
      <c r="AK57" s="22">
        <f ca="1">+GETPIVOTDATA("XLL4",'langlon (2016)'!$A$3,"MA_HT","PNK","MA_QH","DXH")</f>
        <v>0</v>
      </c>
      <c r="AL57" s="22">
        <f ca="1">+GETPIVOTDATA("XLL4",'langlon (2016)'!$A$3,"MA_HT","PNK","MA_QH","DCH")</f>
        <v>0</v>
      </c>
      <c r="AM57" s="22">
        <f ca="1">+GETPIVOTDATA("XLL4",'langlon (2016)'!$A$3,"MA_HT","PNK","MA_QH","DKG")</f>
        <v>0</v>
      </c>
      <c r="AN57" s="22">
        <f ca="1">+GETPIVOTDATA("XLL4",'langlon (2016)'!$A$3,"MA_HT","PNK","MA_QH","DDT")</f>
        <v>0</v>
      </c>
      <c r="AO57" s="22">
        <f ca="1">+GETPIVOTDATA("XLL4",'langlon (2016)'!$A$3,"MA_HT","PNK","MA_QH","DDL")</f>
        <v>0</v>
      </c>
      <c r="AP57" s="22">
        <f ca="1">+GETPIVOTDATA("XLL4",'langlon (2016)'!$A$3,"MA_HT","PNK","MA_QH","DRA")</f>
        <v>0</v>
      </c>
      <c r="AQ57" s="22">
        <f ca="1">+GETPIVOTDATA("XLL4",'langlon (2016)'!$A$3,"MA_HT","PNK","MA_QH","ONT")</f>
        <v>0</v>
      </c>
      <c r="AR57" s="22">
        <f ca="1">+GETPIVOTDATA("XLL4",'langlon (2016)'!$A$3,"MA_HT","PNK","MA_QH","ODT")</f>
        <v>0</v>
      </c>
      <c r="AS57" s="22">
        <f ca="1">+GETPIVOTDATA("XLL4",'langlon (2016)'!$A$3,"MA_HT","PNK","MA_QH","TSC")</f>
        <v>0</v>
      </c>
      <c r="AT57" s="22">
        <f ca="1">+GETPIVOTDATA("XLL4",'langlon (2016)'!$A$3,"MA_HT","PNK","MA_QH","DTS")</f>
        <v>0</v>
      </c>
      <c r="AU57" s="22">
        <f ca="1">+GETPIVOTDATA("XLL4",'langlon (2016)'!$A$3,"MA_HT","PNK","MA_QH","DNG")</f>
        <v>0</v>
      </c>
      <c r="AV57" s="22">
        <f ca="1">+GETPIVOTDATA("XLL4",'langlon (2016)'!$A$3,"MA_HT","PNK","MA_QH","TON")</f>
        <v>0</v>
      </c>
      <c r="AW57" s="22">
        <f ca="1">+GETPIVOTDATA("XLL4",'langlon (2016)'!$A$3,"MA_HT","PNK","MA_QH","NTD")</f>
        <v>0</v>
      </c>
      <c r="AX57" s="22">
        <f ca="1">+GETPIVOTDATA("XLL4",'langlon (2016)'!$A$3,"MA_HT","PNK","MA_QH","SKX")</f>
        <v>0</v>
      </c>
      <c r="AY57" s="22">
        <f ca="1">+GETPIVOTDATA("XLL4",'langlon (2016)'!$A$3,"MA_HT","PNK","MA_QH","DSH")</f>
        <v>0</v>
      </c>
      <c r="AZ57" s="22">
        <f ca="1">+GETPIVOTDATA("XLL4",'langlon (2016)'!$A$3,"MA_HT","PNK","MA_QH","DKV")</f>
        <v>0</v>
      </c>
      <c r="BA57" s="89">
        <f ca="1">+GETPIVOTDATA("XLL4",'langlon (2016)'!$A$3,"MA_HT","PNK","MA_QH","TIN")</f>
        <v>0</v>
      </c>
      <c r="BB57" s="50">
        <f ca="1">+GETPIVOTDATA("XLL4",'langlon (2016)'!$A$3,"MA_HT","PNK","MA_QH","SON")</f>
        <v>0</v>
      </c>
      <c r="BC57" s="50">
        <f ca="1">+GETPIVOTDATA("XLL4",'langlon (2016)'!$A$3,"MA_HT","PNK","MA_QH","MNC")</f>
        <v>0</v>
      </c>
      <c r="BD57" s="43" t="e">
        <f ca="1">$D57-$BF57</f>
        <v>#REF!</v>
      </c>
      <c r="BE57" s="71">
        <f ca="1">+GETPIVOTDATA("XLL4",'langlon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+GETPIVOTDATA("XLL4",'langlon (2016)'!$A$3,"MA_HT","CSD","MA_QH","LUC")</f>
        <v>0</v>
      </c>
      <c r="H58" s="71">
        <f ca="1">+GETPIVOTDATA("XLL4",'langlon (2016)'!$A$3,"MA_HT","CSD","MA_QH","LUK")</f>
        <v>0</v>
      </c>
      <c r="I58" s="71">
        <f ca="1">+GETPIVOTDATA("XLL4",'langlon (2016)'!$A$3,"MA_HT","CSD","MA_QH","LUN")</f>
        <v>0</v>
      </c>
      <c r="J58" s="71">
        <f ca="1">+GETPIVOTDATA("XLL4",'langlon (2016)'!$A$3,"MA_HT","CSD","MA_QH","HNK")</f>
        <v>0</v>
      </c>
      <c r="K58" s="71">
        <f ca="1">+GETPIVOTDATA("XLL4",'langlon (2016)'!$A$3,"MA_HT","CSD","MA_QH","CLN")</f>
        <v>0</v>
      </c>
      <c r="L58" s="71">
        <f ca="1">+GETPIVOTDATA("XLL4",'langlon (2016)'!$A$3,"MA_HT","CSD","MA_QH","RSX")</f>
        <v>0</v>
      </c>
      <c r="M58" s="71">
        <f ca="1">+GETPIVOTDATA("XLL4",'langlon (2016)'!$A$3,"MA_HT","CSD","MA_QH","RPH")</f>
        <v>0</v>
      </c>
      <c r="N58" s="71">
        <f ca="1">+GETPIVOTDATA("XLL4",'langlon (2016)'!$A$3,"MA_HT","CSD","MA_QH","RDD")</f>
        <v>0</v>
      </c>
      <c r="O58" s="71">
        <f ca="1">+GETPIVOTDATA("XLL4",'langlon (2016)'!$A$3,"MA_HT","CSD","MA_QH","NTS")</f>
        <v>0</v>
      </c>
      <c r="P58" s="71">
        <f ca="1">+GETPIVOTDATA("XLL4",'langlon (2016)'!$A$3,"MA_HT","CSD","MA_QH","LMU")</f>
        <v>0</v>
      </c>
      <c r="Q58" s="71">
        <f ca="1">+GETPIVOTDATA("XLL4",'langlon (2016)'!$A$3,"MA_HT","CSD","MA_QH","NKH")</f>
        <v>0</v>
      </c>
      <c r="R58" s="79">
        <f ca="1">SUM(S58:AA58,AN58:BD58)</f>
        <v>0</v>
      </c>
      <c r="S58" s="80">
        <f ca="1">+GETPIVOTDATA("XLL4",'langlon (2016)'!$A$3,"MA_HT","CSD","MA_QH","CQP")</f>
        <v>0</v>
      </c>
      <c r="T58" s="80">
        <f ca="1">+GETPIVOTDATA("XLL4",'langlon (2016)'!$A$3,"MA_HT","CSD","MA_QH","CAN")</f>
        <v>0</v>
      </c>
      <c r="U58" s="71">
        <f ca="1">+GETPIVOTDATA("XLL4",'langlon (2016)'!$A$3,"MA_HT","CSD","MA_QH","SKK")</f>
        <v>0</v>
      </c>
      <c r="V58" s="71">
        <f ca="1">+GETPIVOTDATA("XLL4",'langlon (2016)'!$A$3,"MA_HT","CSD","MA_QH","SKT")</f>
        <v>0</v>
      </c>
      <c r="W58" s="71">
        <f ca="1">+GETPIVOTDATA("XLL4",'langlon (2016)'!$A$3,"MA_HT","CSD","MA_QH","SKN")</f>
        <v>0</v>
      </c>
      <c r="X58" s="71">
        <f ca="1">+GETPIVOTDATA("XLL4",'langlon (2016)'!$A$3,"MA_HT","CSD","MA_QH","TMD")</f>
        <v>0</v>
      </c>
      <c r="Y58" s="71">
        <f ca="1">+GETPIVOTDATA("XLL4",'langlon (2016)'!$A$3,"MA_HT","CSD","MA_QH","SKC")</f>
        <v>0</v>
      </c>
      <c r="Z58" s="71">
        <f ca="1">+GETPIVOTDATA("XLL4",'langlon (2016)'!$A$3,"MA_HT","CSD","MA_QH","SKS")</f>
        <v>0</v>
      </c>
      <c r="AA58" s="52">
        <f ca="1" t="shared" si="21"/>
        <v>0</v>
      </c>
      <c r="AB58" s="80">
        <f ca="1">+GETPIVOTDATA("XLL4",'langlon (2016)'!$A$3,"MA_HT","CSD","MA_QH","DGT")</f>
        <v>0</v>
      </c>
      <c r="AC58" s="80">
        <f ca="1">+GETPIVOTDATA("XLL4",'langlon (2016)'!$A$3,"MA_HT","CSD","MA_QH","DTL")</f>
        <v>0</v>
      </c>
      <c r="AD58" s="80">
        <f ca="1">+GETPIVOTDATA("XLL4",'langlon (2016)'!$A$3,"MA_HT","CSD","MA_QH","DNL")</f>
        <v>0</v>
      </c>
      <c r="AE58" s="80">
        <f ca="1">+GETPIVOTDATA("XLL4",'langlon (2016)'!$A$3,"MA_HT","CSD","MA_QH","DBV")</f>
        <v>0</v>
      </c>
      <c r="AF58" s="80">
        <f ca="1">+GETPIVOTDATA("XLL4",'langlon (2016)'!$A$3,"MA_HT","CSD","MA_QH","DVH")</f>
        <v>0</v>
      </c>
      <c r="AG58" s="80">
        <f ca="1">+GETPIVOTDATA("XLL4",'langlon (2016)'!$A$3,"MA_HT","CSD","MA_QH","DYT")</f>
        <v>0</v>
      </c>
      <c r="AH58" s="80">
        <f ca="1">+GETPIVOTDATA("XLL4",'langlon (2016)'!$A$3,"MA_HT","CSD","MA_QH","DGD")</f>
        <v>0</v>
      </c>
      <c r="AI58" s="80">
        <f ca="1">+GETPIVOTDATA("XLL4",'langlon (2016)'!$A$3,"MA_HT","CSD","MA_QH","DTT")</f>
        <v>0</v>
      </c>
      <c r="AJ58" s="80">
        <f ca="1">+GETPIVOTDATA("XLL4",'langlon (2016)'!$A$3,"MA_HT","CSD","MA_QH","NCK")</f>
        <v>0</v>
      </c>
      <c r="AK58" s="80">
        <f ca="1">+GETPIVOTDATA("XLL4",'langlon (2016)'!$A$3,"MA_HT","CSD","MA_QH","DXH")</f>
        <v>0</v>
      </c>
      <c r="AL58" s="80">
        <f ca="1">+GETPIVOTDATA("XLL4",'langlon (2016)'!$A$3,"MA_HT","CSD","MA_QH","DCH")</f>
        <v>0</v>
      </c>
      <c r="AM58" s="80">
        <f ca="1">+GETPIVOTDATA("XLL4",'langlon (2016)'!$A$3,"MA_HT","CSD","MA_QH","DKG")</f>
        <v>0</v>
      </c>
      <c r="AN58" s="71">
        <f ca="1">+GETPIVOTDATA("XLL4",'langlon (2016)'!$A$3,"MA_HT","CSD","MA_QH","DDT")</f>
        <v>0</v>
      </c>
      <c r="AO58" s="71">
        <f ca="1">+GETPIVOTDATA("XLL4",'langlon (2016)'!$A$3,"MA_HT","CSD","MA_QH","DDL")</f>
        <v>0</v>
      </c>
      <c r="AP58" s="71">
        <f ca="1">+GETPIVOTDATA("XLL4",'langlon (2016)'!$A$3,"MA_HT","CSD","MA_QH","DRA")</f>
        <v>0</v>
      </c>
      <c r="AQ58" s="71">
        <f ca="1">+GETPIVOTDATA("XLL4",'langlon (2016)'!$A$3,"MA_HT","CSD","MA_QH","ONT")</f>
        <v>0</v>
      </c>
      <c r="AR58" s="71">
        <f ca="1">+GETPIVOTDATA("XLL4",'langlon (2016)'!$A$3,"MA_HT","CSD","MA_QH","ODT")</f>
        <v>0</v>
      </c>
      <c r="AS58" s="71">
        <f ca="1">+GETPIVOTDATA("XLL4",'langlon (2016)'!$A$3,"MA_HT","CSD","MA_QH","TSC")</f>
        <v>0</v>
      </c>
      <c r="AT58" s="71">
        <f ca="1">+GETPIVOTDATA("XLL4",'langlon (2016)'!$A$3,"MA_HT","CSD","MA_QH","DTS")</f>
        <v>0</v>
      </c>
      <c r="AU58" s="71">
        <f ca="1">+GETPIVOTDATA("XLL4",'langlon (2016)'!$A$3,"MA_HT","CSD","MA_QH","DNG")</f>
        <v>0</v>
      </c>
      <c r="AV58" s="71">
        <f ca="1">+GETPIVOTDATA("XLL4",'langlon (2016)'!$A$3,"MA_HT","CSD","MA_QH","TON")</f>
        <v>0</v>
      </c>
      <c r="AW58" s="71">
        <f ca="1">+GETPIVOTDATA("XLL4",'langlon (2016)'!$A$3,"MA_HT","CSD","MA_QH","NTD")</f>
        <v>0</v>
      </c>
      <c r="AX58" s="71">
        <f ca="1">+GETPIVOTDATA("XLL4",'langlon (2016)'!$A$3,"MA_HT","CSD","MA_QH","SKX")</f>
        <v>0</v>
      </c>
      <c r="AY58" s="71">
        <f ca="1">+GETPIVOTDATA("XLL4",'langlon (2016)'!$A$3,"MA_HT","CSD","MA_QH","DSH")</f>
        <v>0</v>
      </c>
      <c r="AZ58" s="71">
        <f ca="1">+GETPIVOTDATA("XLL4",'langlon (2016)'!$A$3,"MA_HT","CSD","MA_QH","DKV")</f>
        <v>0</v>
      </c>
      <c r="BA58" s="89">
        <f ca="1">+GETPIVOTDATA("XLL4",'langlon (2016)'!$A$3,"MA_HT","CSD","MA_QH","TIN")</f>
        <v>0</v>
      </c>
      <c r="BB58" s="80">
        <f ca="1">+GETPIVOTDATA("XLL4",'langlon (2016)'!$A$3,"MA_HT","CSD","MA_QH","SON")</f>
        <v>0</v>
      </c>
      <c r="BC58" s="80">
        <f ca="1">+GETPIVOTDATA("XLL4",'langlon (2016)'!$A$3,"MA_HT","CSD","MA_QH","MNC")</f>
        <v>0</v>
      </c>
      <c r="BD58" s="71">
        <f ca="1">+GETPIVOTDATA("XLL4",'langlon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S77"/>
  <sheetViews>
    <sheetView topLeftCell="A40" workbookViewId="0">
      <selection activeCell="A7" sqref="$A7:$XFD7"/>
    </sheetView>
  </sheetViews>
  <sheetFormatPr defaultColWidth="9" defaultRowHeight="15.75"/>
  <cols>
    <col min="1" max="1" width="3.5" style="485" customWidth="1"/>
    <col min="2" max="2" width="28.2" style="486" customWidth="1"/>
    <col min="3" max="3" width="4.7" style="485" customWidth="1"/>
    <col min="4" max="4" width="9.4" style="487" customWidth="1"/>
    <col min="5" max="6" width="7.4" style="487" customWidth="1"/>
    <col min="7" max="7" width="8.7" style="488" customWidth="1"/>
    <col min="8" max="8" width="8.1" style="488" customWidth="1"/>
    <col min="9" max="9" width="8.2" style="489" customWidth="1"/>
    <col min="10" max="10" width="8.2" style="485" customWidth="1"/>
    <col min="11" max="11" width="8" style="485" customWidth="1"/>
    <col min="12" max="13" width="7.7" style="485" customWidth="1"/>
    <col min="14" max="14" width="7.2" style="485" customWidth="1"/>
    <col min="15" max="15" width="7.5" style="485" customWidth="1"/>
    <col min="16" max="16" width="7.9" style="485" customWidth="1"/>
    <col min="17" max="17" width="8.2" style="485" customWidth="1"/>
    <col min="18" max="18" width="7.3" style="328" customWidth="1"/>
    <col min="19" max="19" width="9" style="490" customWidth="1"/>
    <col min="20" max="16384" width="9" style="328"/>
  </cols>
  <sheetData>
    <row r="1" s="482" customFormat="1" spans="1:19">
      <c r="A1" s="335" t="s">
        <v>198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528"/>
      <c r="S1" s="529"/>
    </row>
    <row r="2" s="482" customFormat="1" spans="1:19">
      <c r="A2" s="336" t="s">
        <v>199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528"/>
      <c r="S2" s="529"/>
    </row>
    <row r="3" s="482" customFormat="1" spans="1:19">
      <c r="A3" s="337" t="s">
        <v>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528"/>
      <c r="S3" s="529"/>
    </row>
    <row r="4" spans="1:18">
      <c r="A4" s="491"/>
      <c r="B4" s="492"/>
      <c r="C4" s="491"/>
      <c r="D4" s="491"/>
      <c r="E4" s="340" t="s">
        <v>153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530"/>
    </row>
    <row r="5" s="483" customFormat="1" ht="13.2" customHeight="1" spans="1:19">
      <c r="A5" s="493" t="s">
        <v>154</v>
      </c>
      <c r="B5" s="494" t="s">
        <v>3</v>
      </c>
      <c r="C5" s="495" t="s">
        <v>4</v>
      </c>
      <c r="D5" s="494" t="s">
        <v>155</v>
      </c>
      <c r="E5" s="495" t="s">
        <v>200</v>
      </c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S5" s="531"/>
    </row>
    <row r="6" s="483" customFormat="1" ht="13.2" customHeight="1" spans="1:19">
      <c r="A6" s="493"/>
      <c r="B6" s="494"/>
      <c r="C6" s="495"/>
      <c r="D6" s="494"/>
      <c r="E6" s="496" t="s">
        <v>157</v>
      </c>
      <c r="F6" s="496" t="s">
        <v>158</v>
      </c>
      <c r="G6" s="496" t="s">
        <v>159</v>
      </c>
      <c r="H6" s="496" t="s">
        <v>160</v>
      </c>
      <c r="I6" s="496" t="s">
        <v>161</v>
      </c>
      <c r="J6" s="496" t="s">
        <v>162</v>
      </c>
      <c r="K6" s="496" t="s">
        <v>163</v>
      </c>
      <c r="L6" s="496" t="s">
        <v>164</v>
      </c>
      <c r="M6" s="496" t="s">
        <v>165</v>
      </c>
      <c r="N6" s="496" t="s">
        <v>166</v>
      </c>
      <c r="O6" s="496" t="s">
        <v>167</v>
      </c>
      <c r="P6" s="496" t="s">
        <v>168</v>
      </c>
      <c r="Q6" s="496" t="s">
        <v>169</v>
      </c>
      <c r="S6" s="531"/>
    </row>
    <row r="7" ht="13.2" customHeight="1" spans="1:17">
      <c r="A7" s="642" t="s">
        <v>10</v>
      </c>
      <c r="B7" s="640" t="s">
        <v>11</v>
      </c>
      <c r="C7" s="643" t="s">
        <v>12</v>
      </c>
      <c r="D7" s="643" t="s">
        <v>170</v>
      </c>
      <c r="E7" s="644" t="s">
        <v>14</v>
      </c>
      <c r="F7" s="644" t="s">
        <v>171</v>
      </c>
      <c r="G7" s="348" t="s">
        <v>172</v>
      </c>
      <c r="H7" s="348" t="s">
        <v>173</v>
      </c>
      <c r="I7" s="348" t="s">
        <v>174</v>
      </c>
      <c r="J7" s="348" t="s">
        <v>175</v>
      </c>
      <c r="K7" s="348" t="s">
        <v>176</v>
      </c>
      <c r="L7" s="348" t="s">
        <v>177</v>
      </c>
      <c r="M7" s="348" t="s">
        <v>178</v>
      </c>
      <c r="N7" s="348" t="s">
        <v>179</v>
      </c>
      <c r="O7" s="644" t="s">
        <v>180</v>
      </c>
      <c r="P7" s="644" t="s">
        <v>181</v>
      </c>
      <c r="Q7" s="644" t="s">
        <v>201</v>
      </c>
    </row>
    <row r="8" ht="13.2" customHeight="1" spans="1:17">
      <c r="A8" s="497"/>
      <c r="B8" s="498" t="s">
        <v>16</v>
      </c>
      <c r="C8" s="499"/>
      <c r="D8" s="500">
        <v>66414.220723</v>
      </c>
      <c r="E8" s="500">
        <v>4273.089882</v>
      </c>
      <c r="F8" s="500">
        <v>4713.3926</v>
      </c>
      <c r="G8" s="500">
        <v>1146.920416</v>
      </c>
      <c r="H8" s="500">
        <v>4595.39319</v>
      </c>
      <c r="I8" s="500">
        <v>4122.635591</v>
      </c>
      <c r="J8" s="500">
        <v>5292.497288</v>
      </c>
      <c r="K8" s="500">
        <v>7295.311706</v>
      </c>
      <c r="L8" s="500">
        <v>4445.848691</v>
      </c>
      <c r="M8" s="500">
        <v>7192.917273</v>
      </c>
      <c r="N8" s="500">
        <v>9638.927763</v>
      </c>
      <c r="O8" s="500">
        <v>4585.02141</v>
      </c>
      <c r="P8" s="500">
        <v>2879.947667</v>
      </c>
      <c r="Q8" s="500">
        <v>6232.317246</v>
      </c>
    </row>
    <row r="9" ht="13.2" customHeight="1" spans="1:17">
      <c r="A9" s="497">
        <v>1</v>
      </c>
      <c r="B9" s="498" t="s">
        <v>17</v>
      </c>
      <c r="C9" s="499" t="s">
        <v>18</v>
      </c>
      <c r="D9" s="500">
        <v>56591.3692731682</v>
      </c>
      <c r="E9" s="500">
        <v>3332.578245</v>
      </c>
      <c r="F9" s="500">
        <v>3831.245125</v>
      </c>
      <c r="G9" s="500">
        <v>637.39774</v>
      </c>
      <c r="H9" s="500">
        <v>4017.828241</v>
      </c>
      <c r="I9" s="500">
        <v>3672.38702584501</v>
      </c>
      <c r="J9" s="500">
        <v>4990.947084</v>
      </c>
      <c r="K9" s="500">
        <v>4927.96501</v>
      </c>
      <c r="L9" s="500">
        <v>3962.50185402905</v>
      </c>
      <c r="M9" s="500">
        <v>6385.364493</v>
      </c>
      <c r="N9" s="500">
        <v>8939.64192429415</v>
      </c>
      <c r="O9" s="500">
        <v>3932.39341</v>
      </c>
      <c r="P9" s="500">
        <v>2640.811114</v>
      </c>
      <c r="Q9" s="500">
        <v>5320.308007</v>
      </c>
    </row>
    <row r="10" ht="13.2" customHeight="1" spans="1:17">
      <c r="A10" s="501"/>
      <c r="B10" s="502" t="s">
        <v>19</v>
      </c>
      <c r="C10" s="503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</row>
    <row r="11" ht="13.2" customHeight="1" spans="1:17">
      <c r="A11" s="505" t="s">
        <v>20</v>
      </c>
      <c r="B11" s="506" t="s">
        <v>21</v>
      </c>
      <c r="C11" s="507" t="s">
        <v>22</v>
      </c>
      <c r="D11" s="508">
        <v>1020.482</v>
      </c>
      <c r="E11" s="508">
        <v>11.445351</v>
      </c>
      <c r="F11" s="508">
        <v>0</v>
      </c>
      <c r="G11" s="508">
        <v>100.878</v>
      </c>
      <c r="H11" s="508">
        <v>297.176122</v>
      </c>
      <c r="I11" s="508">
        <v>6.070208</v>
      </c>
      <c r="J11" s="508">
        <v>30.27</v>
      </c>
      <c r="K11" s="508">
        <v>96.61703</v>
      </c>
      <c r="L11" s="508">
        <v>190.149105</v>
      </c>
      <c r="M11" s="508">
        <v>0</v>
      </c>
      <c r="N11" s="508">
        <v>42.44</v>
      </c>
      <c r="O11" s="508">
        <v>57.81</v>
      </c>
      <c r="P11" s="508">
        <v>14.97062</v>
      </c>
      <c r="Q11" s="508">
        <v>172.655564</v>
      </c>
    </row>
    <row r="12" ht="13.2" customHeight="1" spans="1:17">
      <c r="A12" s="509"/>
      <c r="B12" s="645" t="s">
        <v>23</v>
      </c>
      <c r="C12" s="511" t="s">
        <v>24</v>
      </c>
      <c r="D12" s="512">
        <v>74.08723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74.08723</v>
      </c>
      <c r="M12" s="512">
        <v>0</v>
      </c>
      <c r="N12" s="512">
        <v>0</v>
      </c>
      <c r="O12" s="512">
        <v>0</v>
      </c>
      <c r="P12" s="512">
        <v>0</v>
      </c>
      <c r="Q12" s="512">
        <v>0</v>
      </c>
    </row>
    <row r="13" ht="13.2" customHeight="1" spans="1:18">
      <c r="A13" s="505" t="s">
        <v>25</v>
      </c>
      <c r="B13" s="513" t="s">
        <v>26</v>
      </c>
      <c r="C13" s="507" t="s">
        <v>27</v>
      </c>
      <c r="D13" s="508">
        <v>231.259117</v>
      </c>
      <c r="E13" s="508">
        <v>65.088681</v>
      </c>
      <c r="F13" s="508">
        <v>12.185812</v>
      </c>
      <c r="G13" s="508">
        <v>2.14587</v>
      </c>
      <c r="H13" s="508">
        <v>27.612114</v>
      </c>
      <c r="I13" s="508">
        <v>17.37202</v>
      </c>
      <c r="J13" s="508">
        <v>12.213896</v>
      </c>
      <c r="K13" s="508">
        <v>21.935886</v>
      </c>
      <c r="L13" s="508">
        <v>21.176888</v>
      </c>
      <c r="M13" s="508">
        <v>16.197889</v>
      </c>
      <c r="N13" s="508">
        <v>0</v>
      </c>
      <c r="O13" s="508">
        <v>12.16731</v>
      </c>
      <c r="P13" s="508">
        <v>0</v>
      </c>
      <c r="Q13" s="508">
        <v>23.162751</v>
      </c>
      <c r="R13" s="532"/>
    </row>
    <row r="14" ht="13.2" customHeight="1" spans="1:17">
      <c r="A14" s="505" t="s">
        <v>28</v>
      </c>
      <c r="B14" s="506" t="s">
        <v>29</v>
      </c>
      <c r="C14" s="507" t="s">
        <v>30</v>
      </c>
      <c r="D14" s="508">
        <v>48238.2578313232</v>
      </c>
      <c r="E14" s="508">
        <v>3247.734505</v>
      </c>
      <c r="F14" s="508">
        <v>2122.465968</v>
      </c>
      <c r="G14" s="508">
        <v>533.32708</v>
      </c>
      <c r="H14" s="508">
        <v>3642.730873</v>
      </c>
      <c r="I14" s="508">
        <v>3553.02925</v>
      </c>
      <c r="J14" s="508">
        <v>3211.390742</v>
      </c>
      <c r="K14" s="508">
        <v>4625.237296</v>
      </c>
      <c r="L14" s="508">
        <v>3743.38776802905</v>
      </c>
      <c r="M14" s="508">
        <v>3426.747937</v>
      </c>
      <c r="N14" s="508">
        <v>8689.87715629415</v>
      </c>
      <c r="O14" s="508">
        <v>3834.31061</v>
      </c>
      <c r="P14" s="508">
        <v>2603.476335</v>
      </c>
      <c r="Q14" s="508">
        <v>5004.542311</v>
      </c>
    </row>
    <row r="15" ht="13.2" customHeight="1" spans="1:17">
      <c r="A15" s="505" t="s">
        <v>31</v>
      </c>
      <c r="B15" s="514" t="s">
        <v>32</v>
      </c>
      <c r="C15" s="507" t="s">
        <v>33</v>
      </c>
      <c r="D15" s="508">
        <v>512.886725</v>
      </c>
      <c r="E15" s="508"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72.067524</v>
      </c>
      <c r="K15" s="508">
        <v>29.087444</v>
      </c>
      <c r="L15" s="508">
        <v>0</v>
      </c>
      <c r="M15" s="508">
        <v>411.731757</v>
      </c>
      <c r="N15" s="508">
        <v>0</v>
      </c>
      <c r="O15" s="508">
        <v>0</v>
      </c>
      <c r="P15" s="508">
        <v>0</v>
      </c>
      <c r="Q15" s="508">
        <v>0</v>
      </c>
    </row>
    <row r="16" ht="13.2" customHeight="1" spans="1:17">
      <c r="A16" s="505" t="s">
        <v>34</v>
      </c>
      <c r="B16" s="514" t="s">
        <v>35</v>
      </c>
      <c r="C16" s="507" t="s">
        <v>182</v>
      </c>
      <c r="D16" s="508">
        <v>0</v>
      </c>
      <c r="E16" s="508">
        <v>0</v>
      </c>
      <c r="F16" s="508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</row>
    <row r="17" ht="13.2" customHeight="1" spans="1:17">
      <c r="A17" s="505" t="s">
        <v>36</v>
      </c>
      <c r="B17" s="514" t="s">
        <v>37</v>
      </c>
      <c r="C17" s="507" t="s">
        <v>38</v>
      </c>
      <c r="D17" s="508">
        <v>5864.184375</v>
      </c>
      <c r="E17" s="508">
        <v>0</v>
      </c>
      <c r="F17" s="508">
        <v>1696.593345</v>
      </c>
      <c r="G17" s="508">
        <v>0</v>
      </c>
      <c r="H17" s="508">
        <v>0</v>
      </c>
      <c r="I17" s="508">
        <v>0</v>
      </c>
      <c r="J17" s="508">
        <v>1563.671263</v>
      </c>
      <c r="K17" s="508">
        <v>81.585236</v>
      </c>
      <c r="L17" s="508">
        <v>0</v>
      </c>
      <c r="M17" s="508">
        <v>2522.334531</v>
      </c>
      <c r="N17" s="508">
        <v>0</v>
      </c>
      <c r="O17" s="508">
        <v>0</v>
      </c>
      <c r="P17" s="508">
        <v>0</v>
      </c>
      <c r="Q17" s="508">
        <v>0</v>
      </c>
    </row>
    <row r="18" ht="24" spans="1:17">
      <c r="A18" s="505"/>
      <c r="B18" s="645" t="s">
        <v>39</v>
      </c>
      <c r="C18" s="511" t="s">
        <v>40</v>
      </c>
      <c r="D18" s="508">
        <v>0</v>
      </c>
      <c r="E18" s="508">
        <v>0</v>
      </c>
      <c r="F18" s="508">
        <v>0</v>
      </c>
      <c r="G18" s="508">
        <v>0</v>
      </c>
      <c r="H18" s="508">
        <v>0</v>
      </c>
      <c r="I18" s="508">
        <v>0</v>
      </c>
      <c r="J18" s="508">
        <v>0</v>
      </c>
      <c r="K18" s="508">
        <v>0</v>
      </c>
      <c r="L18" s="508">
        <v>0</v>
      </c>
      <c r="M18" s="508">
        <v>0</v>
      </c>
      <c r="N18" s="508">
        <v>0</v>
      </c>
      <c r="O18" s="508">
        <v>0</v>
      </c>
      <c r="P18" s="508">
        <v>0</v>
      </c>
      <c r="Q18" s="508">
        <v>0</v>
      </c>
    </row>
    <row r="19" ht="13.2" customHeight="1" spans="1:17">
      <c r="A19" s="505" t="s">
        <v>41</v>
      </c>
      <c r="B19" s="506" t="s">
        <v>42</v>
      </c>
      <c r="C19" s="507" t="s">
        <v>43</v>
      </c>
      <c r="D19" s="508">
        <v>44.5040838450067</v>
      </c>
      <c r="E19" s="508">
        <v>7.709758</v>
      </c>
      <c r="F19" s="508">
        <v>0</v>
      </c>
      <c r="G19" s="508">
        <v>1.04679</v>
      </c>
      <c r="H19" s="508">
        <v>5.427753</v>
      </c>
      <c r="I19" s="508">
        <v>9.0374028450067</v>
      </c>
      <c r="J19" s="508">
        <v>6.742559</v>
      </c>
      <c r="K19" s="508">
        <v>2.603812</v>
      </c>
      <c r="L19" s="508">
        <v>0.018093</v>
      </c>
      <c r="M19" s="508">
        <v>0</v>
      </c>
      <c r="N19" s="508">
        <v>0.274132</v>
      </c>
      <c r="O19" s="508">
        <v>0.97624</v>
      </c>
      <c r="P19" s="508">
        <v>3.378251</v>
      </c>
      <c r="Q19" s="508">
        <v>7.289293</v>
      </c>
    </row>
    <row r="20" ht="13.2" customHeight="1" spans="1:17">
      <c r="A20" s="505" t="s">
        <v>44</v>
      </c>
      <c r="B20" s="506" t="s">
        <v>45</v>
      </c>
      <c r="C20" s="507" t="s">
        <v>46</v>
      </c>
      <c r="D20" s="508">
        <v>0</v>
      </c>
      <c r="E20" s="508">
        <v>0</v>
      </c>
      <c r="F20" s="508"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</row>
    <row r="21" ht="13.2" customHeight="1" spans="1:17">
      <c r="A21" s="505" t="s">
        <v>47</v>
      </c>
      <c r="B21" s="513" t="s">
        <v>48</v>
      </c>
      <c r="C21" s="507" t="s">
        <v>49</v>
      </c>
      <c r="D21" s="508">
        <v>679.795141</v>
      </c>
      <c r="E21" s="508">
        <v>0.59995</v>
      </c>
      <c r="F21" s="508">
        <v>0</v>
      </c>
      <c r="G21" s="508">
        <v>0</v>
      </c>
      <c r="H21" s="508">
        <v>44.881379</v>
      </c>
      <c r="I21" s="508">
        <v>86.878145</v>
      </c>
      <c r="J21" s="508">
        <v>94.5911</v>
      </c>
      <c r="K21" s="508">
        <v>70.898306</v>
      </c>
      <c r="L21" s="508">
        <v>7.77</v>
      </c>
      <c r="M21" s="508">
        <v>8.352379</v>
      </c>
      <c r="N21" s="508">
        <v>207.050636</v>
      </c>
      <c r="O21" s="508">
        <v>27.12925</v>
      </c>
      <c r="P21" s="508">
        <v>18.985908</v>
      </c>
      <c r="Q21" s="508">
        <v>112.658088</v>
      </c>
    </row>
    <row r="22" ht="13.2" customHeight="1" spans="1:17">
      <c r="A22" s="497">
        <v>2</v>
      </c>
      <c r="B22" s="498" t="s">
        <v>50</v>
      </c>
      <c r="C22" s="499" t="s">
        <v>51</v>
      </c>
      <c r="D22" s="500">
        <v>9822.85144983179</v>
      </c>
      <c r="E22" s="500">
        <v>940.511637</v>
      </c>
      <c r="F22" s="500">
        <v>882.147475</v>
      </c>
      <c r="G22" s="500">
        <v>509.522676</v>
      </c>
      <c r="H22" s="500">
        <v>577.564949</v>
      </c>
      <c r="I22" s="500">
        <v>450.248565154993</v>
      </c>
      <c r="J22" s="500">
        <v>301.550204</v>
      </c>
      <c r="K22" s="500">
        <v>2367.346696</v>
      </c>
      <c r="L22" s="500">
        <v>483.346836970947</v>
      </c>
      <c r="M22" s="500">
        <v>807.55278</v>
      </c>
      <c r="N22" s="500">
        <v>699.285838705848</v>
      </c>
      <c r="O22" s="500">
        <v>652.628</v>
      </c>
      <c r="P22" s="500">
        <v>239.136553</v>
      </c>
      <c r="Q22" s="500">
        <v>912.009239</v>
      </c>
    </row>
    <row r="23" ht="13.2" customHeight="1" spans="1:17">
      <c r="A23" s="515"/>
      <c r="B23" s="502" t="s">
        <v>19</v>
      </c>
      <c r="C23" s="516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</row>
    <row r="24" ht="13.2" customHeight="1" spans="1:17">
      <c r="A24" s="518" t="s">
        <v>52</v>
      </c>
      <c r="B24" s="519" t="s">
        <v>53</v>
      </c>
      <c r="C24" s="520" t="s">
        <v>54</v>
      </c>
      <c r="D24" s="508">
        <v>455.191245970947</v>
      </c>
      <c r="E24" s="508">
        <v>3.787657</v>
      </c>
      <c r="F24" s="508">
        <v>25</v>
      </c>
      <c r="G24" s="508">
        <v>29.389436</v>
      </c>
      <c r="H24" s="508">
        <v>0</v>
      </c>
      <c r="I24" s="508">
        <v>0</v>
      </c>
      <c r="J24" s="508">
        <v>0</v>
      </c>
      <c r="K24" s="508">
        <v>0</v>
      </c>
      <c r="L24" s="508">
        <v>105.218632970947</v>
      </c>
      <c r="M24" s="508">
        <v>0</v>
      </c>
      <c r="N24" s="508">
        <v>30</v>
      </c>
      <c r="O24" s="508">
        <v>261.79552</v>
      </c>
      <c r="P24" s="508">
        <v>0</v>
      </c>
      <c r="Q24" s="508">
        <v>0</v>
      </c>
    </row>
    <row r="25" ht="13.2" customHeight="1" spans="1:17">
      <c r="A25" s="518" t="s">
        <v>55</v>
      </c>
      <c r="B25" s="519" t="s">
        <v>56</v>
      </c>
      <c r="C25" s="520" t="s">
        <v>57</v>
      </c>
      <c r="D25" s="508">
        <v>1080.133578</v>
      </c>
      <c r="E25" s="508">
        <v>4.507001</v>
      </c>
      <c r="F25" s="508">
        <v>0</v>
      </c>
      <c r="G25" s="508">
        <v>0</v>
      </c>
      <c r="H25" s="508">
        <v>0</v>
      </c>
      <c r="I25" s="508">
        <v>0</v>
      </c>
      <c r="J25" s="508">
        <v>5.522324</v>
      </c>
      <c r="K25" s="508">
        <v>1070.104253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</row>
    <row r="26" ht="13.2" customHeight="1" spans="1:17">
      <c r="A26" s="518" t="s">
        <v>58</v>
      </c>
      <c r="B26" s="521" t="s">
        <v>59</v>
      </c>
      <c r="C26" s="520" t="s">
        <v>60</v>
      </c>
      <c r="D26" s="508">
        <v>863.088499</v>
      </c>
      <c r="E26" s="508">
        <v>160.005899</v>
      </c>
      <c r="F26" s="508">
        <v>655</v>
      </c>
      <c r="G26" s="508">
        <v>48.0826</v>
      </c>
      <c r="H26" s="508">
        <v>0</v>
      </c>
      <c r="I26" s="508">
        <v>0</v>
      </c>
      <c r="J26" s="508">
        <v>0</v>
      </c>
      <c r="K26" s="508">
        <v>0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</row>
    <row r="27" ht="13.2" customHeight="1" spans="1:17">
      <c r="A27" s="518" t="s">
        <v>61</v>
      </c>
      <c r="B27" s="521" t="s">
        <v>62</v>
      </c>
      <c r="C27" s="520" t="s">
        <v>63</v>
      </c>
      <c r="D27" s="508">
        <v>515</v>
      </c>
      <c r="E27" s="508">
        <v>60</v>
      </c>
      <c r="F27" s="508">
        <v>0</v>
      </c>
      <c r="G27" s="508">
        <v>155</v>
      </c>
      <c r="H27" s="508">
        <v>0</v>
      </c>
      <c r="I27" s="508">
        <v>0</v>
      </c>
      <c r="J27" s="508">
        <v>0</v>
      </c>
      <c r="K27" s="508">
        <v>75</v>
      </c>
      <c r="L27" s="508">
        <v>75</v>
      </c>
      <c r="M27" s="508">
        <v>0</v>
      </c>
      <c r="N27" s="508">
        <v>75</v>
      </c>
      <c r="O27" s="508">
        <v>0</v>
      </c>
      <c r="P27" s="508">
        <v>0</v>
      </c>
      <c r="Q27" s="508">
        <v>75</v>
      </c>
    </row>
    <row r="28" ht="13.2" customHeight="1" spans="1:17">
      <c r="A28" s="518" t="s">
        <v>64</v>
      </c>
      <c r="B28" s="521" t="s">
        <v>65</v>
      </c>
      <c r="C28" s="520" t="s">
        <v>66</v>
      </c>
      <c r="D28" s="508">
        <v>13.720572</v>
      </c>
      <c r="E28" s="508">
        <v>6.277075</v>
      </c>
      <c r="F28" s="508">
        <v>0.246618</v>
      </c>
      <c r="G28" s="508">
        <v>1.62564</v>
      </c>
      <c r="H28" s="508">
        <v>0.200012</v>
      </c>
      <c r="I28" s="508">
        <v>0.558641</v>
      </c>
      <c r="J28" s="508">
        <v>0.05825</v>
      </c>
      <c r="K28" s="508">
        <v>0.659039</v>
      </c>
      <c r="L28" s="508">
        <v>0.362259</v>
      </c>
      <c r="M28" s="508">
        <v>0.76886</v>
      </c>
      <c r="N28" s="508">
        <v>0.638202</v>
      </c>
      <c r="O28" s="508">
        <v>0.04451</v>
      </c>
      <c r="P28" s="508">
        <v>0.628488</v>
      </c>
      <c r="Q28" s="508">
        <v>1.652978</v>
      </c>
    </row>
    <row r="29" ht="13.2" customHeight="1" spans="1:17">
      <c r="A29" s="518" t="s">
        <v>67</v>
      </c>
      <c r="B29" s="521" t="s">
        <v>68</v>
      </c>
      <c r="C29" s="520" t="s">
        <v>69</v>
      </c>
      <c r="D29" s="508">
        <v>472.140793</v>
      </c>
      <c r="E29" s="508">
        <v>81.691016</v>
      </c>
      <c r="F29" s="508">
        <v>1.95</v>
      </c>
      <c r="G29" s="508">
        <v>0.43788</v>
      </c>
      <c r="H29" s="508">
        <v>16.306878</v>
      </c>
      <c r="I29" s="508">
        <v>5.196207</v>
      </c>
      <c r="J29" s="508">
        <v>7.865585</v>
      </c>
      <c r="K29" s="508">
        <v>303.788234</v>
      </c>
      <c r="L29" s="508">
        <v>1.595596</v>
      </c>
      <c r="M29" s="508">
        <v>1.8</v>
      </c>
      <c r="N29" s="508">
        <v>14.139485</v>
      </c>
      <c r="O29" s="508">
        <v>16.1122</v>
      </c>
      <c r="P29" s="508">
        <v>5.848633</v>
      </c>
      <c r="Q29" s="508">
        <v>15.409079</v>
      </c>
    </row>
    <row r="30" ht="13.2" customHeight="1" spans="1:17">
      <c r="A30" s="518" t="s">
        <v>70</v>
      </c>
      <c r="B30" s="521" t="s">
        <v>202</v>
      </c>
      <c r="C30" s="520" t="s">
        <v>72</v>
      </c>
      <c r="D30" s="508">
        <v>421.018372</v>
      </c>
      <c r="E30" s="508">
        <v>0</v>
      </c>
      <c r="F30" s="508">
        <v>0</v>
      </c>
      <c r="G30" s="508">
        <v>0</v>
      </c>
      <c r="H30" s="508">
        <v>73.029508</v>
      </c>
      <c r="I30" s="508">
        <v>172.2</v>
      </c>
      <c r="J30" s="508">
        <v>15.004117</v>
      </c>
      <c r="K30" s="508">
        <v>118.98</v>
      </c>
      <c r="L30" s="508">
        <v>0</v>
      </c>
      <c r="M30" s="508">
        <v>0</v>
      </c>
      <c r="N30" s="508">
        <v>0</v>
      </c>
      <c r="O30" s="508">
        <v>0</v>
      </c>
      <c r="P30" s="508">
        <v>0</v>
      </c>
      <c r="Q30" s="508">
        <v>41.804747</v>
      </c>
    </row>
    <row r="31" ht="13.2" customHeight="1" spans="1:17">
      <c r="A31" s="518" t="s">
        <v>73</v>
      </c>
      <c r="B31" s="521" t="s">
        <v>74</v>
      </c>
      <c r="C31" s="520" t="s">
        <v>75</v>
      </c>
      <c r="D31" s="508">
        <v>70.263983</v>
      </c>
      <c r="E31" s="508">
        <v>10.075805</v>
      </c>
      <c r="F31" s="508">
        <v>0</v>
      </c>
      <c r="G31" s="508">
        <v>0</v>
      </c>
      <c r="H31" s="508">
        <v>26.317945</v>
      </c>
      <c r="I31" s="508">
        <v>0</v>
      </c>
      <c r="J31" s="508">
        <v>0</v>
      </c>
      <c r="K31" s="508">
        <v>0</v>
      </c>
      <c r="L31" s="508">
        <v>0</v>
      </c>
      <c r="M31" s="508">
        <v>21.434463</v>
      </c>
      <c r="N31" s="508">
        <v>0</v>
      </c>
      <c r="O31" s="508">
        <v>1.92501</v>
      </c>
      <c r="P31" s="508">
        <v>4.518776</v>
      </c>
      <c r="Q31" s="508">
        <v>5.991984</v>
      </c>
    </row>
    <row r="32" ht="13.2" customHeight="1" spans="1:17">
      <c r="A32" s="518" t="s">
        <v>76</v>
      </c>
      <c r="B32" s="521" t="s">
        <v>183</v>
      </c>
      <c r="C32" s="520" t="s">
        <v>78</v>
      </c>
      <c r="D32" s="508">
        <v>2952.32918470585</v>
      </c>
      <c r="E32" s="508">
        <v>332.739687</v>
      </c>
      <c r="F32" s="508">
        <v>137.031246</v>
      </c>
      <c r="G32" s="508">
        <v>91.74257</v>
      </c>
      <c r="H32" s="508">
        <v>191.225477</v>
      </c>
      <c r="I32" s="508">
        <v>125.412756</v>
      </c>
      <c r="J32" s="508">
        <v>172.048558</v>
      </c>
      <c r="K32" s="508">
        <v>569.010642</v>
      </c>
      <c r="L32" s="508">
        <v>166.575998</v>
      </c>
      <c r="M32" s="508">
        <v>133.436154</v>
      </c>
      <c r="N32" s="508">
        <v>244.598617705848</v>
      </c>
      <c r="O32" s="508">
        <v>190.70915</v>
      </c>
      <c r="P32" s="508">
        <v>149.17667</v>
      </c>
      <c r="Q32" s="508">
        <v>448.621659</v>
      </c>
    </row>
    <row r="33" ht="13.2" customHeight="1" spans="1:17">
      <c r="A33" s="522"/>
      <c r="B33" s="523" t="s">
        <v>19</v>
      </c>
      <c r="C33" s="524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</row>
    <row r="34" ht="13.2" customHeight="1" spans="1:17">
      <c r="A34" s="522" t="s">
        <v>79</v>
      </c>
      <c r="B34" s="523" t="s">
        <v>80</v>
      </c>
      <c r="C34" s="524" t="s">
        <v>81</v>
      </c>
      <c r="D34" s="512">
        <v>1872.044629</v>
      </c>
      <c r="E34" s="512">
        <v>229.939789</v>
      </c>
      <c r="F34" s="512">
        <v>123.252426</v>
      </c>
      <c r="G34" s="512">
        <v>83.58164</v>
      </c>
      <c r="H34" s="512">
        <v>89.540531</v>
      </c>
      <c r="I34" s="512">
        <v>116.462877</v>
      </c>
      <c r="J34" s="512">
        <v>126.292426</v>
      </c>
      <c r="K34" s="512">
        <v>182.805973</v>
      </c>
      <c r="L34" s="512">
        <v>139.551409</v>
      </c>
      <c r="M34" s="512">
        <v>114.617368</v>
      </c>
      <c r="N34" s="512">
        <v>215.604726</v>
      </c>
      <c r="O34" s="512">
        <v>154.92652</v>
      </c>
      <c r="P34" s="512">
        <v>94.874143</v>
      </c>
      <c r="Q34" s="512">
        <v>200.594801</v>
      </c>
    </row>
    <row r="35" ht="13.2" customHeight="1" spans="1:17">
      <c r="A35" s="522" t="s">
        <v>79</v>
      </c>
      <c r="B35" s="523" t="s">
        <v>82</v>
      </c>
      <c r="C35" s="524" t="s">
        <v>83</v>
      </c>
      <c r="D35" s="512">
        <v>135.764269</v>
      </c>
      <c r="E35" s="512">
        <v>62.51225</v>
      </c>
      <c r="F35" s="512">
        <v>4.87</v>
      </c>
      <c r="G35" s="512">
        <v>1.6</v>
      </c>
      <c r="H35" s="512">
        <v>13</v>
      </c>
      <c r="I35" s="512">
        <v>0</v>
      </c>
      <c r="J35" s="512">
        <v>6.503504</v>
      </c>
      <c r="K35" s="512">
        <v>0</v>
      </c>
      <c r="L35" s="512">
        <v>0</v>
      </c>
      <c r="M35" s="512">
        <v>7.7</v>
      </c>
      <c r="N35" s="512">
        <v>0</v>
      </c>
      <c r="O35" s="512">
        <v>0.11177</v>
      </c>
      <c r="P35" s="512">
        <v>39.444101</v>
      </c>
      <c r="Q35" s="512">
        <v>0.022644</v>
      </c>
    </row>
    <row r="36" ht="13.2" customHeight="1" spans="1:17">
      <c r="A36" s="522" t="s">
        <v>79</v>
      </c>
      <c r="B36" s="523" t="s">
        <v>84</v>
      </c>
      <c r="C36" s="524" t="s">
        <v>85</v>
      </c>
      <c r="D36" s="512">
        <v>30.332509</v>
      </c>
      <c r="E36" s="512">
        <v>3.736268</v>
      </c>
      <c r="F36" s="512">
        <v>0.410272</v>
      </c>
      <c r="G36" s="512">
        <v>0.52928</v>
      </c>
      <c r="H36" s="512">
        <v>13.678282</v>
      </c>
      <c r="I36" s="512">
        <v>2.02</v>
      </c>
      <c r="J36" s="512">
        <v>0</v>
      </c>
      <c r="K36" s="512">
        <v>1</v>
      </c>
      <c r="L36" s="512">
        <v>0.763202</v>
      </c>
      <c r="M36" s="512">
        <v>0</v>
      </c>
      <c r="N36" s="512">
        <v>0.093435</v>
      </c>
      <c r="O36" s="512">
        <v>8.10177</v>
      </c>
      <c r="P36" s="512">
        <v>0</v>
      </c>
      <c r="Q36" s="512">
        <v>0</v>
      </c>
    </row>
    <row r="37" ht="13.2" customHeight="1" spans="1:17">
      <c r="A37" s="522" t="s">
        <v>79</v>
      </c>
      <c r="B37" s="523" t="s">
        <v>86</v>
      </c>
      <c r="C37" s="524" t="s">
        <v>87</v>
      </c>
      <c r="D37" s="512">
        <v>32.223338</v>
      </c>
      <c r="E37" s="512">
        <v>4.697652</v>
      </c>
      <c r="F37" s="512">
        <v>0.500223</v>
      </c>
      <c r="G37" s="512">
        <v>0.27368</v>
      </c>
      <c r="H37" s="512">
        <v>0.181168</v>
      </c>
      <c r="I37" s="512">
        <v>0.495644</v>
      </c>
      <c r="J37" s="512">
        <v>23.007595</v>
      </c>
      <c r="K37" s="512">
        <v>0.510418</v>
      </c>
      <c r="L37" s="512">
        <v>0.239749</v>
      </c>
      <c r="M37" s="512">
        <v>0.430636</v>
      </c>
      <c r="N37" s="512">
        <v>0.286571</v>
      </c>
      <c r="O37" s="512">
        <v>1.17586</v>
      </c>
      <c r="P37" s="512">
        <v>0.188854</v>
      </c>
      <c r="Q37" s="512">
        <v>0.235288</v>
      </c>
    </row>
    <row r="38" ht="13.2" customHeight="1" spans="1:17">
      <c r="A38" s="522" t="s">
        <v>79</v>
      </c>
      <c r="B38" s="523" t="s">
        <v>88</v>
      </c>
      <c r="C38" s="524" t="s">
        <v>89</v>
      </c>
      <c r="D38" s="512">
        <v>69.4621557058477</v>
      </c>
      <c r="E38" s="512">
        <v>10.518236</v>
      </c>
      <c r="F38" s="512">
        <v>3.52305</v>
      </c>
      <c r="G38" s="512">
        <v>5.01999</v>
      </c>
      <c r="H38" s="512">
        <v>2.710359</v>
      </c>
      <c r="I38" s="512">
        <v>3.882539</v>
      </c>
      <c r="J38" s="512">
        <v>2.54647</v>
      </c>
      <c r="K38" s="512">
        <v>3.291388</v>
      </c>
      <c r="L38" s="512">
        <v>4.773837</v>
      </c>
      <c r="M38" s="512">
        <v>4.341756</v>
      </c>
      <c r="N38" s="512">
        <v>6.22268770584774</v>
      </c>
      <c r="O38" s="512">
        <v>9.33875</v>
      </c>
      <c r="P38" s="512">
        <v>4.57015</v>
      </c>
      <c r="Q38" s="512">
        <v>8.722943</v>
      </c>
    </row>
    <row r="39" ht="13.2" customHeight="1" spans="1:17">
      <c r="A39" s="522" t="s">
        <v>79</v>
      </c>
      <c r="B39" s="523" t="s">
        <v>90</v>
      </c>
      <c r="C39" s="524" t="s">
        <v>91</v>
      </c>
      <c r="D39" s="512">
        <v>22.222181</v>
      </c>
      <c r="E39" s="512">
        <v>0.728407</v>
      </c>
      <c r="F39" s="512">
        <v>0.958332</v>
      </c>
      <c r="G39" s="512">
        <v>0.56005</v>
      </c>
      <c r="H39" s="512">
        <v>1.678888</v>
      </c>
      <c r="I39" s="512">
        <v>0</v>
      </c>
      <c r="J39" s="512">
        <v>3.450554</v>
      </c>
      <c r="K39" s="512">
        <v>1.201144</v>
      </c>
      <c r="L39" s="512">
        <v>2.134824</v>
      </c>
      <c r="M39" s="512">
        <v>0.798987</v>
      </c>
      <c r="N39" s="512">
        <v>2.644559</v>
      </c>
      <c r="O39" s="512">
        <v>2.85894</v>
      </c>
      <c r="P39" s="512">
        <v>0</v>
      </c>
      <c r="Q39" s="512">
        <v>5.207496</v>
      </c>
    </row>
    <row r="40" ht="13.2" customHeight="1" spans="1:17">
      <c r="A40" s="522" t="s">
        <v>79</v>
      </c>
      <c r="B40" s="523" t="s">
        <v>92</v>
      </c>
      <c r="C40" s="524" t="s">
        <v>93</v>
      </c>
      <c r="D40" s="512">
        <v>643.576113</v>
      </c>
      <c r="E40" s="512">
        <v>0.990789</v>
      </c>
      <c r="F40" s="512">
        <v>0.076956</v>
      </c>
      <c r="G40" s="512">
        <v>0.0123</v>
      </c>
      <c r="H40" s="512">
        <v>60.706499</v>
      </c>
      <c r="I40" s="512">
        <v>0.072985</v>
      </c>
      <c r="J40" s="512">
        <v>0.026322</v>
      </c>
      <c r="K40" s="512">
        <v>360.137444</v>
      </c>
      <c r="L40" s="512">
        <v>0.26514</v>
      </c>
      <c r="M40" s="512">
        <v>0.030375</v>
      </c>
      <c r="N40" s="512">
        <v>1.7</v>
      </c>
      <c r="O40" s="512">
        <v>0.13445</v>
      </c>
      <c r="P40" s="512">
        <v>0.08</v>
      </c>
      <c r="Q40" s="512">
        <v>219.342853</v>
      </c>
    </row>
    <row r="41" ht="13.2" customHeight="1" spans="1:17">
      <c r="A41" s="522" t="s">
        <v>79</v>
      </c>
      <c r="B41" s="523" t="s">
        <v>94</v>
      </c>
      <c r="C41" s="524" t="s">
        <v>95</v>
      </c>
      <c r="D41" s="512">
        <v>1.645676</v>
      </c>
      <c r="E41" s="512">
        <v>0.757078</v>
      </c>
      <c r="F41" s="512">
        <v>0</v>
      </c>
      <c r="G41" s="512">
        <v>0.03788</v>
      </c>
      <c r="H41" s="512">
        <v>0.034011</v>
      </c>
      <c r="I41" s="512">
        <v>0.010957</v>
      </c>
      <c r="J41" s="512">
        <v>0.23087</v>
      </c>
      <c r="K41" s="512">
        <v>0</v>
      </c>
      <c r="L41" s="512">
        <v>0.152007</v>
      </c>
      <c r="M41" s="512">
        <v>0.194576</v>
      </c>
      <c r="N41" s="512">
        <v>0.027542</v>
      </c>
      <c r="O41" s="512">
        <v>0.0138</v>
      </c>
      <c r="P41" s="512">
        <v>0.154134</v>
      </c>
      <c r="Q41" s="512">
        <v>0.032821</v>
      </c>
    </row>
    <row r="42" ht="13.2" customHeight="1" spans="1:17">
      <c r="A42" s="522" t="s">
        <v>79</v>
      </c>
      <c r="B42" s="523" t="s">
        <v>96</v>
      </c>
      <c r="C42" s="524" t="s">
        <v>97</v>
      </c>
      <c r="D42" s="512">
        <v>0</v>
      </c>
      <c r="E42" s="512">
        <v>0</v>
      </c>
      <c r="F42" s="512">
        <v>0</v>
      </c>
      <c r="G42" s="512">
        <v>0</v>
      </c>
      <c r="H42" s="512">
        <v>0</v>
      </c>
      <c r="I42" s="512">
        <v>0</v>
      </c>
      <c r="J42" s="512">
        <v>0</v>
      </c>
      <c r="K42" s="512">
        <v>0</v>
      </c>
      <c r="L42" s="512">
        <v>0</v>
      </c>
      <c r="M42" s="512">
        <v>0</v>
      </c>
      <c r="N42" s="512">
        <v>0</v>
      </c>
      <c r="O42" s="512">
        <v>0</v>
      </c>
      <c r="P42" s="512">
        <v>0</v>
      </c>
      <c r="Q42" s="512">
        <v>0</v>
      </c>
    </row>
    <row r="43" ht="13.2" customHeight="1" spans="1:17">
      <c r="A43" s="522" t="s">
        <v>79</v>
      </c>
      <c r="B43" s="523" t="s">
        <v>184</v>
      </c>
      <c r="C43" s="524" t="s">
        <v>99</v>
      </c>
      <c r="D43" s="512">
        <v>1.572659</v>
      </c>
      <c r="E43" s="512">
        <v>1.283642</v>
      </c>
      <c r="F43" s="512">
        <v>0</v>
      </c>
      <c r="G43" s="512">
        <v>0</v>
      </c>
      <c r="H43" s="512">
        <v>0</v>
      </c>
      <c r="I43" s="512">
        <v>0</v>
      </c>
      <c r="J43" s="512">
        <v>0</v>
      </c>
      <c r="K43" s="512">
        <v>0</v>
      </c>
      <c r="L43" s="512">
        <v>0</v>
      </c>
      <c r="M43" s="512">
        <v>0</v>
      </c>
      <c r="N43" s="512">
        <v>0</v>
      </c>
      <c r="O43" s="512">
        <v>0</v>
      </c>
      <c r="P43" s="512">
        <v>0</v>
      </c>
      <c r="Q43" s="512">
        <v>0.289017</v>
      </c>
    </row>
    <row r="44" ht="13.2" customHeight="1" spans="1:17">
      <c r="A44" s="522" t="s">
        <v>79</v>
      </c>
      <c r="B44" s="523" t="s">
        <v>100</v>
      </c>
      <c r="C44" s="524" t="s">
        <v>101</v>
      </c>
      <c r="D44" s="512">
        <v>24.573335</v>
      </c>
      <c r="E44" s="512">
        <v>0</v>
      </c>
      <c r="F44" s="512">
        <v>0</v>
      </c>
      <c r="G44" s="512">
        <v>0</v>
      </c>
      <c r="H44" s="512">
        <v>0</v>
      </c>
      <c r="I44" s="512">
        <v>0</v>
      </c>
      <c r="J44" s="512">
        <v>0</v>
      </c>
      <c r="K44" s="512">
        <v>16.127824</v>
      </c>
      <c r="L44" s="512">
        <v>0</v>
      </c>
      <c r="M44" s="512">
        <v>0</v>
      </c>
      <c r="N44" s="512">
        <v>3.140099</v>
      </c>
      <c r="O44" s="512">
        <v>0</v>
      </c>
      <c r="P44" s="512">
        <v>4.460544</v>
      </c>
      <c r="Q44" s="512">
        <v>0.844868</v>
      </c>
    </row>
    <row r="45" ht="13.2" customHeight="1" spans="1:17">
      <c r="A45" s="522" t="s">
        <v>79</v>
      </c>
      <c r="B45" s="523" t="s">
        <v>102</v>
      </c>
      <c r="C45" s="524" t="s">
        <v>103</v>
      </c>
      <c r="D45" s="512">
        <v>13.322334</v>
      </c>
      <c r="E45" s="512">
        <v>1.639337</v>
      </c>
      <c r="F45" s="512">
        <v>0.282767</v>
      </c>
      <c r="G45" s="512">
        <v>0.12775</v>
      </c>
      <c r="H45" s="512">
        <v>1.291301</v>
      </c>
      <c r="I45" s="512">
        <v>0.39836</v>
      </c>
      <c r="J45" s="512">
        <v>0.781954</v>
      </c>
      <c r="K45" s="512">
        <v>0.500081</v>
      </c>
      <c r="L45" s="512">
        <v>2.312522</v>
      </c>
      <c r="M45" s="512">
        <v>1.63116</v>
      </c>
      <c r="N45" s="512">
        <v>1.469069</v>
      </c>
      <c r="O45" s="512">
        <v>1.10301</v>
      </c>
      <c r="P45" s="512">
        <v>0.754627</v>
      </c>
      <c r="Q45" s="512">
        <v>1.030396</v>
      </c>
    </row>
    <row r="46" spans="1:17">
      <c r="A46" s="522" t="s">
        <v>79</v>
      </c>
      <c r="B46" s="523" t="s">
        <v>104</v>
      </c>
      <c r="C46" s="524" t="s">
        <v>105</v>
      </c>
      <c r="D46" s="512">
        <v>98.492464</v>
      </c>
      <c r="E46" s="512">
        <v>15.256302</v>
      </c>
      <c r="F46" s="512">
        <v>2.00046</v>
      </c>
      <c r="G46" s="512">
        <v>0</v>
      </c>
      <c r="H46" s="512">
        <v>8.404438</v>
      </c>
      <c r="I46" s="512">
        <v>2.069394</v>
      </c>
      <c r="J46" s="512">
        <v>8.90015</v>
      </c>
      <c r="K46" s="512">
        <v>2.43637</v>
      </c>
      <c r="L46" s="512">
        <v>15.924815</v>
      </c>
      <c r="M46" s="512">
        <v>2.001296</v>
      </c>
      <c r="N46" s="512">
        <v>12.672292</v>
      </c>
      <c r="O46" s="512">
        <v>12.94428</v>
      </c>
      <c r="P46" s="512">
        <v>4.460136</v>
      </c>
      <c r="Q46" s="512">
        <v>11.422531</v>
      </c>
    </row>
    <row r="47" ht="13.2" customHeight="1" spans="1:17">
      <c r="A47" s="522" t="s">
        <v>79</v>
      </c>
      <c r="B47" s="523" t="s">
        <v>106</v>
      </c>
      <c r="C47" s="524" t="s">
        <v>107</v>
      </c>
      <c r="D47" s="512">
        <v>0</v>
      </c>
      <c r="E47" s="512">
        <v>0</v>
      </c>
      <c r="F47" s="512">
        <v>0</v>
      </c>
      <c r="G47" s="512">
        <v>0</v>
      </c>
      <c r="H47" s="512">
        <v>0</v>
      </c>
      <c r="I47" s="512">
        <v>0</v>
      </c>
      <c r="J47" s="512">
        <v>0</v>
      </c>
      <c r="K47" s="512">
        <v>0</v>
      </c>
      <c r="L47" s="512">
        <v>0</v>
      </c>
      <c r="M47" s="512">
        <v>0</v>
      </c>
      <c r="N47" s="512">
        <v>0</v>
      </c>
      <c r="O47" s="512">
        <v>0</v>
      </c>
      <c r="P47" s="512">
        <v>0</v>
      </c>
      <c r="Q47" s="512">
        <v>0</v>
      </c>
    </row>
    <row r="48" ht="13.2" customHeight="1" spans="1:17">
      <c r="A48" s="522" t="s">
        <v>79</v>
      </c>
      <c r="B48" s="525" t="s">
        <v>108</v>
      </c>
      <c r="C48" s="524" t="s">
        <v>109</v>
      </c>
      <c r="D48" s="512">
        <v>0</v>
      </c>
      <c r="E48" s="512">
        <v>0</v>
      </c>
      <c r="F48" s="512">
        <v>0</v>
      </c>
      <c r="G48" s="512">
        <v>0</v>
      </c>
      <c r="H48" s="512">
        <v>0</v>
      </c>
      <c r="I48" s="512">
        <v>0</v>
      </c>
      <c r="J48" s="512">
        <v>0</v>
      </c>
      <c r="K48" s="512">
        <v>0</v>
      </c>
      <c r="L48" s="512">
        <v>0</v>
      </c>
      <c r="M48" s="512">
        <v>0</v>
      </c>
      <c r="N48" s="512">
        <v>0</v>
      </c>
      <c r="O48" s="512">
        <v>0</v>
      </c>
      <c r="P48" s="512">
        <v>0</v>
      </c>
      <c r="Q48" s="512">
        <v>0</v>
      </c>
    </row>
    <row r="49" ht="13.2" customHeight="1" spans="1:17">
      <c r="A49" s="522" t="s">
        <v>79</v>
      </c>
      <c r="B49" s="525" t="s">
        <v>110</v>
      </c>
      <c r="C49" s="524" t="s">
        <v>111</v>
      </c>
      <c r="D49" s="512">
        <v>7.097522</v>
      </c>
      <c r="E49" s="512">
        <v>0.679937</v>
      </c>
      <c r="F49" s="512">
        <v>1.15676</v>
      </c>
      <c r="G49" s="512">
        <v>0</v>
      </c>
      <c r="H49" s="512">
        <v>0</v>
      </c>
      <c r="I49" s="512">
        <v>0</v>
      </c>
      <c r="J49" s="512">
        <v>0.308713</v>
      </c>
      <c r="K49" s="512">
        <v>1</v>
      </c>
      <c r="L49" s="512">
        <v>0.458493</v>
      </c>
      <c r="M49" s="512">
        <v>1.69</v>
      </c>
      <c r="N49" s="512">
        <v>0.737637</v>
      </c>
      <c r="O49" s="512">
        <v>0</v>
      </c>
      <c r="P49" s="512">
        <v>0.189981</v>
      </c>
      <c r="Q49" s="512">
        <v>0.876001</v>
      </c>
    </row>
    <row r="50" ht="13.2" customHeight="1" spans="1:17">
      <c r="A50" s="518" t="s">
        <v>112</v>
      </c>
      <c r="B50" s="521" t="s">
        <v>113</v>
      </c>
      <c r="C50" s="520" t="s">
        <v>114</v>
      </c>
      <c r="D50" s="508">
        <v>0</v>
      </c>
      <c r="E50" s="508">
        <v>0</v>
      </c>
      <c r="F50" s="508">
        <v>0</v>
      </c>
      <c r="G50" s="508">
        <v>0</v>
      </c>
      <c r="H50" s="508">
        <v>0</v>
      </c>
      <c r="I50" s="508">
        <v>0</v>
      </c>
      <c r="J50" s="508">
        <v>0</v>
      </c>
      <c r="K50" s="508">
        <v>0</v>
      </c>
      <c r="L50" s="508">
        <v>0</v>
      </c>
      <c r="M50" s="508">
        <v>0</v>
      </c>
      <c r="N50" s="508">
        <v>0</v>
      </c>
      <c r="O50" s="508">
        <v>0</v>
      </c>
      <c r="P50" s="508">
        <v>0</v>
      </c>
      <c r="Q50" s="508">
        <v>0</v>
      </c>
    </row>
    <row r="51" ht="13.2" customHeight="1" spans="1:17">
      <c r="A51" s="518" t="s">
        <v>115</v>
      </c>
      <c r="B51" s="521" t="s">
        <v>116</v>
      </c>
      <c r="C51" s="520" t="s">
        <v>117</v>
      </c>
      <c r="D51" s="508">
        <v>13.051898</v>
      </c>
      <c r="E51" s="508">
        <v>1.39863</v>
      </c>
      <c r="F51" s="508">
        <v>0.726088</v>
      </c>
      <c r="G51" s="508">
        <v>0.24615</v>
      </c>
      <c r="H51" s="508">
        <v>1.223618</v>
      </c>
      <c r="I51" s="508">
        <v>0.851551</v>
      </c>
      <c r="J51" s="508">
        <v>0.738984</v>
      </c>
      <c r="K51" s="508">
        <v>1.805844</v>
      </c>
      <c r="L51" s="508">
        <v>0.563853</v>
      </c>
      <c r="M51" s="508">
        <v>0.655601</v>
      </c>
      <c r="N51" s="508">
        <v>0.659973</v>
      </c>
      <c r="O51" s="508">
        <v>1.6326</v>
      </c>
      <c r="P51" s="508">
        <v>1.114331</v>
      </c>
      <c r="Q51" s="508">
        <v>1.434675</v>
      </c>
    </row>
    <row r="52" ht="13.2" customHeight="1" spans="1:17">
      <c r="A52" s="518" t="s">
        <v>118</v>
      </c>
      <c r="B52" s="521" t="s">
        <v>119</v>
      </c>
      <c r="C52" s="520" t="s">
        <v>120</v>
      </c>
      <c r="D52" s="508">
        <v>10.963878</v>
      </c>
      <c r="E52" s="508">
        <v>9.636693</v>
      </c>
      <c r="F52" s="508">
        <v>0.277185</v>
      </c>
      <c r="G52" s="508">
        <v>1.05</v>
      </c>
      <c r="H52" s="508">
        <v>0</v>
      </c>
      <c r="I52" s="508">
        <v>0</v>
      </c>
      <c r="J52" s="508">
        <v>0</v>
      </c>
      <c r="K52" s="508">
        <v>0</v>
      </c>
      <c r="L52" s="508">
        <v>0</v>
      </c>
      <c r="M52" s="508">
        <v>0</v>
      </c>
      <c r="N52" s="508">
        <v>0</v>
      </c>
      <c r="O52" s="508">
        <v>0</v>
      </c>
      <c r="P52" s="508">
        <v>0</v>
      </c>
      <c r="Q52" s="508">
        <v>0</v>
      </c>
    </row>
    <row r="53" ht="13.2" customHeight="1" spans="1:17">
      <c r="A53" s="518" t="s">
        <v>121</v>
      </c>
      <c r="B53" s="521" t="s">
        <v>122</v>
      </c>
      <c r="C53" s="520" t="s">
        <v>123</v>
      </c>
      <c r="D53" s="508">
        <v>999.732417</v>
      </c>
      <c r="E53" s="508">
        <v>0</v>
      </c>
      <c r="F53" s="508">
        <v>36.462162</v>
      </c>
      <c r="G53" s="508">
        <v>138.33044</v>
      </c>
      <c r="H53" s="508">
        <v>139.555531</v>
      </c>
      <c r="I53" s="508">
        <v>48.505725</v>
      </c>
      <c r="J53" s="508">
        <v>25.816124</v>
      </c>
      <c r="K53" s="508">
        <v>66.670976</v>
      </c>
      <c r="L53" s="508">
        <v>55.802835</v>
      </c>
      <c r="M53" s="508">
        <v>128.879971</v>
      </c>
      <c r="N53" s="508">
        <v>96.107878</v>
      </c>
      <c r="O53" s="508">
        <v>138.613</v>
      </c>
      <c r="P53" s="508">
        <v>53.388266</v>
      </c>
      <c r="Q53" s="508">
        <v>71.599509</v>
      </c>
    </row>
    <row r="54" ht="13.2" customHeight="1" spans="1:17">
      <c r="A54" s="518" t="s">
        <v>124</v>
      </c>
      <c r="B54" s="521" t="s">
        <v>125</v>
      </c>
      <c r="C54" s="520" t="s">
        <v>126</v>
      </c>
      <c r="D54" s="508">
        <v>192.111837</v>
      </c>
      <c r="E54" s="508">
        <v>192.111837</v>
      </c>
      <c r="F54" s="508">
        <v>0</v>
      </c>
      <c r="G54" s="508">
        <v>0</v>
      </c>
      <c r="H54" s="508">
        <v>0</v>
      </c>
      <c r="I54" s="508">
        <v>0</v>
      </c>
      <c r="J54" s="508">
        <v>0</v>
      </c>
      <c r="K54" s="508">
        <v>0</v>
      </c>
      <c r="L54" s="508">
        <v>0</v>
      </c>
      <c r="M54" s="508">
        <v>0</v>
      </c>
      <c r="N54" s="508">
        <v>0</v>
      </c>
      <c r="O54" s="508">
        <v>0</v>
      </c>
      <c r="P54" s="508">
        <v>0</v>
      </c>
      <c r="Q54" s="508">
        <v>0</v>
      </c>
    </row>
    <row r="55" ht="13.2" customHeight="1" spans="1:17">
      <c r="A55" s="518" t="s">
        <v>127</v>
      </c>
      <c r="B55" s="521" t="s">
        <v>128</v>
      </c>
      <c r="C55" s="520" t="s">
        <v>129</v>
      </c>
      <c r="D55" s="508">
        <v>35.856492</v>
      </c>
      <c r="E55" s="508">
        <v>20.731611</v>
      </c>
      <c r="F55" s="508">
        <v>1.972343</v>
      </c>
      <c r="G55" s="508">
        <v>0.4967</v>
      </c>
      <c r="H55" s="508">
        <v>0.775398</v>
      </c>
      <c r="I55" s="508">
        <v>0.8992</v>
      </c>
      <c r="J55" s="508">
        <v>1.844715</v>
      </c>
      <c r="K55" s="508">
        <v>1.151415</v>
      </c>
      <c r="L55" s="508">
        <v>0.458657</v>
      </c>
      <c r="M55" s="508">
        <v>2.879572</v>
      </c>
      <c r="N55" s="508">
        <v>0.909198</v>
      </c>
      <c r="O55" s="508">
        <v>1.19933</v>
      </c>
      <c r="P55" s="508">
        <v>1.12856</v>
      </c>
      <c r="Q55" s="508">
        <v>1.409793</v>
      </c>
    </row>
    <row r="56" ht="13.2" customHeight="1" spans="1:17">
      <c r="A56" s="518" t="s">
        <v>130</v>
      </c>
      <c r="B56" s="521" t="s">
        <v>131</v>
      </c>
      <c r="C56" s="520" t="s">
        <v>132</v>
      </c>
      <c r="D56" s="508">
        <v>0.489296</v>
      </c>
      <c r="E56" s="508">
        <v>0.489296</v>
      </c>
      <c r="F56" s="508">
        <v>0</v>
      </c>
      <c r="G56" s="508">
        <v>0</v>
      </c>
      <c r="H56" s="508">
        <v>0</v>
      </c>
      <c r="I56" s="508">
        <v>0</v>
      </c>
      <c r="J56" s="508">
        <v>0</v>
      </c>
      <c r="K56" s="508">
        <v>0</v>
      </c>
      <c r="L56" s="508">
        <v>0</v>
      </c>
      <c r="M56" s="508">
        <v>0</v>
      </c>
      <c r="N56" s="508">
        <v>0</v>
      </c>
      <c r="O56" s="508">
        <v>0</v>
      </c>
      <c r="P56" s="508">
        <v>0</v>
      </c>
      <c r="Q56" s="508">
        <v>0</v>
      </c>
    </row>
    <row r="57" ht="13.2" customHeight="1" spans="1:17">
      <c r="A57" s="518" t="s">
        <v>133</v>
      </c>
      <c r="B57" s="521" t="s">
        <v>134</v>
      </c>
      <c r="C57" s="520" t="s">
        <v>135</v>
      </c>
      <c r="D57" s="508">
        <v>0</v>
      </c>
      <c r="E57" s="508">
        <v>0</v>
      </c>
      <c r="F57" s="508">
        <v>0</v>
      </c>
      <c r="G57" s="508">
        <v>0</v>
      </c>
      <c r="H57" s="508">
        <v>0</v>
      </c>
      <c r="I57" s="508">
        <v>0</v>
      </c>
      <c r="J57" s="508">
        <v>0</v>
      </c>
      <c r="K57" s="508">
        <v>0</v>
      </c>
      <c r="L57" s="508">
        <v>0</v>
      </c>
      <c r="M57" s="508">
        <v>0</v>
      </c>
      <c r="N57" s="508">
        <v>0</v>
      </c>
      <c r="O57" s="508">
        <v>0</v>
      </c>
      <c r="P57" s="508">
        <v>0</v>
      </c>
      <c r="Q57" s="508">
        <v>0</v>
      </c>
    </row>
    <row r="58" ht="13.2" customHeight="1" spans="1:17">
      <c r="A58" s="518" t="s">
        <v>136</v>
      </c>
      <c r="B58" s="521" t="s">
        <v>185</v>
      </c>
      <c r="C58" s="520" t="s">
        <v>138</v>
      </c>
      <c r="D58" s="508">
        <v>0.270477</v>
      </c>
      <c r="E58" s="508">
        <v>0</v>
      </c>
      <c r="F58" s="508">
        <v>0</v>
      </c>
      <c r="G58" s="508">
        <v>0</v>
      </c>
      <c r="H58" s="508">
        <v>0</v>
      </c>
      <c r="I58" s="508">
        <v>0</v>
      </c>
      <c r="J58" s="508">
        <v>0</v>
      </c>
      <c r="K58" s="508">
        <v>0</v>
      </c>
      <c r="L58" s="508">
        <v>0</v>
      </c>
      <c r="M58" s="508">
        <v>0.200291</v>
      </c>
      <c r="N58" s="508">
        <v>0.040466</v>
      </c>
      <c r="O58" s="508">
        <v>0.02972</v>
      </c>
      <c r="P58" s="508">
        <v>0</v>
      </c>
      <c r="Q58" s="508">
        <v>0</v>
      </c>
    </row>
    <row r="59" ht="13.2" customHeight="1" spans="1:17">
      <c r="A59" s="518" t="s">
        <v>139</v>
      </c>
      <c r="B59" s="526" t="s">
        <v>140</v>
      </c>
      <c r="C59" s="520" t="s">
        <v>141</v>
      </c>
      <c r="D59" s="508">
        <v>1332.12341</v>
      </c>
      <c r="E59" s="508">
        <v>35.83313</v>
      </c>
      <c r="F59" s="508">
        <v>13.695424</v>
      </c>
      <c r="G59" s="508">
        <v>12.68885</v>
      </c>
      <c r="H59" s="508">
        <v>42.548017</v>
      </c>
      <c r="I59" s="508">
        <v>30.262255</v>
      </c>
      <c r="J59" s="508">
        <v>66.486547</v>
      </c>
      <c r="K59" s="508">
        <v>80.496715</v>
      </c>
      <c r="L59" s="508">
        <v>76.099006</v>
      </c>
      <c r="M59" s="508">
        <v>508.44332</v>
      </c>
      <c r="N59" s="508">
        <v>163.575542</v>
      </c>
      <c r="O59" s="508">
        <v>40.56696</v>
      </c>
      <c r="P59" s="508">
        <v>23.282829</v>
      </c>
      <c r="Q59" s="508">
        <v>238.144815</v>
      </c>
    </row>
    <row r="60" ht="13.2" customHeight="1" spans="1:17">
      <c r="A60" s="518" t="s">
        <v>142</v>
      </c>
      <c r="B60" s="526" t="s">
        <v>143</v>
      </c>
      <c r="C60" s="520" t="s">
        <v>144</v>
      </c>
      <c r="D60" s="508">
        <v>323.385116154993</v>
      </c>
      <c r="E60" s="508">
        <v>20.8563</v>
      </c>
      <c r="F60" s="508">
        <v>9.786409</v>
      </c>
      <c r="G60" s="508">
        <v>0.0193</v>
      </c>
      <c r="H60" s="508">
        <v>85.470065</v>
      </c>
      <c r="I60" s="508">
        <v>59.3622301549933</v>
      </c>
      <c r="J60" s="508">
        <v>0</v>
      </c>
      <c r="K60" s="508">
        <v>79.479578</v>
      </c>
      <c r="L60" s="508">
        <v>0</v>
      </c>
      <c r="M60" s="508">
        <v>9.054548</v>
      </c>
      <c r="N60" s="508">
        <v>59.356686</v>
      </c>
      <c r="O60" s="508">
        <v>0</v>
      </c>
      <c r="P60" s="508">
        <v>0</v>
      </c>
      <c r="Q60" s="508">
        <v>0</v>
      </c>
    </row>
    <row r="61" ht="13.2" customHeight="1" spans="1:17">
      <c r="A61" s="518" t="s">
        <v>145</v>
      </c>
      <c r="B61" s="526" t="s">
        <v>146</v>
      </c>
      <c r="C61" s="520" t="s">
        <v>147</v>
      </c>
      <c r="D61" s="527">
        <v>71.980401</v>
      </c>
      <c r="E61" s="508">
        <v>0.37</v>
      </c>
      <c r="F61" s="508">
        <v>0</v>
      </c>
      <c r="G61" s="508">
        <v>30.41311</v>
      </c>
      <c r="H61" s="508">
        <v>0.9125</v>
      </c>
      <c r="I61" s="508">
        <v>7</v>
      </c>
      <c r="J61" s="508">
        <v>6.165</v>
      </c>
      <c r="K61" s="508">
        <v>0.2</v>
      </c>
      <c r="L61" s="508">
        <v>1.67</v>
      </c>
      <c r="M61" s="508">
        <v>0</v>
      </c>
      <c r="N61" s="508">
        <v>14.259791</v>
      </c>
      <c r="O61" s="508">
        <v>0</v>
      </c>
      <c r="P61" s="508">
        <v>0.05</v>
      </c>
      <c r="Q61" s="508">
        <v>10.94</v>
      </c>
    </row>
    <row r="62" s="484" customFormat="1" ht="13.2" customHeight="1" spans="1:19">
      <c r="A62" s="497" t="s">
        <v>148</v>
      </c>
      <c r="B62" s="498" t="s">
        <v>149</v>
      </c>
      <c r="C62" s="499" t="s">
        <v>150</v>
      </c>
      <c r="D62" s="500">
        <v>0</v>
      </c>
      <c r="E62" s="500">
        <v>0</v>
      </c>
      <c r="F62" s="500">
        <v>0</v>
      </c>
      <c r="G62" s="500">
        <v>0</v>
      </c>
      <c r="H62" s="500">
        <v>0</v>
      </c>
      <c r="I62" s="500">
        <v>0</v>
      </c>
      <c r="J62" s="500">
        <v>0</v>
      </c>
      <c r="K62" s="500">
        <v>0</v>
      </c>
      <c r="L62" s="500">
        <v>0</v>
      </c>
      <c r="M62" s="500">
        <v>0</v>
      </c>
      <c r="N62" s="500">
        <v>0</v>
      </c>
      <c r="O62" s="500">
        <v>0</v>
      </c>
      <c r="P62" s="500">
        <v>0</v>
      </c>
      <c r="Q62" s="500">
        <v>0</v>
      </c>
      <c r="S62" s="533"/>
    </row>
    <row r="63" s="484" customFormat="1" ht="13.2" customHeight="1" spans="1:19">
      <c r="A63" s="497" t="s">
        <v>203</v>
      </c>
      <c r="B63" s="498" t="s">
        <v>204</v>
      </c>
      <c r="C63" s="499"/>
      <c r="D63" s="500">
        <v>61400.6584493232</v>
      </c>
      <c r="E63" s="500">
        <v>7093.353385</v>
      </c>
      <c r="F63" s="500">
        <v>4524.657287</v>
      </c>
      <c r="G63" s="500">
        <v>968.32387</v>
      </c>
      <c r="H63" s="500">
        <v>3852.523341</v>
      </c>
      <c r="I63" s="500">
        <v>3624.103202</v>
      </c>
      <c r="J63" s="500">
        <v>4893.025134</v>
      </c>
      <c r="K63" s="500">
        <v>5203.305072</v>
      </c>
      <c r="L63" s="500">
        <v>3971.05031702905</v>
      </c>
      <c r="M63" s="500">
        <v>6529.126548</v>
      </c>
      <c r="N63" s="500">
        <v>8875.12451929415</v>
      </c>
      <c r="O63" s="500">
        <v>4003.12813</v>
      </c>
      <c r="P63" s="500">
        <v>2667.23201</v>
      </c>
      <c r="Q63" s="500">
        <v>5195.705634</v>
      </c>
      <c r="S63" s="533"/>
    </row>
    <row r="64" s="484" customFormat="1" ht="13.2" customHeight="1" spans="1:19">
      <c r="A64" s="497" t="s">
        <v>205</v>
      </c>
      <c r="B64" s="498" t="s">
        <v>206</v>
      </c>
      <c r="C64" s="499" t="s">
        <v>207</v>
      </c>
      <c r="D64" s="500">
        <v>0</v>
      </c>
      <c r="E64" s="500">
        <v>0</v>
      </c>
      <c r="F64" s="500">
        <v>0</v>
      </c>
      <c r="G64" s="500">
        <v>0</v>
      </c>
      <c r="H64" s="500">
        <v>0</v>
      </c>
      <c r="I64" s="500">
        <v>0</v>
      </c>
      <c r="J64" s="500">
        <v>0</v>
      </c>
      <c r="K64" s="500">
        <v>0</v>
      </c>
      <c r="L64" s="500">
        <v>0</v>
      </c>
      <c r="M64" s="500">
        <v>0</v>
      </c>
      <c r="N64" s="500">
        <v>0</v>
      </c>
      <c r="O64" s="500">
        <v>0</v>
      </c>
      <c r="P64" s="500">
        <v>0</v>
      </c>
      <c r="Q64" s="500">
        <v>0</v>
      </c>
      <c r="S64" s="533"/>
    </row>
    <row r="65" s="484" customFormat="1" ht="13.2" customHeight="1" spans="1:19">
      <c r="A65" s="497" t="s">
        <v>208</v>
      </c>
      <c r="B65" s="498" t="s">
        <v>209</v>
      </c>
      <c r="C65" s="499" t="s">
        <v>210</v>
      </c>
      <c r="D65" s="500">
        <v>0</v>
      </c>
      <c r="E65" s="500">
        <v>0</v>
      </c>
      <c r="F65" s="500">
        <v>0</v>
      </c>
      <c r="G65" s="500">
        <v>0</v>
      </c>
      <c r="H65" s="500">
        <v>0</v>
      </c>
      <c r="I65" s="500">
        <v>0</v>
      </c>
      <c r="J65" s="500">
        <v>0</v>
      </c>
      <c r="K65" s="500">
        <v>0</v>
      </c>
      <c r="L65" s="500">
        <v>0</v>
      </c>
      <c r="M65" s="500">
        <v>0</v>
      </c>
      <c r="N65" s="500">
        <v>0</v>
      </c>
      <c r="O65" s="500">
        <v>0</v>
      </c>
      <c r="P65" s="500">
        <v>0</v>
      </c>
      <c r="Q65" s="500">
        <v>0</v>
      </c>
      <c r="S65" s="533"/>
    </row>
    <row r="66" s="484" customFormat="1" ht="13.2" customHeight="1" spans="1:19">
      <c r="A66" s="497" t="s">
        <v>148</v>
      </c>
      <c r="B66" s="498" t="s">
        <v>211</v>
      </c>
      <c r="C66" s="499" t="s">
        <v>212</v>
      </c>
      <c r="D66" s="500">
        <v>4273.089882</v>
      </c>
      <c r="E66" s="500">
        <v>4273.089882</v>
      </c>
      <c r="F66" s="500">
        <v>0</v>
      </c>
      <c r="G66" s="500">
        <v>0</v>
      </c>
      <c r="H66" s="500">
        <v>0</v>
      </c>
      <c r="I66" s="500">
        <v>0</v>
      </c>
      <c r="J66" s="500">
        <v>0</v>
      </c>
      <c r="K66" s="500">
        <v>0</v>
      </c>
      <c r="L66" s="500">
        <v>0</v>
      </c>
      <c r="M66" s="500">
        <v>0</v>
      </c>
      <c r="N66" s="500">
        <v>0</v>
      </c>
      <c r="O66" s="500">
        <v>0</v>
      </c>
      <c r="P66" s="500">
        <v>0</v>
      </c>
      <c r="Q66" s="500">
        <v>0</v>
      </c>
      <c r="S66" s="533"/>
    </row>
    <row r="67" s="484" customFormat="1" ht="36" spans="1:19">
      <c r="A67" s="497" t="s">
        <v>213</v>
      </c>
      <c r="B67" s="498" t="s">
        <v>214</v>
      </c>
      <c r="C67" s="499" t="s">
        <v>215</v>
      </c>
      <c r="D67" s="500">
        <v>38664.6934950586</v>
      </c>
      <c r="E67" s="500">
        <v>2598.187604</v>
      </c>
      <c r="F67" s="500">
        <v>1697.9727744</v>
      </c>
      <c r="G67" s="500">
        <v>426.661664</v>
      </c>
      <c r="H67" s="500">
        <v>2914.1846984</v>
      </c>
      <c r="I67" s="500">
        <v>2842.4234</v>
      </c>
      <c r="J67" s="500">
        <v>2569.1125936</v>
      </c>
      <c r="K67" s="500">
        <v>3700.1898368</v>
      </c>
      <c r="L67" s="500">
        <v>3068.79744442324</v>
      </c>
      <c r="M67" s="500">
        <v>2741.3983496</v>
      </c>
      <c r="N67" s="500">
        <v>6951.90172503532</v>
      </c>
      <c r="O67" s="500">
        <v>3067.448488</v>
      </c>
      <c r="P67" s="500">
        <v>2082.781068</v>
      </c>
      <c r="Q67" s="500">
        <v>4003.6338488</v>
      </c>
      <c r="S67" s="533"/>
    </row>
    <row r="68" s="484" customFormat="1" ht="24" spans="1:19">
      <c r="A68" s="497" t="s">
        <v>216</v>
      </c>
      <c r="B68" s="498" t="s">
        <v>217</v>
      </c>
      <c r="C68" s="499" t="s">
        <v>218</v>
      </c>
      <c r="D68" s="500">
        <v>6377.0711</v>
      </c>
      <c r="E68" s="500">
        <v>0</v>
      </c>
      <c r="F68" s="500">
        <v>1696.593345</v>
      </c>
      <c r="G68" s="500">
        <v>0</v>
      </c>
      <c r="H68" s="500">
        <v>0</v>
      </c>
      <c r="I68" s="500">
        <v>0</v>
      </c>
      <c r="J68" s="500">
        <v>1635.738787</v>
      </c>
      <c r="K68" s="500">
        <v>110.67268</v>
      </c>
      <c r="L68" s="500">
        <v>0</v>
      </c>
      <c r="M68" s="500">
        <v>2934.066288</v>
      </c>
      <c r="N68" s="500">
        <v>0</v>
      </c>
      <c r="O68" s="500">
        <v>0</v>
      </c>
      <c r="P68" s="500">
        <v>0</v>
      </c>
      <c r="Q68" s="500">
        <v>0</v>
      </c>
      <c r="S68" s="533"/>
    </row>
    <row r="69" s="484" customFormat="1" ht="13.2" customHeight="1" spans="1:19">
      <c r="A69" s="497" t="s">
        <v>219</v>
      </c>
      <c r="B69" s="498" t="s">
        <v>220</v>
      </c>
      <c r="C69" s="499" t="s">
        <v>221</v>
      </c>
      <c r="D69" s="500">
        <v>2.07</v>
      </c>
      <c r="E69" s="500">
        <v>2.07</v>
      </c>
      <c r="F69" s="500">
        <v>0</v>
      </c>
      <c r="G69" s="500">
        <v>0</v>
      </c>
      <c r="H69" s="500">
        <v>0</v>
      </c>
      <c r="I69" s="500">
        <v>0</v>
      </c>
      <c r="J69" s="500">
        <v>0</v>
      </c>
      <c r="K69" s="500">
        <v>0</v>
      </c>
      <c r="L69" s="500">
        <v>0</v>
      </c>
      <c r="M69" s="500">
        <v>0</v>
      </c>
      <c r="N69" s="500">
        <v>0</v>
      </c>
      <c r="O69" s="500">
        <v>0</v>
      </c>
      <c r="P69" s="500">
        <v>0</v>
      </c>
      <c r="Q69" s="500">
        <v>0</v>
      </c>
      <c r="S69" s="533"/>
    </row>
    <row r="70" s="484" customFormat="1" ht="24" spans="1:19">
      <c r="A70" s="497" t="s">
        <v>222</v>
      </c>
      <c r="B70" s="498" t="s">
        <v>223</v>
      </c>
      <c r="C70" s="499" t="s">
        <v>224</v>
      </c>
      <c r="D70" s="500">
        <v>0</v>
      </c>
      <c r="E70" s="500">
        <v>0</v>
      </c>
      <c r="F70" s="500">
        <v>0</v>
      </c>
      <c r="G70" s="500">
        <v>0</v>
      </c>
      <c r="H70" s="500">
        <v>0</v>
      </c>
      <c r="I70" s="500">
        <v>0</v>
      </c>
      <c r="J70" s="500">
        <v>0</v>
      </c>
      <c r="K70" s="500">
        <v>0</v>
      </c>
      <c r="L70" s="500">
        <v>0</v>
      </c>
      <c r="M70" s="500">
        <v>0</v>
      </c>
      <c r="N70" s="500">
        <v>0</v>
      </c>
      <c r="O70" s="500">
        <v>0</v>
      </c>
      <c r="P70" s="500">
        <v>0</v>
      </c>
      <c r="Q70" s="500">
        <v>0</v>
      </c>
      <c r="S70" s="533"/>
    </row>
    <row r="71" s="484" customFormat="1" ht="24" spans="1:19">
      <c r="A71" s="497" t="s">
        <v>225</v>
      </c>
      <c r="B71" s="498" t="s">
        <v>226</v>
      </c>
      <c r="C71" s="499" t="s">
        <v>227</v>
      </c>
      <c r="D71" s="500">
        <v>1378.088499</v>
      </c>
      <c r="E71" s="500">
        <v>220.005899</v>
      </c>
      <c r="F71" s="500">
        <v>655</v>
      </c>
      <c r="G71" s="500">
        <v>203.0826</v>
      </c>
      <c r="H71" s="500">
        <v>0</v>
      </c>
      <c r="I71" s="500">
        <v>0</v>
      </c>
      <c r="J71" s="500">
        <v>0</v>
      </c>
      <c r="K71" s="500">
        <v>75</v>
      </c>
      <c r="L71" s="500">
        <v>75</v>
      </c>
      <c r="M71" s="500">
        <v>0</v>
      </c>
      <c r="N71" s="500">
        <v>75</v>
      </c>
      <c r="O71" s="500">
        <v>0</v>
      </c>
      <c r="P71" s="500">
        <v>0</v>
      </c>
      <c r="Q71" s="500">
        <v>75</v>
      </c>
      <c r="S71" s="533"/>
    </row>
    <row r="72" s="484" customFormat="1" ht="13.2" customHeight="1" spans="1:19">
      <c r="A72" s="497" t="s">
        <v>228</v>
      </c>
      <c r="B72" s="498" t="s">
        <v>229</v>
      </c>
      <c r="C72" s="499" t="s">
        <v>230</v>
      </c>
      <c r="D72" s="500">
        <v>91</v>
      </c>
      <c r="E72" s="500">
        <v>0</v>
      </c>
      <c r="F72" s="500">
        <v>0</v>
      </c>
      <c r="G72" s="500">
        <v>91</v>
      </c>
      <c r="H72" s="500">
        <v>0</v>
      </c>
      <c r="I72" s="500">
        <v>0</v>
      </c>
      <c r="J72" s="500">
        <v>0</v>
      </c>
      <c r="K72" s="500">
        <v>0</v>
      </c>
      <c r="L72" s="500">
        <v>0</v>
      </c>
      <c r="M72" s="500">
        <v>0</v>
      </c>
      <c r="N72" s="500">
        <v>0</v>
      </c>
      <c r="O72" s="500">
        <v>0</v>
      </c>
      <c r="P72" s="500">
        <v>0</v>
      </c>
      <c r="Q72" s="500">
        <v>0</v>
      </c>
      <c r="S72" s="533"/>
    </row>
    <row r="73" s="484" customFormat="1" ht="13.2" customHeight="1" spans="1:19">
      <c r="A73" s="497" t="s">
        <v>231</v>
      </c>
      <c r="B73" s="498" t="s">
        <v>232</v>
      </c>
      <c r="C73" s="499" t="s">
        <v>233</v>
      </c>
      <c r="D73" s="500">
        <v>0</v>
      </c>
      <c r="E73" s="500">
        <v>0</v>
      </c>
      <c r="F73" s="500">
        <v>0</v>
      </c>
      <c r="G73" s="500">
        <v>0</v>
      </c>
      <c r="H73" s="500">
        <v>0</v>
      </c>
      <c r="I73" s="500">
        <v>0</v>
      </c>
      <c r="J73" s="500">
        <v>0</v>
      </c>
      <c r="K73" s="500">
        <v>0</v>
      </c>
      <c r="L73" s="500">
        <v>0</v>
      </c>
      <c r="M73" s="500">
        <v>0</v>
      </c>
      <c r="N73" s="500">
        <v>0</v>
      </c>
      <c r="O73" s="500">
        <v>0</v>
      </c>
      <c r="P73" s="500">
        <v>0</v>
      </c>
      <c r="Q73" s="500">
        <v>0</v>
      </c>
      <c r="S73" s="533"/>
    </row>
    <row r="74" s="484" customFormat="1" ht="13.2" customHeight="1" spans="1:19">
      <c r="A74" s="497" t="s">
        <v>234</v>
      </c>
      <c r="B74" s="498" t="s">
        <v>235</v>
      </c>
      <c r="C74" s="499" t="s">
        <v>236</v>
      </c>
      <c r="D74" s="500">
        <v>0</v>
      </c>
      <c r="E74" s="500">
        <v>0</v>
      </c>
      <c r="F74" s="500">
        <v>0</v>
      </c>
      <c r="G74" s="500">
        <v>0</v>
      </c>
      <c r="H74" s="500">
        <v>0</v>
      </c>
      <c r="I74" s="500">
        <v>0</v>
      </c>
      <c r="J74" s="500">
        <v>0</v>
      </c>
      <c r="K74" s="500">
        <v>0</v>
      </c>
      <c r="L74" s="500">
        <v>0</v>
      </c>
      <c r="M74" s="500">
        <v>0</v>
      </c>
      <c r="N74" s="500">
        <v>0</v>
      </c>
      <c r="O74" s="500">
        <v>0</v>
      </c>
      <c r="P74" s="500">
        <v>0</v>
      </c>
      <c r="Q74" s="500">
        <v>0</v>
      </c>
      <c r="S74" s="533"/>
    </row>
    <row r="75" s="484" customFormat="1" ht="13.2" customHeight="1" spans="1:19">
      <c r="A75" s="497" t="s">
        <v>237</v>
      </c>
      <c r="B75" s="498" t="s">
        <v>238</v>
      </c>
      <c r="C75" s="499" t="s">
        <v>239</v>
      </c>
      <c r="D75" s="500">
        <v>9797.89059886464</v>
      </c>
      <c r="E75" s="500">
        <v>0</v>
      </c>
      <c r="F75" s="500">
        <v>453.6629232</v>
      </c>
      <c r="G75" s="500">
        <v>217.329768</v>
      </c>
      <c r="H75" s="500">
        <v>840.1905994</v>
      </c>
      <c r="I75" s="500">
        <v>749.41043</v>
      </c>
      <c r="J75" s="500">
        <v>662.9310476</v>
      </c>
      <c r="K75" s="500">
        <v>978.38424</v>
      </c>
      <c r="L75" s="500">
        <v>793.319821605811</v>
      </c>
      <c r="M75" s="500">
        <v>788.4535642</v>
      </c>
      <c r="N75" s="500">
        <v>1814.86173365883</v>
      </c>
      <c r="O75" s="500">
        <v>877.752522</v>
      </c>
      <c r="P75" s="500">
        <v>563.4058798</v>
      </c>
      <c r="Q75" s="500">
        <v>1058.1880694</v>
      </c>
      <c r="S75" s="533"/>
    </row>
    <row r="76" s="484" customFormat="1" ht="24" spans="1:19">
      <c r="A76" s="497" t="s">
        <v>240</v>
      </c>
      <c r="B76" s="498" t="s">
        <v>241</v>
      </c>
      <c r="C76" s="499" t="s">
        <v>242</v>
      </c>
      <c r="D76" s="500">
        <v>816.7548744</v>
      </c>
      <c r="E76" s="500">
        <v>0</v>
      </c>
      <c r="F76" s="500">
        <v>21.4282444</v>
      </c>
      <c r="G76" s="500">
        <v>30.249838</v>
      </c>
      <c r="H76" s="500">
        <v>98.1480432</v>
      </c>
      <c r="I76" s="500">
        <v>32.269372</v>
      </c>
      <c r="J76" s="500">
        <v>25.2427058</v>
      </c>
      <c r="K76" s="500">
        <v>339.0583152</v>
      </c>
      <c r="L76" s="500">
        <v>33.933051</v>
      </c>
      <c r="M76" s="500">
        <v>65.2083462</v>
      </c>
      <c r="N76" s="500">
        <v>33.3610606</v>
      </c>
      <c r="O76" s="500">
        <v>57.92712</v>
      </c>
      <c r="P76" s="500">
        <v>21.0450622</v>
      </c>
      <c r="Q76" s="500">
        <v>58.8837158</v>
      </c>
      <c r="S76" s="533"/>
    </row>
    <row r="77" ht="13.2" customHeight="1" spans="1:17">
      <c r="A77" s="534" t="s">
        <v>243</v>
      </c>
      <c r="B77" s="534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</row>
  </sheetData>
  <mergeCells count="10">
    <mergeCell ref="A1:Q1"/>
    <mergeCell ref="A2:Q2"/>
    <mergeCell ref="A3:Q3"/>
    <mergeCell ref="E4:Q4"/>
    <mergeCell ref="E5:Q5"/>
    <mergeCell ref="A77:Q77"/>
    <mergeCell ref="A5:A6"/>
    <mergeCell ref="B5:B6"/>
    <mergeCell ref="C5:C6"/>
    <mergeCell ref="D5:D6"/>
  </mergeCells>
  <printOptions horizontalCentered="1"/>
  <pageMargins left="0.275590551181102" right="0.275590551181102" top="0.78740157480315" bottom="0.236220472440945" header="0" footer="0"/>
  <pageSetup paperSize="9" scale="88" orientation="landscape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8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+GETPIVOTDATA("XNT4",'nghiathanh (2016)'!$A$3,"MA_HT","LUC","MA_QH","LUK")</f>
        <v>0</v>
      </c>
      <c r="I8" s="50">
        <f ca="1">+GETPIVOTDATA("XNT4",'nghiathanh (2016)'!$A$3,"MA_HT","LUC","MA_QH","LUN")</f>
        <v>0</v>
      </c>
      <c r="J8" s="50">
        <f ca="1">+GETPIVOTDATA("XNT4",'nghiathanh (2016)'!$A$3,"MA_HT","LUC","MA_QH","HNK")</f>
        <v>0</v>
      </c>
      <c r="K8" s="50">
        <f ca="1">+GETPIVOTDATA("XNT4",'nghiathanh (2016)'!$A$3,"MA_HT","LUC","MA_QH","CLN")</f>
        <v>0</v>
      </c>
      <c r="L8" s="50">
        <f ca="1">+GETPIVOTDATA("XNT4",'nghiathanh (2016)'!$A$3,"MA_HT","LUC","MA_QH","RSX")</f>
        <v>0</v>
      </c>
      <c r="M8" s="50">
        <f ca="1">+GETPIVOTDATA("XNT4",'nghiathanh (2016)'!$A$3,"MA_HT","LUC","MA_QH","RPH")</f>
        <v>0</v>
      </c>
      <c r="N8" s="50">
        <f ca="1">+GETPIVOTDATA("XNT4",'nghiathanh (2016)'!$A$3,"MA_HT","LUC","MA_QH","RDD")</f>
        <v>0</v>
      </c>
      <c r="O8" s="50">
        <f ca="1">+GETPIVOTDATA("XNT4",'nghiathanh (2016)'!$A$3,"MA_HT","LUC","MA_QH","NTS")</f>
        <v>0</v>
      </c>
      <c r="P8" s="50">
        <f ca="1">+GETPIVOTDATA("XNT4",'nghiathanh (2016)'!$A$3,"MA_HT","LUC","MA_QH","LMU")</f>
        <v>0</v>
      </c>
      <c r="Q8" s="50">
        <f ca="1">+GETPIVOTDATA("XNT4",'nghiathanh (2016)'!$A$3,"MA_HT","LUC","MA_QH","NKH")</f>
        <v>0</v>
      </c>
      <c r="R8" s="48">
        <f ca="1" t="shared" si="2"/>
        <v>0</v>
      </c>
      <c r="S8" s="50">
        <f ca="1">+GETPIVOTDATA("XNT4",'nghiathanh (2016)'!$A$3,"MA_HT","LUC","MA_QH","CQP")</f>
        <v>0</v>
      </c>
      <c r="T8" s="50">
        <f ca="1">+GETPIVOTDATA("XNT4",'nghiathanh (2016)'!$A$3,"MA_HT","LUC","MA_QH","CAN")</f>
        <v>0</v>
      </c>
      <c r="U8" s="50">
        <f ca="1">+GETPIVOTDATA("XNT4",'nghiathanh (2016)'!$A$3,"MA_HT","LUC","MA_QH","SKK")</f>
        <v>0</v>
      </c>
      <c r="V8" s="50">
        <f ca="1">+GETPIVOTDATA("XNT4",'nghiathanh (2016)'!$A$3,"MA_HT","LUC","MA_QH","SKT")</f>
        <v>0</v>
      </c>
      <c r="W8" s="50">
        <f ca="1">+GETPIVOTDATA("XNT4",'nghiathanh (2016)'!$A$3,"MA_HT","LUC","MA_QH","SKN")</f>
        <v>0</v>
      </c>
      <c r="X8" s="50">
        <f ca="1">+GETPIVOTDATA("XNT4",'nghiathanh (2016)'!$A$3,"MA_HT","LUC","MA_QH","TMD")</f>
        <v>0</v>
      </c>
      <c r="Y8" s="50">
        <f ca="1">+GETPIVOTDATA("XNT4",'nghiathanh (2016)'!$A$3,"MA_HT","LUC","MA_QH","SKC")</f>
        <v>0</v>
      </c>
      <c r="Z8" s="50">
        <f ca="1">+GETPIVOTDATA("XNT4",'nghiathanh (2016)'!$A$3,"MA_HT","LUC","MA_QH","SKS")</f>
        <v>0</v>
      </c>
      <c r="AA8" s="52">
        <f ca="1" t="shared" si="4"/>
        <v>0</v>
      </c>
      <c r="AB8" s="50">
        <f ca="1">+GETPIVOTDATA("XNT4",'nghiathanh (2016)'!$A$3,"MA_HT","LUC","MA_QH","DGT")</f>
        <v>0</v>
      </c>
      <c r="AC8" s="50">
        <f ca="1">+GETPIVOTDATA("XNT4",'nghiathanh (2016)'!$A$3,"MA_HT","LUC","MA_QH","DTL")</f>
        <v>0</v>
      </c>
      <c r="AD8" s="50">
        <f ca="1">+GETPIVOTDATA("XNT4",'nghiathanh (2016)'!$A$3,"MA_HT","LUC","MA_QH","DNL")</f>
        <v>0</v>
      </c>
      <c r="AE8" s="50">
        <f ca="1">+GETPIVOTDATA("XNT4",'nghiathanh (2016)'!$A$3,"MA_HT","LUC","MA_QH","DBV")</f>
        <v>0</v>
      </c>
      <c r="AF8" s="50">
        <f ca="1">+GETPIVOTDATA("XNT4",'nghiathanh (2016)'!$A$3,"MA_HT","LUC","MA_QH","DVH")</f>
        <v>0</v>
      </c>
      <c r="AG8" s="50">
        <f ca="1">+GETPIVOTDATA("XNT4",'nghiathanh (2016)'!$A$3,"MA_HT","LUC","MA_QH","DYT")</f>
        <v>0</v>
      </c>
      <c r="AH8" s="50">
        <f ca="1">+GETPIVOTDATA("XNT4",'nghiathanh (2016)'!$A$3,"MA_HT","LUC","MA_QH","DGD")</f>
        <v>0</v>
      </c>
      <c r="AI8" s="50">
        <f ca="1">+GETPIVOTDATA("XNT4",'nghiathanh (2016)'!$A$3,"MA_HT","LUC","MA_QH","DTT")</f>
        <v>0</v>
      </c>
      <c r="AJ8" s="50">
        <f ca="1">+GETPIVOTDATA("XNT4",'nghiathanh (2016)'!$A$3,"MA_HT","LUC","MA_QH","NCK")</f>
        <v>0</v>
      </c>
      <c r="AK8" s="50">
        <f ca="1">+GETPIVOTDATA("XNT4",'nghiathanh (2016)'!$A$3,"MA_HT","LUC","MA_QH","DXH")</f>
        <v>0</v>
      </c>
      <c r="AL8" s="50">
        <f ca="1">+GETPIVOTDATA("XNT4",'nghiathanh (2016)'!$A$3,"MA_HT","LUC","MA_QH","DCH")</f>
        <v>0</v>
      </c>
      <c r="AM8" s="50">
        <f ca="1">+GETPIVOTDATA("XNT4",'nghiathanh (2016)'!$A$3,"MA_HT","LUC","MA_QH","DKG")</f>
        <v>0</v>
      </c>
      <c r="AN8" s="50">
        <f ca="1">+GETPIVOTDATA("XNT4",'nghiathanh (2016)'!$A$3,"MA_HT","LUC","MA_QH","DDT")</f>
        <v>0</v>
      </c>
      <c r="AO8" s="50">
        <f ca="1">+GETPIVOTDATA("XNT4",'nghiathanh (2016)'!$A$3,"MA_HT","LUC","MA_QH","DDL")</f>
        <v>0</v>
      </c>
      <c r="AP8" s="50">
        <f ca="1">+GETPIVOTDATA("XNT4",'nghiathanh (2016)'!$A$3,"MA_HT","LUC","MA_QH","DRA")</f>
        <v>0</v>
      </c>
      <c r="AQ8" s="50">
        <f ca="1">+GETPIVOTDATA("XNT4",'nghiathanh (2016)'!$A$3,"MA_HT","LUC","MA_QH","ONT")</f>
        <v>0</v>
      </c>
      <c r="AR8" s="50">
        <f ca="1">+GETPIVOTDATA("XNT4",'nghiathanh (2016)'!$A$3,"MA_HT","LUC","MA_QH","ODT")</f>
        <v>0</v>
      </c>
      <c r="AS8" s="50">
        <f ca="1">+GETPIVOTDATA("XNT4",'nghiathanh (2016)'!$A$3,"MA_HT","LUC","MA_QH","TSC")</f>
        <v>0</v>
      </c>
      <c r="AT8" s="50">
        <f ca="1">+GETPIVOTDATA("XNT4",'nghiathanh (2016)'!$A$3,"MA_HT","LUC","MA_QH","DTS")</f>
        <v>0</v>
      </c>
      <c r="AU8" s="50">
        <f ca="1">+GETPIVOTDATA("XNT4",'nghiathanh (2016)'!$A$3,"MA_HT","LUC","MA_QH","DNG")</f>
        <v>0</v>
      </c>
      <c r="AV8" s="50">
        <f ca="1">+GETPIVOTDATA("XNT4",'nghiathanh (2016)'!$A$3,"MA_HT","LUC","MA_QH","TON")</f>
        <v>0</v>
      </c>
      <c r="AW8" s="50">
        <f ca="1">+GETPIVOTDATA("XNT4",'nghiathanh (2016)'!$A$3,"MA_HT","LUC","MA_QH","NTD")</f>
        <v>0</v>
      </c>
      <c r="AX8" s="50">
        <f ca="1">+GETPIVOTDATA("XNT4",'nghiathanh (2016)'!$A$3,"MA_HT","LUC","MA_QH","SKX")</f>
        <v>0</v>
      </c>
      <c r="AY8" s="50">
        <f ca="1">+GETPIVOTDATA("XNT4",'nghiathanh (2016)'!$A$3,"MA_HT","LUC","MA_QH","DSH")</f>
        <v>0</v>
      </c>
      <c r="AZ8" s="50">
        <f ca="1">+GETPIVOTDATA("XNT4",'nghiathanh (2016)'!$A$3,"MA_HT","LUC","MA_QH","DKV")</f>
        <v>0</v>
      </c>
      <c r="BA8" s="88">
        <f ca="1">+GETPIVOTDATA("XNT4",'nghiathanh (2016)'!$A$3,"MA_HT","LUC","MA_QH","TIN")</f>
        <v>0</v>
      </c>
      <c r="BB8" s="50">
        <f ca="1">+GETPIVOTDATA("XNT4",'nghiathanh (2016)'!$A$3,"MA_HT","LUC","MA_QH","SON")</f>
        <v>0</v>
      </c>
      <c r="BC8" s="50">
        <f ca="1">+GETPIVOTDATA("XNT4",'nghiathanh (2016)'!$A$3,"MA_HT","LUC","MA_QH","MNC")</f>
        <v>0</v>
      </c>
      <c r="BD8" s="50">
        <f ca="1">+GETPIVOTDATA("XNT4",'nghiathanh (2016)'!$A$3,"MA_HT","LUC","MA_QH","PNK")</f>
        <v>0</v>
      </c>
      <c r="BE8" s="80">
        <f ca="1">+GETPIVOTDATA("XNT4",'nghiathanh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+GETPIVOTDATA("XNT4",'nghiathanh (2016)'!$A$3,"MA_HT","LUK","MA_QH","LUC")</f>
        <v>0</v>
      </c>
      <c r="H9" s="49" t="e">
        <f ca="1">$D9-$BF9</f>
        <v>#REF!</v>
      </c>
      <c r="I9" s="50">
        <f ca="1">+GETPIVOTDATA("XNT4",'nghiathanh (2016)'!$A$3,"MA_HT","LUK","MA_QH","LUN")</f>
        <v>0</v>
      </c>
      <c r="J9" s="50">
        <f ca="1">+GETPIVOTDATA("XNT4",'nghiathanh (2016)'!$A$3,"MA_HT","LUK","MA_QH","HNK")</f>
        <v>0</v>
      </c>
      <c r="K9" s="50">
        <f ca="1">+GETPIVOTDATA("XNT4",'nghiathanh (2016)'!$A$3,"MA_HT","LUK","MA_QH","CLN")</f>
        <v>0</v>
      </c>
      <c r="L9" s="50">
        <f ca="1">+GETPIVOTDATA("XNT4",'nghiathanh (2016)'!$A$3,"MA_HT","LUK","MA_QH","RSX")</f>
        <v>0</v>
      </c>
      <c r="M9" s="50">
        <f ca="1">+GETPIVOTDATA("XNT4",'nghiathanh (2016)'!$A$3,"MA_HT","LUK","MA_QH","RPH")</f>
        <v>0</v>
      </c>
      <c r="N9" s="50">
        <f ca="1">+GETPIVOTDATA("XNT4",'nghiathanh (2016)'!$A$3,"MA_HT","LUK","MA_QH","RDD")</f>
        <v>0</v>
      </c>
      <c r="O9" s="50">
        <f ca="1">+GETPIVOTDATA("XNT4",'nghiathanh (2016)'!$A$3,"MA_HT","LUK","MA_QH","NTS")</f>
        <v>0</v>
      </c>
      <c r="P9" s="50">
        <f ca="1">+GETPIVOTDATA("XNT4",'nghiathanh (2016)'!$A$3,"MA_HT","LUK","MA_QH","LMU")</f>
        <v>0</v>
      </c>
      <c r="Q9" s="50">
        <f ca="1">+GETPIVOTDATA("XNT4",'nghiathanh (2016)'!$A$3,"MA_HT","LUK","MA_QH","NKH")</f>
        <v>0</v>
      </c>
      <c r="R9" s="48">
        <f ca="1" t="shared" si="2"/>
        <v>0</v>
      </c>
      <c r="S9" s="50">
        <f ca="1">+GETPIVOTDATA("XNT4",'nghiathanh (2016)'!$A$3,"MA_HT","LUK","MA_QH","CQP")</f>
        <v>0</v>
      </c>
      <c r="T9" s="50">
        <f ca="1">+GETPIVOTDATA("XNT4",'nghiathanh (2016)'!$A$3,"MA_HT","LUK","MA_QH","CAN")</f>
        <v>0</v>
      </c>
      <c r="U9" s="50">
        <f ca="1">+GETPIVOTDATA("XNT4",'nghiathanh (2016)'!$A$3,"MA_HT","LUK","MA_QH","SKK")</f>
        <v>0</v>
      </c>
      <c r="V9" s="50">
        <f ca="1">+GETPIVOTDATA("XNT4",'nghiathanh (2016)'!$A$3,"MA_HT","LUK","MA_QH","SKT")</f>
        <v>0</v>
      </c>
      <c r="W9" s="50">
        <f ca="1">+GETPIVOTDATA("XNT4",'nghiathanh (2016)'!$A$3,"MA_HT","LUK","MA_QH","SKN")</f>
        <v>0</v>
      </c>
      <c r="X9" s="50">
        <f ca="1">+GETPIVOTDATA("XNT4",'nghiathanh (2016)'!$A$3,"MA_HT","LUK","MA_QH","TMD")</f>
        <v>0</v>
      </c>
      <c r="Y9" s="50">
        <f ca="1">+GETPIVOTDATA("XNT4",'nghiathanh (2016)'!$A$3,"MA_HT","LUK","MA_QH","SKC")</f>
        <v>0</v>
      </c>
      <c r="Z9" s="50">
        <f ca="1">+GETPIVOTDATA("XNT4",'nghiathanh (2016)'!$A$3,"MA_HT","LUK","MA_QH","SKS")</f>
        <v>0</v>
      </c>
      <c r="AA9" s="52">
        <f ca="1" t="shared" si="4"/>
        <v>0</v>
      </c>
      <c r="AB9" s="50">
        <f ca="1">+GETPIVOTDATA("XNT4",'nghiathanh (2016)'!$A$3,"MA_HT","LUK","MA_QH","DGT")</f>
        <v>0</v>
      </c>
      <c r="AC9" s="50">
        <f ca="1">+GETPIVOTDATA("XNT4",'nghiathanh (2016)'!$A$3,"MA_HT","LUK","MA_QH","DTL")</f>
        <v>0</v>
      </c>
      <c r="AD9" s="50">
        <f ca="1">+GETPIVOTDATA("XNT4",'nghiathanh (2016)'!$A$3,"MA_HT","LUK","MA_QH","DNL")</f>
        <v>0</v>
      </c>
      <c r="AE9" s="50">
        <f ca="1">+GETPIVOTDATA("XNT4",'nghiathanh (2016)'!$A$3,"MA_HT","LUK","MA_QH","DBV")</f>
        <v>0</v>
      </c>
      <c r="AF9" s="50">
        <f ca="1">+GETPIVOTDATA("XNT4",'nghiathanh (2016)'!$A$3,"MA_HT","LUK","MA_QH","DVH")</f>
        <v>0</v>
      </c>
      <c r="AG9" s="50">
        <f ca="1">+GETPIVOTDATA("XNT4",'nghiathanh (2016)'!$A$3,"MA_HT","LUK","MA_QH","DYT")</f>
        <v>0</v>
      </c>
      <c r="AH9" s="50">
        <f ca="1">+GETPIVOTDATA("XNT4",'nghiathanh (2016)'!$A$3,"MA_HT","LUK","MA_QH","DGD")</f>
        <v>0</v>
      </c>
      <c r="AI9" s="50">
        <f ca="1">+GETPIVOTDATA("XNT4",'nghiathanh (2016)'!$A$3,"MA_HT","LUK","MA_QH","DTT")</f>
        <v>0</v>
      </c>
      <c r="AJ9" s="50">
        <f ca="1">+GETPIVOTDATA("XNT4",'nghiathanh (2016)'!$A$3,"MA_HT","LUK","MA_QH","NCK")</f>
        <v>0</v>
      </c>
      <c r="AK9" s="50">
        <f ca="1">+GETPIVOTDATA("XNT4",'nghiathanh (2016)'!$A$3,"MA_HT","LUK","MA_QH","DXH")</f>
        <v>0</v>
      </c>
      <c r="AL9" s="50">
        <f ca="1">+GETPIVOTDATA("XNT4",'nghiathanh (2016)'!$A$3,"MA_HT","LUK","MA_QH","DCH")</f>
        <v>0</v>
      </c>
      <c r="AM9" s="50">
        <f ca="1">+GETPIVOTDATA("XNT4",'nghiathanh (2016)'!$A$3,"MA_HT","LUK","MA_QH","DKG")</f>
        <v>0</v>
      </c>
      <c r="AN9" s="50">
        <f ca="1">+GETPIVOTDATA("XNT4",'nghiathanh (2016)'!$A$3,"MA_HT","LUK","MA_QH","DDT")</f>
        <v>0</v>
      </c>
      <c r="AO9" s="50">
        <f ca="1">+GETPIVOTDATA("XNT4",'nghiathanh (2016)'!$A$3,"MA_HT","LUK","MA_QH","DDL")</f>
        <v>0</v>
      </c>
      <c r="AP9" s="50">
        <f ca="1">+GETPIVOTDATA("XNT4",'nghiathanh (2016)'!$A$3,"MA_HT","LUK","MA_QH","DRA")</f>
        <v>0</v>
      </c>
      <c r="AQ9" s="50">
        <f ca="1">+GETPIVOTDATA("XNT4",'nghiathanh (2016)'!$A$3,"MA_HT","LUK","MA_QH","ONT")</f>
        <v>0</v>
      </c>
      <c r="AR9" s="50">
        <f ca="1">+GETPIVOTDATA("XNT4",'nghiathanh (2016)'!$A$3,"MA_HT","LUK","MA_QH","ODT")</f>
        <v>0</v>
      </c>
      <c r="AS9" s="50">
        <f ca="1">+GETPIVOTDATA("XNT4",'nghiathanh (2016)'!$A$3,"MA_HT","LUK","MA_QH","TSC")</f>
        <v>0</v>
      </c>
      <c r="AT9" s="50">
        <f ca="1">+GETPIVOTDATA("XNT4",'nghiathanh (2016)'!$A$3,"MA_HT","LUK","MA_QH","DTS")</f>
        <v>0</v>
      </c>
      <c r="AU9" s="50">
        <f ca="1">+GETPIVOTDATA("XNT4",'nghiathanh (2016)'!$A$3,"MA_HT","LUK","MA_QH","DNG")</f>
        <v>0</v>
      </c>
      <c r="AV9" s="50">
        <f ca="1">+GETPIVOTDATA("XNT4",'nghiathanh (2016)'!$A$3,"MA_HT","LUK","MA_QH","TON")</f>
        <v>0</v>
      </c>
      <c r="AW9" s="50">
        <f ca="1">+GETPIVOTDATA("XNT4",'nghiathanh (2016)'!$A$3,"MA_HT","LUK","MA_QH","NTD")</f>
        <v>0</v>
      </c>
      <c r="AX9" s="50">
        <f ca="1">+GETPIVOTDATA("XNT4",'nghiathanh (2016)'!$A$3,"MA_HT","LUK","MA_QH","SKX")</f>
        <v>0</v>
      </c>
      <c r="AY9" s="50">
        <f ca="1">+GETPIVOTDATA("XNT4",'nghiathanh (2016)'!$A$3,"MA_HT","LUK","MA_QH","DSH")</f>
        <v>0</v>
      </c>
      <c r="AZ9" s="50">
        <f ca="1">+GETPIVOTDATA("XNT4",'nghiathanh (2016)'!$A$3,"MA_HT","LUK","MA_QH","DKV")</f>
        <v>0</v>
      </c>
      <c r="BA9" s="88">
        <f ca="1">+GETPIVOTDATA("XNT4",'nghiathanh (2016)'!$A$3,"MA_HT","LUK","MA_QH","TIN")</f>
        <v>0</v>
      </c>
      <c r="BB9" s="50">
        <f ca="1">+GETPIVOTDATA("XNT4",'nghiathanh (2016)'!$A$3,"MA_HT","LUK","MA_QH","SON")</f>
        <v>0</v>
      </c>
      <c r="BC9" s="50">
        <f ca="1">+GETPIVOTDATA("XNT4",'nghiathanh (2016)'!$A$3,"MA_HT","LUK","MA_QH","MNC")</f>
        <v>0</v>
      </c>
      <c r="BD9" s="50">
        <f ca="1">+GETPIVOTDATA("XNT4",'nghiathanh (2016)'!$A$3,"MA_HT","LUK","MA_QH","PNK")</f>
        <v>0</v>
      </c>
      <c r="BE9" s="80">
        <f ca="1">+GETPIVOTDATA("XNT4",'nghiathanh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+GETPIVOTDATA("XNT4",'nghiathanh (2016)'!$A$3,"MA_HT","LUN","MA_QH","LUC")</f>
        <v>0</v>
      </c>
      <c r="H10" s="50">
        <f ca="1">+GETPIVOTDATA("XNT4",'nghiathanh (2016)'!$A$3,"MA_HT","LUN","MA_QH","LUK")</f>
        <v>0</v>
      </c>
      <c r="I10" s="49" t="e">
        <f ca="1">$D10-$BF10</f>
        <v>#REF!</v>
      </c>
      <c r="J10" s="50">
        <f ca="1">+GETPIVOTDATA("XNT4",'nghiathanh (2016)'!$A$3,"MA_HT","LUN","MA_QH","HNK")</f>
        <v>0</v>
      </c>
      <c r="K10" s="50">
        <f ca="1">+GETPIVOTDATA("XNT4",'nghiathanh (2016)'!$A$3,"MA_HT","LUN","MA_QH","CLN")</f>
        <v>0</v>
      </c>
      <c r="L10" s="50">
        <f ca="1">+GETPIVOTDATA("XNT4",'nghiathanh (2016)'!$A$3,"MA_HT","LUN","MA_QH","RSX")</f>
        <v>0</v>
      </c>
      <c r="M10" s="50">
        <f ca="1">+GETPIVOTDATA("XNT4",'nghiathanh (2016)'!$A$3,"MA_HT","LUN","MA_QH","RPH")</f>
        <v>0</v>
      </c>
      <c r="N10" s="50">
        <f ca="1">+GETPIVOTDATA("XNT4",'nghiathanh (2016)'!$A$3,"MA_HT","LUN","MA_QH","RDD")</f>
        <v>0</v>
      </c>
      <c r="O10" s="50">
        <f ca="1">+GETPIVOTDATA("XNT4",'nghiathanh (2016)'!$A$3,"MA_HT","LUN","MA_QH","NTS")</f>
        <v>0</v>
      </c>
      <c r="P10" s="50">
        <f ca="1">+GETPIVOTDATA("XNT4",'nghiathanh (2016)'!$A$3,"MA_HT","LUN","MA_QH","LMU")</f>
        <v>0</v>
      </c>
      <c r="Q10" s="50">
        <f ca="1">+GETPIVOTDATA("XNT4",'nghiathanh (2016)'!$A$3,"MA_HT","LUN","MA_QH","NKH")</f>
        <v>0</v>
      </c>
      <c r="R10" s="48">
        <f ca="1" t="shared" si="2"/>
        <v>0</v>
      </c>
      <c r="S10" s="50">
        <f ca="1">+GETPIVOTDATA("XNT4",'nghiathanh (2016)'!$A$3,"MA_HT","LUN","MA_QH","CQP")</f>
        <v>0</v>
      </c>
      <c r="T10" s="50">
        <f ca="1">+GETPIVOTDATA("XNT4",'nghiathanh (2016)'!$A$3,"MA_HT","LUN","MA_QH","CAN")</f>
        <v>0</v>
      </c>
      <c r="U10" s="50">
        <f ca="1">+GETPIVOTDATA("XNT4",'nghiathanh (2016)'!$A$3,"MA_HT","LUN","MA_QH","SKK")</f>
        <v>0</v>
      </c>
      <c r="V10" s="50">
        <f ca="1">+GETPIVOTDATA("XNT4",'nghiathanh (2016)'!$A$3,"MA_HT","LUN","MA_QH","SKT")</f>
        <v>0</v>
      </c>
      <c r="W10" s="50">
        <f ca="1">+GETPIVOTDATA("XNT4",'nghiathanh (2016)'!$A$3,"MA_HT","LUN","MA_QH","SKN")</f>
        <v>0</v>
      </c>
      <c r="X10" s="50">
        <f ca="1">+GETPIVOTDATA("XNT4",'nghiathanh (2016)'!$A$3,"MA_HT","LUN","MA_QH","TMD")</f>
        <v>0</v>
      </c>
      <c r="Y10" s="50">
        <f ca="1">+GETPIVOTDATA("XNT4",'nghiathanh (2016)'!$A$3,"MA_HT","LUN","MA_QH","SKC")</f>
        <v>0</v>
      </c>
      <c r="Z10" s="50">
        <f ca="1">+GETPIVOTDATA("XNT4",'nghiathanh (2016)'!$A$3,"MA_HT","LUN","MA_QH","SKS")</f>
        <v>0</v>
      </c>
      <c r="AA10" s="52">
        <f ca="1" t="shared" si="4"/>
        <v>0</v>
      </c>
      <c r="AB10" s="50">
        <f ca="1">+GETPIVOTDATA("XNT4",'nghiathanh (2016)'!$A$3,"MA_HT","LUN","MA_QH","DGT")</f>
        <v>0</v>
      </c>
      <c r="AC10" s="50">
        <f ca="1">+GETPIVOTDATA("XNT4",'nghiathanh (2016)'!$A$3,"MA_HT","LUN","MA_QH","DTL")</f>
        <v>0</v>
      </c>
      <c r="AD10" s="50">
        <f ca="1">+GETPIVOTDATA("XNT4",'nghiathanh (2016)'!$A$3,"MA_HT","LUN","MA_QH","DNL")</f>
        <v>0</v>
      </c>
      <c r="AE10" s="50">
        <f ca="1">+GETPIVOTDATA("XNT4",'nghiathanh (2016)'!$A$3,"MA_HT","LUN","MA_QH","DBV")</f>
        <v>0</v>
      </c>
      <c r="AF10" s="50">
        <f ca="1">+GETPIVOTDATA("XNT4",'nghiathanh (2016)'!$A$3,"MA_HT","LUN","MA_QH","DVH")</f>
        <v>0</v>
      </c>
      <c r="AG10" s="50">
        <f ca="1">+GETPIVOTDATA("XNT4",'nghiathanh (2016)'!$A$3,"MA_HT","LUN","MA_QH","DYT")</f>
        <v>0</v>
      </c>
      <c r="AH10" s="50">
        <f ca="1">+GETPIVOTDATA("XNT4",'nghiathanh (2016)'!$A$3,"MA_HT","LUN","MA_QH","DGD")</f>
        <v>0</v>
      </c>
      <c r="AI10" s="50">
        <f ca="1">+GETPIVOTDATA("XNT4",'nghiathanh (2016)'!$A$3,"MA_HT","LUN","MA_QH","DTT")</f>
        <v>0</v>
      </c>
      <c r="AJ10" s="50">
        <f ca="1">+GETPIVOTDATA("XNT4",'nghiathanh (2016)'!$A$3,"MA_HT","LUN","MA_QH","NCK")</f>
        <v>0</v>
      </c>
      <c r="AK10" s="50">
        <f ca="1">+GETPIVOTDATA("XNT4",'nghiathanh (2016)'!$A$3,"MA_HT","LUN","MA_QH","DXH")</f>
        <v>0</v>
      </c>
      <c r="AL10" s="50">
        <f ca="1">+GETPIVOTDATA("XNT4",'nghiathanh (2016)'!$A$3,"MA_HT","LUN","MA_QH","DCH")</f>
        <v>0</v>
      </c>
      <c r="AM10" s="50">
        <f ca="1">+GETPIVOTDATA("XNT4",'nghiathanh (2016)'!$A$3,"MA_HT","LUN","MA_QH","DKG")</f>
        <v>0</v>
      </c>
      <c r="AN10" s="50">
        <f ca="1">+GETPIVOTDATA("XNT4",'nghiathanh (2016)'!$A$3,"MA_HT","LUN","MA_QH","DDT")</f>
        <v>0</v>
      </c>
      <c r="AO10" s="50">
        <f ca="1">+GETPIVOTDATA("XNT4",'nghiathanh (2016)'!$A$3,"MA_HT","LUN","MA_QH","DDL")</f>
        <v>0</v>
      </c>
      <c r="AP10" s="50">
        <f ca="1">+GETPIVOTDATA("XNT4",'nghiathanh (2016)'!$A$3,"MA_HT","LUN","MA_QH","DRA")</f>
        <v>0</v>
      </c>
      <c r="AQ10" s="50">
        <f ca="1">+GETPIVOTDATA("XNT4",'nghiathanh (2016)'!$A$3,"MA_HT","LUN","MA_QH","ONT")</f>
        <v>0</v>
      </c>
      <c r="AR10" s="50">
        <f ca="1">+GETPIVOTDATA("XNT4",'nghiathanh (2016)'!$A$3,"MA_HT","LUN","MA_QH","ODT")</f>
        <v>0</v>
      </c>
      <c r="AS10" s="50">
        <f ca="1">+GETPIVOTDATA("XNT4",'nghiathanh (2016)'!$A$3,"MA_HT","LUN","MA_QH","TSC")</f>
        <v>0</v>
      </c>
      <c r="AT10" s="50">
        <f ca="1">+GETPIVOTDATA("XNT4",'nghiathanh (2016)'!$A$3,"MA_HT","LUN","MA_QH","DTS")</f>
        <v>0</v>
      </c>
      <c r="AU10" s="50">
        <f ca="1">+GETPIVOTDATA("XNT4",'nghiathanh (2016)'!$A$3,"MA_HT","LUN","MA_QH","DNG")</f>
        <v>0</v>
      </c>
      <c r="AV10" s="50">
        <f ca="1">+GETPIVOTDATA("XNT4",'nghiathanh (2016)'!$A$3,"MA_HT","LUN","MA_QH","TON")</f>
        <v>0</v>
      </c>
      <c r="AW10" s="50">
        <f ca="1">+GETPIVOTDATA("XNT4",'nghiathanh (2016)'!$A$3,"MA_HT","LUN","MA_QH","NTD")</f>
        <v>0</v>
      </c>
      <c r="AX10" s="50">
        <f ca="1">+GETPIVOTDATA("XNT4",'nghiathanh (2016)'!$A$3,"MA_HT","LUN","MA_QH","SKX")</f>
        <v>0</v>
      </c>
      <c r="AY10" s="50">
        <f ca="1">+GETPIVOTDATA("XNT4",'nghiathanh (2016)'!$A$3,"MA_HT","LUN","MA_QH","DSH")</f>
        <v>0</v>
      </c>
      <c r="AZ10" s="50">
        <f ca="1">+GETPIVOTDATA("XNT4",'nghiathanh (2016)'!$A$3,"MA_HT","LUN","MA_QH","DKV")</f>
        <v>0</v>
      </c>
      <c r="BA10" s="88">
        <f ca="1">+GETPIVOTDATA("XNT4",'nghiathanh (2016)'!$A$3,"MA_HT","LUN","MA_QH","TIN")</f>
        <v>0</v>
      </c>
      <c r="BB10" s="50">
        <f ca="1">+GETPIVOTDATA("XNT4",'nghiathanh (2016)'!$A$3,"MA_HT","LUN","MA_QH","SON")</f>
        <v>0</v>
      </c>
      <c r="BC10" s="50">
        <f ca="1">+GETPIVOTDATA("XNT4",'nghiathanh (2016)'!$A$3,"MA_HT","LUN","MA_QH","MNC")</f>
        <v>0</v>
      </c>
      <c r="BD10" s="50">
        <f ca="1">+GETPIVOTDATA("XNT4",'nghiathanh (2016)'!$A$3,"MA_HT","LUN","MA_QH","PNK")</f>
        <v>0</v>
      </c>
      <c r="BE10" s="80">
        <f ca="1">+GETPIVOTDATA("XNT4",'nghiathanh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+GETPIVOTDATA("XNT4",'nghiathanh (2016)'!$A$3,"MA_HT","HNK","MA_QH","LUC")</f>
        <v>0</v>
      </c>
      <c r="H11" s="22">
        <f ca="1">+GETPIVOTDATA("XNT4",'nghiathanh (2016)'!$A$3,"MA_HT","HNK","MA_QH","LUK")</f>
        <v>0</v>
      </c>
      <c r="I11" s="22">
        <f ca="1">+GETPIVOTDATA("XNT4",'nghiathanh (2016)'!$A$3,"MA_HT","HNK","MA_QH","LUN")</f>
        <v>0</v>
      </c>
      <c r="J11" s="43" t="e">
        <f ca="1">$D11-$BF11</f>
        <v>#REF!</v>
      </c>
      <c r="K11" s="22">
        <f ca="1">+GETPIVOTDATA("XNT4",'nghiathanh (2016)'!$A$3,"MA_HT","HNK","MA_QH","CLN")</f>
        <v>0</v>
      </c>
      <c r="L11" s="22">
        <f ca="1">+GETPIVOTDATA("XNT4",'nghiathanh (2016)'!$A$3,"MA_HT","HNK","MA_QH","RSX")</f>
        <v>0</v>
      </c>
      <c r="M11" s="22">
        <f ca="1">+GETPIVOTDATA("XNT4",'nghiathanh (2016)'!$A$3,"MA_HT","HNK","MA_QH","RPH")</f>
        <v>0</v>
      </c>
      <c r="N11" s="22">
        <f ca="1">+GETPIVOTDATA("XNT4",'nghiathanh (2016)'!$A$3,"MA_HT","HNK","MA_QH","RDD")</f>
        <v>0</v>
      </c>
      <c r="O11" s="22">
        <f ca="1">+GETPIVOTDATA("XNT4",'nghiathanh (2016)'!$A$3,"MA_HT","HNK","MA_QH","NTS")</f>
        <v>0</v>
      </c>
      <c r="P11" s="22">
        <f ca="1">+GETPIVOTDATA("XNT4",'nghiathanh (2016)'!$A$3,"MA_HT","HNK","MA_QH","LMU")</f>
        <v>0</v>
      </c>
      <c r="Q11" s="22">
        <f ca="1">+GETPIVOTDATA("XNT4",'nghiathanh (2016)'!$A$3,"MA_HT","HNK","MA_QH","NKH")</f>
        <v>0</v>
      </c>
      <c r="R11" s="42">
        <f ca="1" t="shared" si="2"/>
        <v>0</v>
      </c>
      <c r="S11" s="22">
        <f ca="1">+GETPIVOTDATA("XNT4",'nghiathanh (2016)'!$A$3,"MA_HT","HNK","MA_QH","CQP")</f>
        <v>0</v>
      </c>
      <c r="T11" s="22">
        <f ca="1">+GETPIVOTDATA("XNT4",'nghiathanh (2016)'!$A$3,"MA_HT","HNK","MA_QH","CAN")</f>
        <v>0</v>
      </c>
      <c r="U11" s="22">
        <f ca="1">+GETPIVOTDATA("XNT4",'nghiathanh (2016)'!$A$3,"MA_HT","HNK","MA_QH","SKK")</f>
        <v>0</v>
      </c>
      <c r="V11" s="22">
        <f ca="1">+GETPIVOTDATA("XNT4",'nghiathanh (2016)'!$A$3,"MA_HT","HNK","MA_QH","SKT")</f>
        <v>0</v>
      </c>
      <c r="W11" s="22">
        <f ca="1">+GETPIVOTDATA("XNT4",'nghiathanh (2016)'!$A$3,"MA_HT","HNK","MA_QH","SKN")</f>
        <v>0</v>
      </c>
      <c r="X11" s="22">
        <f ca="1">+GETPIVOTDATA("XNT4",'nghiathanh (2016)'!$A$3,"MA_HT","HNK","MA_QH","TMD")</f>
        <v>0</v>
      </c>
      <c r="Y11" s="22">
        <f ca="1">+GETPIVOTDATA("XNT4",'nghiathanh (2016)'!$A$3,"MA_HT","HNK","MA_QH","SKC")</f>
        <v>0</v>
      </c>
      <c r="Z11" s="22">
        <f ca="1">+GETPIVOTDATA("XNT4",'nghiathanh (2016)'!$A$3,"MA_HT","HNK","MA_QH","SKS")</f>
        <v>0</v>
      </c>
      <c r="AA11" s="52">
        <f ca="1" t="shared" si="4"/>
        <v>0</v>
      </c>
      <c r="AB11" s="22">
        <f ca="1">+GETPIVOTDATA("XNT4",'nghiathanh (2016)'!$A$3,"MA_HT","HNK","MA_QH","DGT")</f>
        <v>0</v>
      </c>
      <c r="AC11" s="22">
        <f ca="1">+GETPIVOTDATA("XNT4",'nghiathanh (2016)'!$A$3,"MA_HT","HNK","MA_QH","DTL")</f>
        <v>0</v>
      </c>
      <c r="AD11" s="22">
        <f ca="1">+GETPIVOTDATA("XNT4",'nghiathanh (2016)'!$A$3,"MA_HT","HNK","MA_QH","DNL")</f>
        <v>0</v>
      </c>
      <c r="AE11" s="22">
        <f ca="1">+GETPIVOTDATA("XNT4",'nghiathanh (2016)'!$A$3,"MA_HT","HNK","MA_QH","DBV")</f>
        <v>0</v>
      </c>
      <c r="AF11" s="22">
        <f ca="1">+GETPIVOTDATA("XNT4",'nghiathanh (2016)'!$A$3,"MA_HT","HNK","MA_QH","DVH")</f>
        <v>0</v>
      </c>
      <c r="AG11" s="22">
        <f ca="1">+GETPIVOTDATA("XNT4",'nghiathanh (2016)'!$A$3,"MA_HT","HNK","MA_QH","DYT")</f>
        <v>0</v>
      </c>
      <c r="AH11" s="22">
        <f ca="1">+GETPIVOTDATA("XNT4",'nghiathanh (2016)'!$A$3,"MA_HT","HNK","MA_QH","DGD")</f>
        <v>0</v>
      </c>
      <c r="AI11" s="22">
        <f ca="1">+GETPIVOTDATA("XNT4",'nghiathanh (2016)'!$A$3,"MA_HT","HNK","MA_QH","DTT")</f>
        <v>0</v>
      </c>
      <c r="AJ11" s="22">
        <f ca="1">+GETPIVOTDATA("XNT4",'nghiathanh (2016)'!$A$3,"MA_HT","HNK","MA_QH","NCK")</f>
        <v>0</v>
      </c>
      <c r="AK11" s="22">
        <f ca="1">+GETPIVOTDATA("XNT4",'nghiathanh (2016)'!$A$3,"MA_HT","HNK","MA_QH","DXH")</f>
        <v>0</v>
      </c>
      <c r="AL11" s="22">
        <f ca="1">+GETPIVOTDATA("XNT4",'nghiathanh (2016)'!$A$3,"MA_HT","HNK","MA_QH","DCH")</f>
        <v>0</v>
      </c>
      <c r="AM11" s="22">
        <f ca="1">+GETPIVOTDATA("XNT4",'nghiathanh (2016)'!$A$3,"MA_HT","HNK","MA_QH","DKG")</f>
        <v>0</v>
      </c>
      <c r="AN11" s="22">
        <f ca="1">+GETPIVOTDATA("XNT4",'nghiathanh (2016)'!$A$3,"MA_HT","HNK","MA_QH","DDT")</f>
        <v>0</v>
      </c>
      <c r="AO11" s="22">
        <f ca="1">+GETPIVOTDATA("XNT4",'nghiathanh (2016)'!$A$3,"MA_HT","HNK","MA_QH","DDL")</f>
        <v>0</v>
      </c>
      <c r="AP11" s="22">
        <f ca="1">+GETPIVOTDATA("XNT4",'nghiathanh (2016)'!$A$3,"MA_HT","HNK","MA_QH","DRA")</f>
        <v>0</v>
      </c>
      <c r="AQ11" s="22">
        <f ca="1">+GETPIVOTDATA("XNT4",'nghiathanh (2016)'!$A$3,"MA_HT","HNK","MA_QH","ONT")</f>
        <v>0</v>
      </c>
      <c r="AR11" s="22">
        <f ca="1">+GETPIVOTDATA("XNT4",'nghiathanh (2016)'!$A$3,"MA_HT","HNK","MA_QH","ODT")</f>
        <v>0</v>
      </c>
      <c r="AS11" s="22">
        <f ca="1">+GETPIVOTDATA("XNT4",'nghiathanh (2016)'!$A$3,"MA_HT","HNK","MA_QH","TSC")</f>
        <v>0</v>
      </c>
      <c r="AT11" s="22">
        <f ca="1">+GETPIVOTDATA("XNT4",'nghiathanh (2016)'!$A$3,"MA_HT","HNK","MA_QH","DTS")</f>
        <v>0</v>
      </c>
      <c r="AU11" s="22">
        <f ca="1">+GETPIVOTDATA("XNT4",'nghiathanh (2016)'!$A$3,"MA_HT","HNK","MA_QH","DNG")</f>
        <v>0</v>
      </c>
      <c r="AV11" s="22">
        <f ca="1">+GETPIVOTDATA("XNT4",'nghiathanh (2016)'!$A$3,"MA_HT","HNK","MA_QH","TON")</f>
        <v>0</v>
      </c>
      <c r="AW11" s="22">
        <f ca="1">+GETPIVOTDATA("XNT4",'nghiathanh (2016)'!$A$3,"MA_HT","HNK","MA_QH","NTD")</f>
        <v>0</v>
      </c>
      <c r="AX11" s="22">
        <f ca="1">+GETPIVOTDATA("XNT4",'nghiathanh (2016)'!$A$3,"MA_HT","HNK","MA_QH","SKX")</f>
        <v>0</v>
      </c>
      <c r="AY11" s="22">
        <f ca="1">+GETPIVOTDATA("XNT4",'nghiathanh (2016)'!$A$3,"MA_HT","HNK","MA_QH","DSH")</f>
        <v>0</v>
      </c>
      <c r="AZ11" s="22">
        <f ca="1">+GETPIVOTDATA("XNT4",'nghiathanh (2016)'!$A$3,"MA_HT","HNK","MA_QH","DKV")</f>
        <v>0</v>
      </c>
      <c r="BA11" s="89">
        <f ca="1">+GETPIVOTDATA("XNT4",'nghiathanh (2016)'!$A$3,"MA_HT","HNK","MA_QH","TIN")</f>
        <v>0</v>
      </c>
      <c r="BB11" s="50">
        <f ca="1">+GETPIVOTDATA("XNT4",'nghiathanh (2016)'!$A$3,"MA_HT","HNK","MA_QH","SON")</f>
        <v>0</v>
      </c>
      <c r="BC11" s="50">
        <f ca="1">+GETPIVOTDATA("XNT4",'nghiathanh (2016)'!$A$3,"MA_HT","HNK","MA_QH","MNC")</f>
        <v>0</v>
      </c>
      <c r="BD11" s="22">
        <f ca="1">+GETPIVOTDATA("XNT4",'nghiathanh (2016)'!$A$3,"MA_HT","HNK","MA_QH","PNK")</f>
        <v>0</v>
      </c>
      <c r="BE11" s="71">
        <f ca="1">+GETPIVOTDATA("XNT4",'nghiathanh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+GETPIVOTDATA("XNT4",'nghiathanh (2016)'!$A$3,"MA_HT","CLN","MA_QH","LUC")</f>
        <v>0</v>
      </c>
      <c r="H12" s="22">
        <f ca="1">+GETPIVOTDATA("XNT4",'nghiathanh (2016)'!$A$3,"MA_HT","CLN","MA_QH","LUK")</f>
        <v>0</v>
      </c>
      <c r="I12" s="22">
        <f ca="1">+GETPIVOTDATA("XNT4",'nghiathanh (2016)'!$A$3,"MA_HT","CLN","MA_QH","LUN")</f>
        <v>0</v>
      </c>
      <c r="J12" s="22">
        <f ca="1">+GETPIVOTDATA("XNT4",'nghiathanh (2016)'!$A$3,"MA_HT","CLN","MA_QH","HNK")</f>
        <v>0</v>
      </c>
      <c r="K12" s="43" t="e">
        <f ca="1">$D12-$BF12</f>
        <v>#REF!</v>
      </c>
      <c r="L12" s="22">
        <f ca="1">+GETPIVOTDATA("XNT4",'nghiathanh (2016)'!$A$3,"MA_HT","CLN","MA_QH","RSX")</f>
        <v>0</v>
      </c>
      <c r="M12" s="22">
        <f ca="1">+GETPIVOTDATA("XNT4",'nghiathanh (2016)'!$A$3,"MA_HT","CLN","MA_QH","RPH")</f>
        <v>0</v>
      </c>
      <c r="N12" s="22">
        <f ca="1">+GETPIVOTDATA("XNT4",'nghiathanh (2016)'!$A$3,"MA_HT","CLN","MA_QH","RDD")</f>
        <v>0</v>
      </c>
      <c r="O12" s="22">
        <f ca="1">+GETPIVOTDATA("XNT4",'nghiathanh (2016)'!$A$3,"MA_HT","CLN","MA_QH","NTS")</f>
        <v>0</v>
      </c>
      <c r="P12" s="22">
        <f ca="1">+GETPIVOTDATA("XNT4",'nghiathanh (2016)'!$A$3,"MA_HT","CLN","MA_QH","LMU")</f>
        <v>0</v>
      </c>
      <c r="Q12" s="22">
        <f ca="1">+GETPIVOTDATA("XNT4",'nghiathanh (2016)'!$A$3,"MA_HT","CLN","MA_QH","NKH")</f>
        <v>0</v>
      </c>
      <c r="R12" s="42">
        <f ca="1" t="shared" si="2"/>
        <v>0</v>
      </c>
      <c r="S12" s="22">
        <f ca="1">+GETPIVOTDATA("XNT4",'nghiathanh (2016)'!$A$3,"MA_HT","CLN","MA_QH","CQP")</f>
        <v>0</v>
      </c>
      <c r="T12" s="22">
        <f ca="1">+GETPIVOTDATA("XNT4",'nghiathanh (2016)'!$A$3,"MA_HT","CLN","MA_QH","CAN")</f>
        <v>0</v>
      </c>
      <c r="U12" s="22">
        <f ca="1">+GETPIVOTDATA("XNT4",'nghiathanh (2016)'!$A$3,"MA_HT","CLN","MA_QH","SKK")</f>
        <v>0</v>
      </c>
      <c r="V12" s="22">
        <f ca="1">+GETPIVOTDATA("XNT4",'nghiathanh (2016)'!$A$3,"MA_HT","CLN","MA_QH","SKT")</f>
        <v>0</v>
      </c>
      <c r="W12" s="22">
        <f ca="1">+GETPIVOTDATA("XNT4",'nghiathanh (2016)'!$A$3,"MA_HT","CLN","MA_QH","SKN")</f>
        <v>0</v>
      </c>
      <c r="X12" s="22">
        <f ca="1">+GETPIVOTDATA("XNT4",'nghiathanh (2016)'!$A$3,"MA_HT","CLN","MA_QH","TMD")</f>
        <v>0</v>
      </c>
      <c r="Y12" s="22">
        <f ca="1">+GETPIVOTDATA("XNT4",'nghiathanh (2016)'!$A$3,"MA_HT","CLN","MA_QH","SKC")</f>
        <v>0</v>
      </c>
      <c r="Z12" s="22">
        <f ca="1">+GETPIVOTDATA("XNT4",'nghiathanh (2016)'!$A$3,"MA_HT","CLN","MA_QH","SKS")</f>
        <v>0</v>
      </c>
      <c r="AA12" s="52">
        <f ca="1" t="shared" si="4"/>
        <v>0</v>
      </c>
      <c r="AB12" s="22">
        <f ca="1">+GETPIVOTDATA("XNT4",'nghiathanh (2016)'!$A$3,"MA_HT","CLN","MA_QH","DGT")</f>
        <v>0</v>
      </c>
      <c r="AC12" s="22">
        <f ca="1">+GETPIVOTDATA("XNT4",'nghiathanh (2016)'!$A$3,"MA_HT","CLN","MA_QH","DTL")</f>
        <v>0</v>
      </c>
      <c r="AD12" s="22">
        <f ca="1">+GETPIVOTDATA("XNT4",'nghiathanh (2016)'!$A$3,"MA_HT","CLN","MA_QH","DNL")</f>
        <v>0</v>
      </c>
      <c r="AE12" s="22">
        <f ca="1">+GETPIVOTDATA("XNT4",'nghiathanh (2016)'!$A$3,"MA_HT","CLN","MA_QH","DBV")</f>
        <v>0</v>
      </c>
      <c r="AF12" s="22">
        <f ca="1">+GETPIVOTDATA("XNT4",'nghiathanh (2016)'!$A$3,"MA_HT","CLN","MA_QH","DVH")</f>
        <v>0</v>
      </c>
      <c r="AG12" s="22">
        <f ca="1">+GETPIVOTDATA("XNT4",'nghiathanh (2016)'!$A$3,"MA_HT","CLN","MA_QH","DYT")</f>
        <v>0</v>
      </c>
      <c r="AH12" s="22">
        <f ca="1">+GETPIVOTDATA("XNT4",'nghiathanh (2016)'!$A$3,"MA_HT","CLN","MA_QH","DGD")</f>
        <v>0</v>
      </c>
      <c r="AI12" s="22">
        <f ca="1">+GETPIVOTDATA("XNT4",'nghiathanh (2016)'!$A$3,"MA_HT","CLN","MA_QH","DTT")</f>
        <v>0</v>
      </c>
      <c r="AJ12" s="22">
        <f ca="1">+GETPIVOTDATA("XNT4",'nghiathanh (2016)'!$A$3,"MA_HT","CLN","MA_QH","NCK")</f>
        <v>0</v>
      </c>
      <c r="AK12" s="22">
        <f ca="1">+GETPIVOTDATA("XNT4",'nghiathanh (2016)'!$A$3,"MA_HT","CLN","MA_QH","DXH")</f>
        <v>0</v>
      </c>
      <c r="AL12" s="22">
        <f ca="1">+GETPIVOTDATA("XNT4",'nghiathanh (2016)'!$A$3,"MA_HT","CLN","MA_QH","DCH")</f>
        <v>0</v>
      </c>
      <c r="AM12" s="22">
        <f ca="1">+GETPIVOTDATA("XNT4",'nghiathanh (2016)'!$A$3,"MA_HT","CLN","MA_QH","DKG")</f>
        <v>0</v>
      </c>
      <c r="AN12" s="22">
        <f ca="1">+GETPIVOTDATA("XNT4",'nghiathanh (2016)'!$A$3,"MA_HT","CLN","MA_QH","DDT")</f>
        <v>0</v>
      </c>
      <c r="AO12" s="22">
        <f ca="1">+GETPIVOTDATA("XNT4",'nghiathanh (2016)'!$A$3,"MA_HT","CLN","MA_QH","DDL")</f>
        <v>0</v>
      </c>
      <c r="AP12" s="22">
        <f ca="1">+GETPIVOTDATA("XNT4",'nghiathanh (2016)'!$A$3,"MA_HT","CLN","MA_QH","DRA")</f>
        <v>0</v>
      </c>
      <c r="AQ12" s="22">
        <f ca="1">+GETPIVOTDATA("XNT4",'nghiathanh (2016)'!$A$3,"MA_HT","CLN","MA_QH","ONT")</f>
        <v>0</v>
      </c>
      <c r="AR12" s="22">
        <f ca="1">+GETPIVOTDATA("XNT4",'nghiathanh (2016)'!$A$3,"MA_HT","CLN","MA_QH","ODT")</f>
        <v>0</v>
      </c>
      <c r="AS12" s="22">
        <f ca="1">+GETPIVOTDATA("XNT4",'nghiathanh (2016)'!$A$3,"MA_HT","CLN","MA_QH","TSC")</f>
        <v>0</v>
      </c>
      <c r="AT12" s="22">
        <f ca="1">+GETPIVOTDATA("XNT4",'nghiathanh (2016)'!$A$3,"MA_HT","CLN","MA_QH","DTS")</f>
        <v>0</v>
      </c>
      <c r="AU12" s="22">
        <f ca="1">+GETPIVOTDATA("XNT4",'nghiathanh (2016)'!$A$3,"MA_HT","CLN","MA_QH","DNG")</f>
        <v>0</v>
      </c>
      <c r="AV12" s="22">
        <f ca="1">+GETPIVOTDATA("XNT4",'nghiathanh (2016)'!$A$3,"MA_HT","CLN","MA_QH","TON")</f>
        <v>0</v>
      </c>
      <c r="AW12" s="22">
        <f ca="1">+GETPIVOTDATA("XNT4",'nghiathanh (2016)'!$A$3,"MA_HT","CLN","MA_QH","NTD")</f>
        <v>0</v>
      </c>
      <c r="AX12" s="22">
        <f ca="1">+GETPIVOTDATA("XNT4",'nghiathanh (2016)'!$A$3,"MA_HT","CLN","MA_QH","SKX")</f>
        <v>0</v>
      </c>
      <c r="AY12" s="22">
        <f ca="1">+GETPIVOTDATA("XNT4",'nghiathanh (2016)'!$A$3,"MA_HT","CLN","MA_QH","DSH")</f>
        <v>0</v>
      </c>
      <c r="AZ12" s="22">
        <f ca="1">+GETPIVOTDATA("XNT4",'nghiathanh (2016)'!$A$3,"MA_HT","CLN","MA_QH","DKV")</f>
        <v>0</v>
      </c>
      <c r="BA12" s="89">
        <f ca="1">+GETPIVOTDATA("XNT4",'nghiathanh (2016)'!$A$3,"MA_HT","CLN","MA_QH","TIN")</f>
        <v>0</v>
      </c>
      <c r="BB12" s="50">
        <f ca="1">+GETPIVOTDATA("XNT4",'nghiathanh (2016)'!$A$3,"MA_HT","CLN","MA_QH","SON")</f>
        <v>0</v>
      </c>
      <c r="BC12" s="50">
        <f ca="1">+GETPIVOTDATA("XNT4",'nghiathanh (2016)'!$A$3,"MA_HT","CLN","MA_QH","MNC")</f>
        <v>0</v>
      </c>
      <c r="BD12" s="22">
        <f ca="1">+GETPIVOTDATA("XNT4",'nghiathanh (2016)'!$A$3,"MA_HT","CLN","MA_QH","PNK")</f>
        <v>0</v>
      </c>
      <c r="BE12" s="71">
        <f ca="1">+GETPIVOTDATA("XNT4",'nghiathanh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+GETPIVOTDATA("XNT4",'nghiathanh (2016)'!$A$3,"MA_HT","RSX","MA_QH","LUC")</f>
        <v>0</v>
      </c>
      <c r="H13" s="22">
        <f ca="1">+GETPIVOTDATA("XNT4",'nghiathanh (2016)'!$A$3,"MA_HT","RSX","MA_QH","LUK")</f>
        <v>0</v>
      </c>
      <c r="I13" s="22">
        <f ca="1">+GETPIVOTDATA("XNT4",'nghiathanh (2016)'!$A$3,"MA_HT","RSX","MA_QH","LUN")</f>
        <v>0</v>
      </c>
      <c r="J13" s="22">
        <f ca="1">+GETPIVOTDATA("XNT4",'nghiathanh (2016)'!$A$3,"MA_HT","RSX","MA_QH","HNK")</f>
        <v>0</v>
      </c>
      <c r="K13" s="22">
        <f ca="1">+GETPIVOTDATA("XNT4",'nghiathanh (2016)'!$A$3,"MA_HT","RSX","MA_QH","CLN")</f>
        <v>0</v>
      </c>
      <c r="L13" s="43" t="e">
        <f ca="1">$D13-$BF13</f>
        <v>#REF!</v>
      </c>
      <c r="M13" s="22">
        <f ca="1">+GETPIVOTDATA("XNT4",'nghiathanh (2016)'!$A$3,"MA_HT","RSX","MA_QH","RPH")</f>
        <v>0</v>
      </c>
      <c r="N13" s="22">
        <f ca="1">+GETPIVOTDATA("XNT4",'nghiathanh (2016)'!$A$3,"MA_HT","RSX","MA_QH","RDD")</f>
        <v>0</v>
      </c>
      <c r="O13" s="22">
        <f ca="1">+GETPIVOTDATA("XNT4",'nghiathanh (2016)'!$A$3,"MA_HT","RSX","MA_QH","NTS")</f>
        <v>0</v>
      </c>
      <c r="P13" s="22">
        <f ca="1">+GETPIVOTDATA("XNT4",'nghiathanh (2016)'!$A$3,"MA_HT","RSX","MA_QH","LMU")</f>
        <v>0</v>
      </c>
      <c r="Q13" s="22">
        <f ca="1">+GETPIVOTDATA("XNT4",'nghiathanh (2016)'!$A$3,"MA_HT","RSX","MA_QH","NKH")</f>
        <v>0</v>
      </c>
      <c r="R13" s="42">
        <f ca="1" t="shared" si="2"/>
        <v>0</v>
      </c>
      <c r="S13" s="22">
        <f ca="1">+GETPIVOTDATA("XNT4",'nghiathanh (2016)'!$A$3,"MA_HT","RSX","MA_QH","CQP")</f>
        <v>0</v>
      </c>
      <c r="T13" s="22">
        <f ca="1">+GETPIVOTDATA("XNT4",'nghiathanh (2016)'!$A$3,"MA_HT","RSX","MA_QH","CAN")</f>
        <v>0</v>
      </c>
      <c r="U13" s="22">
        <f ca="1">+GETPIVOTDATA("XNT4",'nghiathanh (2016)'!$A$3,"MA_HT","RSX","MA_QH","SKK")</f>
        <v>0</v>
      </c>
      <c r="V13" s="22">
        <f ca="1">+GETPIVOTDATA("XNT4",'nghiathanh (2016)'!$A$3,"MA_HT","RSX","MA_QH","SKT")</f>
        <v>0</v>
      </c>
      <c r="W13" s="22">
        <f ca="1">+GETPIVOTDATA("XNT4",'nghiathanh (2016)'!$A$3,"MA_HT","RSX","MA_QH","SKN")</f>
        <v>0</v>
      </c>
      <c r="X13" s="22">
        <f ca="1">+GETPIVOTDATA("XNT4",'nghiathanh (2016)'!$A$3,"MA_HT","RSX","MA_QH","TMD")</f>
        <v>0</v>
      </c>
      <c r="Y13" s="22">
        <f ca="1">+GETPIVOTDATA("XNT4",'nghiathanh (2016)'!$A$3,"MA_HT","RSX","MA_QH","SKC")</f>
        <v>0</v>
      </c>
      <c r="Z13" s="22">
        <f ca="1">+GETPIVOTDATA("XNT4",'nghiathanh (2016)'!$A$3,"MA_HT","RSX","MA_QH","SKS")</f>
        <v>0</v>
      </c>
      <c r="AA13" s="52">
        <f ca="1" t="shared" si="4"/>
        <v>0</v>
      </c>
      <c r="AB13" s="22">
        <f ca="1">+GETPIVOTDATA("XNT4",'nghiathanh (2016)'!$A$3,"MA_HT","RSX","MA_QH","DGT")</f>
        <v>0</v>
      </c>
      <c r="AC13" s="22">
        <f ca="1">+GETPIVOTDATA("XNT4",'nghiathanh (2016)'!$A$3,"MA_HT","RSX","MA_QH","DTL")</f>
        <v>0</v>
      </c>
      <c r="AD13" s="22">
        <f ca="1">+GETPIVOTDATA("XNT4",'nghiathanh (2016)'!$A$3,"MA_HT","RSX","MA_QH","DNL")</f>
        <v>0</v>
      </c>
      <c r="AE13" s="22">
        <f ca="1">+GETPIVOTDATA("XNT4",'nghiathanh (2016)'!$A$3,"MA_HT","RSX","MA_QH","DBV")</f>
        <v>0</v>
      </c>
      <c r="AF13" s="22">
        <f ca="1">+GETPIVOTDATA("XNT4",'nghiathanh (2016)'!$A$3,"MA_HT","RSX","MA_QH","DVH")</f>
        <v>0</v>
      </c>
      <c r="AG13" s="22">
        <f ca="1">+GETPIVOTDATA("XNT4",'nghiathanh (2016)'!$A$3,"MA_HT","RSX","MA_QH","DYT")</f>
        <v>0</v>
      </c>
      <c r="AH13" s="22">
        <f ca="1">+GETPIVOTDATA("XNT4",'nghiathanh (2016)'!$A$3,"MA_HT","RSX","MA_QH","DGD")</f>
        <v>0</v>
      </c>
      <c r="AI13" s="22">
        <f ca="1">+GETPIVOTDATA("XNT4",'nghiathanh (2016)'!$A$3,"MA_HT","RSX","MA_QH","DTT")</f>
        <v>0</v>
      </c>
      <c r="AJ13" s="22">
        <f ca="1">+GETPIVOTDATA("XNT4",'nghiathanh (2016)'!$A$3,"MA_HT","RSX","MA_QH","NCK")</f>
        <v>0</v>
      </c>
      <c r="AK13" s="22">
        <f ca="1">+GETPIVOTDATA("XNT4",'nghiathanh (2016)'!$A$3,"MA_HT","RSX","MA_QH","DXH")</f>
        <v>0</v>
      </c>
      <c r="AL13" s="22">
        <f ca="1">+GETPIVOTDATA("XNT4",'nghiathanh (2016)'!$A$3,"MA_HT","RSX","MA_QH","DCH")</f>
        <v>0</v>
      </c>
      <c r="AM13" s="22">
        <f ca="1">+GETPIVOTDATA("XNT4",'nghiathanh (2016)'!$A$3,"MA_HT","RSX","MA_QH","DKG")</f>
        <v>0</v>
      </c>
      <c r="AN13" s="22">
        <f ca="1">+GETPIVOTDATA("XNT4",'nghiathanh (2016)'!$A$3,"MA_HT","RSX","MA_QH","DDT")</f>
        <v>0</v>
      </c>
      <c r="AO13" s="22">
        <f ca="1">+GETPIVOTDATA("XNT4",'nghiathanh (2016)'!$A$3,"MA_HT","RSX","MA_QH","DDL")</f>
        <v>0</v>
      </c>
      <c r="AP13" s="22">
        <f ca="1">+GETPIVOTDATA("XNT4",'nghiathanh (2016)'!$A$3,"MA_HT","RSX","MA_QH","DRA")</f>
        <v>0</v>
      </c>
      <c r="AQ13" s="22">
        <f ca="1">+GETPIVOTDATA("XNT4",'nghiathanh (2016)'!$A$3,"MA_HT","RSX","MA_QH","ONT")</f>
        <v>0</v>
      </c>
      <c r="AR13" s="22">
        <f ca="1">+GETPIVOTDATA("XNT4",'nghiathanh (2016)'!$A$3,"MA_HT","RSX","MA_QH","ODT")</f>
        <v>0</v>
      </c>
      <c r="AS13" s="22">
        <f ca="1">+GETPIVOTDATA("XNT4",'nghiathanh (2016)'!$A$3,"MA_HT","RSX","MA_QH","TSC")</f>
        <v>0</v>
      </c>
      <c r="AT13" s="22">
        <f ca="1">+GETPIVOTDATA("XNT4",'nghiathanh (2016)'!$A$3,"MA_HT","RSX","MA_QH","DTS")</f>
        <v>0</v>
      </c>
      <c r="AU13" s="22">
        <f ca="1">+GETPIVOTDATA("XNT4",'nghiathanh (2016)'!$A$3,"MA_HT","RSX","MA_QH","DNG")</f>
        <v>0</v>
      </c>
      <c r="AV13" s="22">
        <f ca="1">+GETPIVOTDATA("XNT4",'nghiathanh (2016)'!$A$3,"MA_HT","RSX","MA_QH","TON")</f>
        <v>0</v>
      </c>
      <c r="AW13" s="22">
        <f ca="1">+GETPIVOTDATA("XNT4",'nghiathanh (2016)'!$A$3,"MA_HT","RSX","MA_QH","NTD")</f>
        <v>0</v>
      </c>
      <c r="AX13" s="22">
        <f ca="1">+GETPIVOTDATA("XNT4",'nghiathanh (2016)'!$A$3,"MA_HT","RSX","MA_QH","SKX")</f>
        <v>0</v>
      </c>
      <c r="AY13" s="22">
        <f ca="1">+GETPIVOTDATA("XNT4",'nghiathanh (2016)'!$A$3,"MA_HT","RSX","MA_QH","DSH")</f>
        <v>0</v>
      </c>
      <c r="AZ13" s="22">
        <f ca="1">+GETPIVOTDATA("XNT4",'nghiathanh (2016)'!$A$3,"MA_HT","RSX","MA_QH","DKV")</f>
        <v>0</v>
      </c>
      <c r="BA13" s="89">
        <f ca="1">+GETPIVOTDATA("XNT4",'nghiathanh (2016)'!$A$3,"MA_HT","RSX","MA_QH","TIN")</f>
        <v>0</v>
      </c>
      <c r="BB13" s="50">
        <f ca="1">+GETPIVOTDATA("XNT4",'nghiathanh (2016)'!$A$3,"MA_HT","RSX","MA_QH","SON")</f>
        <v>0</v>
      </c>
      <c r="BC13" s="50">
        <f ca="1">+GETPIVOTDATA("XNT4",'nghiathanh (2016)'!$A$3,"MA_HT","RSX","MA_QH","MNC")</f>
        <v>0</v>
      </c>
      <c r="BD13" s="22">
        <f ca="1">+GETPIVOTDATA("XNT4",'nghiathanh (2016)'!$A$3,"MA_HT","RSX","MA_QH","PNK")</f>
        <v>0</v>
      </c>
      <c r="BE13" s="71">
        <f ca="1">+GETPIVOTDATA("XNT4",'nghiathanh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+GETPIVOTDATA("XNT4",'nghiathanh (2016)'!$A$3,"MA_HT","RPH","MA_QH","LUC")</f>
        <v>0</v>
      </c>
      <c r="H14" s="22">
        <f ca="1">+GETPIVOTDATA("XNT4",'nghiathanh (2016)'!$A$3,"MA_HT","RPH","MA_QH","LUK")</f>
        <v>0</v>
      </c>
      <c r="I14" s="22">
        <f ca="1">+GETPIVOTDATA("XNT4",'nghiathanh (2016)'!$A$3,"MA_HT","RPH","MA_QH","LUN")</f>
        <v>0</v>
      </c>
      <c r="J14" s="22">
        <f ca="1">+GETPIVOTDATA("XNT4",'nghiathanh (2016)'!$A$3,"MA_HT","RPH","MA_QH","HNK")</f>
        <v>0</v>
      </c>
      <c r="K14" s="22">
        <f ca="1">+GETPIVOTDATA("XNT4",'nghiathanh (2016)'!$A$3,"MA_HT","RPH","MA_QH","CLN")</f>
        <v>0</v>
      </c>
      <c r="L14" s="22">
        <f ca="1">+GETPIVOTDATA("XNT4",'nghiathanh (2016)'!$A$3,"MA_HT","RPH","MA_QH","RSX")</f>
        <v>0</v>
      </c>
      <c r="M14" s="43" t="e">
        <f ca="1">$D14-$BF14</f>
        <v>#REF!</v>
      </c>
      <c r="N14" s="22">
        <f ca="1">+GETPIVOTDATA("XNT4",'nghiathanh (2016)'!$A$3,"MA_HT","RPH","MA_QH","RDD")</f>
        <v>0</v>
      </c>
      <c r="O14" s="22">
        <f ca="1">+GETPIVOTDATA("XNT4",'nghiathanh (2016)'!$A$3,"MA_HT","RPH","MA_QH","NTS")</f>
        <v>0</v>
      </c>
      <c r="P14" s="22">
        <f ca="1">+GETPIVOTDATA("XNT4",'nghiathanh (2016)'!$A$3,"MA_HT","RPH","MA_QH","LMU")</f>
        <v>0</v>
      </c>
      <c r="Q14" s="22">
        <f ca="1">+GETPIVOTDATA("XNT4",'nghiathanh (2016)'!$A$3,"MA_HT","RPH","MA_QH","NKH")</f>
        <v>0</v>
      </c>
      <c r="R14" s="42">
        <f ca="1" t="shared" si="2"/>
        <v>0</v>
      </c>
      <c r="S14" s="22">
        <f ca="1">+GETPIVOTDATA("XNT4",'nghiathanh (2016)'!$A$3,"MA_HT","RPH","MA_QH","CQP")</f>
        <v>0</v>
      </c>
      <c r="T14" s="22">
        <f ca="1">+GETPIVOTDATA("XNT4",'nghiathanh (2016)'!$A$3,"MA_HT","RPH","MA_QH","CAN")</f>
        <v>0</v>
      </c>
      <c r="U14" s="22">
        <f ca="1">+GETPIVOTDATA("XNT4",'nghiathanh (2016)'!$A$3,"MA_HT","RPH","MA_QH","SKK")</f>
        <v>0</v>
      </c>
      <c r="V14" s="22">
        <f ca="1">+GETPIVOTDATA("XNT4",'nghiathanh (2016)'!$A$3,"MA_HT","RPH","MA_QH","SKT")</f>
        <v>0</v>
      </c>
      <c r="W14" s="22">
        <f ca="1">+GETPIVOTDATA("XNT4",'nghiathanh (2016)'!$A$3,"MA_HT","RPH","MA_QH","SKN")</f>
        <v>0</v>
      </c>
      <c r="X14" s="22">
        <f ca="1">+GETPIVOTDATA("XNT4",'nghiathanh (2016)'!$A$3,"MA_HT","RPH","MA_QH","TMD")</f>
        <v>0</v>
      </c>
      <c r="Y14" s="22">
        <f ca="1">+GETPIVOTDATA("XNT4",'nghiathanh (2016)'!$A$3,"MA_HT","RPH","MA_QH","SKC")</f>
        <v>0</v>
      </c>
      <c r="Z14" s="22">
        <f ca="1">+GETPIVOTDATA("XNT4",'nghiathanh (2016)'!$A$3,"MA_HT","RPH","MA_QH","SKS")</f>
        <v>0</v>
      </c>
      <c r="AA14" s="52">
        <f ca="1" t="shared" si="4"/>
        <v>0</v>
      </c>
      <c r="AB14" s="22">
        <f ca="1">+GETPIVOTDATA("XNT4",'nghiathanh (2016)'!$A$3,"MA_HT","RPH","MA_QH","DGT")</f>
        <v>0</v>
      </c>
      <c r="AC14" s="22">
        <f ca="1">+GETPIVOTDATA("XNT4",'nghiathanh (2016)'!$A$3,"MA_HT","RPH","MA_QH","DTL")</f>
        <v>0</v>
      </c>
      <c r="AD14" s="22">
        <f ca="1">+GETPIVOTDATA("XNT4",'nghiathanh (2016)'!$A$3,"MA_HT","RPH","MA_QH","DNL")</f>
        <v>0</v>
      </c>
      <c r="AE14" s="22">
        <f ca="1">+GETPIVOTDATA("XNT4",'nghiathanh (2016)'!$A$3,"MA_HT","RPH","MA_QH","DBV")</f>
        <v>0</v>
      </c>
      <c r="AF14" s="22">
        <f ca="1">+GETPIVOTDATA("XNT4",'nghiathanh (2016)'!$A$3,"MA_HT","RPH","MA_QH","DVH")</f>
        <v>0</v>
      </c>
      <c r="AG14" s="22">
        <f ca="1">+GETPIVOTDATA("XNT4",'nghiathanh (2016)'!$A$3,"MA_HT","RPH","MA_QH","DYT")</f>
        <v>0</v>
      </c>
      <c r="AH14" s="22">
        <f ca="1">+GETPIVOTDATA("XNT4",'nghiathanh (2016)'!$A$3,"MA_HT","RPH","MA_QH","DGD")</f>
        <v>0</v>
      </c>
      <c r="AI14" s="22">
        <f ca="1">+GETPIVOTDATA("XNT4",'nghiathanh (2016)'!$A$3,"MA_HT","RPH","MA_QH","DTT")</f>
        <v>0</v>
      </c>
      <c r="AJ14" s="22">
        <f ca="1">+GETPIVOTDATA("XNT4",'nghiathanh (2016)'!$A$3,"MA_HT","RPH","MA_QH","NCK")</f>
        <v>0</v>
      </c>
      <c r="AK14" s="22">
        <f ca="1">+GETPIVOTDATA("XNT4",'nghiathanh (2016)'!$A$3,"MA_HT","RPH","MA_QH","DXH")</f>
        <v>0</v>
      </c>
      <c r="AL14" s="22">
        <f ca="1">+GETPIVOTDATA("XNT4",'nghiathanh (2016)'!$A$3,"MA_HT","RPH","MA_QH","DCH")</f>
        <v>0</v>
      </c>
      <c r="AM14" s="22">
        <f ca="1">+GETPIVOTDATA("XNT4",'nghiathanh (2016)'!$A$3,"MA_HT","RPH","MA_QH","DKG")</f>
        <v>0</v>
      </c>
      <c r="AN14" s="22">
        <f ca="1">+GETPIVOTDATA("XNT4",'nghiathanh (2016)'!$A$3,"MA_HT","RPH","MA_QH","DDT")</f>
        <v>0</v>
      </c>
      <c r="AO14" s="22">
        <f ca="1">+GETPIVOTDATA("XNT4",'nghiathanh (2016)'!$A$3,"MA_HT","RPH","MA_QH","DDL")</f>
        <v>0</v>
      </c>
      <c r="AP14" s="22">
        <f ca="1">+GETPIVOTDATA("XNT4",'nghiathanh (2016)'!$A$3,"MA_HT","RPH","MA_QH","DRA")</f>
        <v>0</v>
      </c>
      <c r="AQ14" s="22">
        <f ca="1">+GETPIVOTDATA("XNT4",'nghiathanh (2016)'!$A$3,"MA_HT","RPH","MA_QH","ONT")</f>
        <v>0</v>
      </c>
      <c r="AR14" s="22">
        <f ca="1">+GETPIVOTDATA("XNT4",'nghiathanh (2016)'!$A$3,"MA_HT","RPH","MA_QH","ODT")</f>
        <v>0</v>
      </c>
      <c r="AS14" s="22">
        <f ca="1">+GETPIVOTDATA("XNT4",'nghiathanh (2016)'!$A$3,"MA_HT","RPH","MA_QH","TSC")</f>
        <v>0</v>
      </c>
      <c r="AT14" s="22">
        <f ca="1">+GETPIVOTDATA("XNT4",'nghiathanh (2016)'!$A$3,"MA_HT","RPH","MA_QH","DTS")</f>
        <v>0</v>
      </c>
      <c r="AU14" s="22">
        <f ca="1">+GETPIVOTDATA("XNT4",'nghiathanh (2016)'!$A$3,"MA_HT","RPH","MA_QH","DNG")</f>
        <v>0</v>
      </c>
      <c r="AV14" s="22">
        <f ca="1">+GETPIVOTDATA("XNT4",'nghiathanh (2016)'!$A$3,"MA_HT","RPH","MA_QH","TON")</f>
        <v>0</v>
      </c>
      <c r="AW14" s="22">
        <f ca="1">+GETPIVOTDATA("XNT4",'nghiathanh (2016)'!$A$3,"MA_HT","RPH","MA_QH","NTD")</f>
        <v>0</v>
      </c>
      <c r="AX14" s="22">
        <f ca="1">+GETPIVOTDATA("XNT4",'nghiathanh (2016)'!$A$3,"MA_HT","RPH","MA_QH","SKX")</f>
        <v>0</v>
      </c>
      <c r="AY14" s="22">
        <f ca="1">+GETPIVOTDATA("XNT4",'nghiathanh (2016)'!$A$3,"MA_HT","RPH","MA_QH","DSH")</f>
        <v>0</v>
      </c>
      <c r="AZ14" s="22">
        <f ca="1">+GETPIVOTDATA("XNT4",'nghiathanh (2016)'!$A$3,"MA_HT","RPH","MA_QH","DKV")</f>
        <v>0</v>
      </c>
      <c r="BA14" s="89">
        <f ca="1">+GETPIVOTDATA("XNT4",'nghiathanh (2016)'!$A$3,"MA_HT","RPH","MA_QH","TIN")</f>
        <v>0</v>
      </c>
      <c r="BB14" s="50">
        <f ca="1">+GETPIVOTDATA("XNT4",'nghiathanh (2016)'!$A$3,"MA_HT","RPH","MA_QH","SON")</f>
        <v>0</v>
      </c>
      <c r="BC14" s="50">
        <f ca="1">+GETPIVOTDATA("XNT4",'nghiathanh (2016)'!$A$3,"MA_HT","RPH","MA_QH","MNC")</f>
        <v>0</v>
      </c>
      <c r="BD14" s="22">
        <f ca="1">+GETPIVOTDATA("XNT4",'nghiathanh (2016)'!$A$3,"MA_HT","RPH","MA_QH","PNK")</f>
        <v>0</v>
      </c>
      <c r="BE14" s="71">
        <f ca="1">+GETPIVOTDATA("XNT4",'nghiathanh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+GETPIVOTDATA("XNT4",'nghiathanh (2016)'!$A$3,"MA_HT","RDD","MA_QH","LUC")</f>
        <v>0</v>
      </c>
      <c r="H15" s="22">
        <f ca="1">+GETPIVOTDATA("XNT4",'nghiathanh (2016)'!$A$3,"MA_HT","RDD","MA_QH","LUK")</f>
        <v>0</v>
      </c>
      <c r="I15" s="22">
        <f ca="1">+GETPIVOTDATA("XNT4",'nghiathanh (2016)'!$A$3,"MA_HT","RDD","MA_QH","LUN")</f>
        <v>0</v>
      </c>
      <c r="J15" s="22">
        <f ca="1">+GETPIVOTDATA("XNT4",'nghiathanh (2016)'!$A$3,"MA_HT","RDD","MA_QH","HNK")</f>
        <v>0</v>
      </c>
      <c r="K15" s="22">
        <f ca="1">+GETPIVOTDATA("XNT4",'nghiathanh (2016)'!$A$3,"MA_HT","RDD","MA_QH","CLN")</f>
        <v>0</v>
      </c>
      <c r="L15" s="22">
        <f ca="1">+GETPIVOTDATA("XNT4",'nghiathanh (2016)'!$A$3,"MA_HT","RDD","MA_QH","RSX")</f>
        <v>0</v>
      </c>
      <c r="M15" s="22">
        <f ca="1">+GETPIVOTDATA("XNT4",'nghiathanh (2016)'!$A$3,"MA_HT","RDD","MA_QH","RPH")</f>
        <v>0</v>
      </c>
      <c r="N15" s="43" t="e">
        <f ca="1">$D15-$BF15</f>
        <v>#REF!</v>
      </c>
      <c r="O15" s="22">
        <f ca="1">+GETPIVOTDATA("XNT4",'nghiathanh (2016)'!$A$3,"MA_HT","RDD","MA_QH","NTS")</f>
        <v>0</v>
      </c>
      <c r="P15" s="22">
        <f ca="1">+GETPIVOTDATA("XNT4",'nghiathanh (2016)'!$A$3,"MA_HT","RDD","MA_QH","LMU")</f>
        <v>0</v>
      </c>
      <c r="Q15" s="22">
        <f ca="1">+GETPIVOTDATA("XNT4",'nghiathanh (2016)'!$A$3,"MA_HT","RDD","MA_QH","NKH")</f>
        <v>0</v>
      </c>
      <c r="R15" s="42">
        <f ca="1" t="shared" si="2"/>
        <v>0</v>
      </c>
      <c r="S15" s="22">
        <f ca="1">+GETPIVOTDATA("XNT4",'nghiathanh (2016)'!$A$3,"MA_HT","RDD","MA_QH","CQP")</f>
        <v>0</v>
      </c>
      <c r="T15" s="22">
        <f ca="1">+GETPIVOTDATA("XNT4",'nghiathanh (2016)'!$A$3,"MA_HT","RDD","MA_QH","CAN")</f>
        <v>0</v>
      </c>
      <c r="U15" s="22">
        <f ca="1">+GETPIVOTDATA("XNT4",'nghiathanh (2016)'!$A$3,"MA_HT","RDD","MA_QH","SKK")</f>
        <v>0</v>
      </c>
      <c r="V15" s="22">
        <f ca="1">+GETPIVOTDATA("XNT4",'nghiathanh (2016)'!$A$3,"MA_HT","RDD","MA_QH","SKT")</f>
        <v>0</v>
      </c>
      <c r="W15" s="22">
        <f ca="1">+GETPIVOTDATA("XNT4",'nghiathanh (2016)'!$A$3,"MA_HT","RDD","MA_QH","SKN")</f>
        <v>0</v>
      </c>
      <c r="X15" s="22">
        <f ca="1">+GETPIVOTDATA("XNT4",'nghiathanh (2016)'!$A$3,"MA_HT","RDD","MA_QH","TMD")</f>
        <v>0</v>
      </c>
      <c r="Y15" s="22">
        <f ca="1">+GETPIVOTDATA("XNT4",'nghiathanh (2016)'!$A$3,"MA_HT","RDD","MA_QH","SKC")</f>
        <v>0</v>
      </c>
      <c r="Z15" s="22">
        <f ca="1">+GETPIVOTDATA("XNT4",'nghiathanh (2016)'!$A$3,"MA_HT","RDD","MA_QH","SKS")</f>
        <v>0</v>
      </c>
      <c r="AA15" s="52">
        <f ca="1" t="shared" si="4"/>
        <v>0</v>
      </c>
      <c r="AB15" s="22">
        <f ca="1">+GETPIVOTDATA("XNT4",'nghiathanh (2016)'!$A$3,"MA_HT","RDD","MA_QH","DGT")</f>
        <v>0</v>
      </c>
      <c r="AC15" s="22">
        <f ca="1">+GETPIVOTDATA("XNT4",'nghiathanh (2016)'!$A$3,"MA_HT","RDD","MA_QH","DTL")</f>
        <v>0</v>
      </c>
      <c r="AD15" s="22">
        <f ca="1">+GETPIVOTDATA("XNT4",'nghiathanh (2016)'!$A$3,"MA_HT","RDD","MA_QH","DNL")</f>
        <v>0</v>
      </c>
      <c r="AE15" s="22">
        <f ca="1">+GETPIVOTDATA("XNT4",'nghiathanh (2016)'!$A$3,"MA_HT","RDD","MA_QH","DBV")</f>
        <v>0</v>
      </c>
      <c r="AF15" s="22">
        <f ca="1">+GETPIVOTDATA("XNT4",'nghiathanh (2016)'!$A$3,"MA_HT","RDD","MA_QH","DVH")</f>
        <v>0</v>
      </c>
      <c r="AG15" s="22">
        <f ca="1">+GETPIVOTDATA("XNT4",'nghiathanh (2016)'!$A$3,"MA_HT","RDD","MA_QH","DYT")</f>
        <v>0</v>
      </c>
      <c r="AH15" s="22">
        <f ca="1">+GETPIVOTDATA("XNT4",'nghiathanh (2016)'!$A$3,"MA_HT","RDD","MA_QH","DGD")</f>
        <v>0</v>
      </c>
      <c r="AI15" s="22">
        <f ca="1">+GETPIVOTDATA("XNT4",'nghiathanh (2016)'!$A$3,"MA_HT","RDD","MA_QH","DTT")</f>
        <v>0</v>
      </c>
      <c r="AJ15" s="22">
        <f ca="1">+GETPIVOTDATA("XNT4",'nghiathanh (2016)'!$A$3,"MA_HT","RDD","MA_QH","NCK")</f>
        <v>0</v>
      </c>
      <c r="AK15" s="22">
        <f ca="1">+GETPIVOTDATA("XNT4",'nghiathanh (2016)'!$A$3,"MA_HT","RDD","MA_QH","DXH")</f>
        <v>0</v>
      </c>
      <c r="AL15" s="22">
        <f ca="1">+GETPIVOTDATA("XNT4",'nghiathanh (2016)'!$A$3,"MA_HT","RDD","MA_QH","DCH")</f>
        <v>0</v>
      </c>
      <c r="AM15" s="22">
        <f ca="1">+GETPIVOTDATA("XNT4",'nghiathanh (2016)'!$A$3,"MA_HT","RDD","MA_QH","DKG")</f>
        <v>0</v>
      </c>
      <c r="AN15" s="22">
        <f ca="1">+GETPIVOTDATA("XNT4",'nghiathanh (2016)'!$A$3,"MA_HT","RDD","MA_QH","DDT")</f>
        <v>0</v>
      </c>
      <c r="AO15" s="22">
        <f ca="1">+GETPIVOTDATA("XNT4",'nghiathanh (2016)'!$A$3,"MA_HT","RDD","MA_QH","DDL")</f>
        <v>0</v>
      </c>
      <c r="AP15" s="22">
        <f ca="1">+GETPIVOTDATA("XNT4",'nghiathanh (2016)'!$A$3,"MA_HT","RDD","MA_QH","DRA")</f>
        <v>0</v>
      </c>
      <c r="AQ15" s="22">
        <f ca="1">+GETPIVOTDATA("XNT4",'nghiathanh (2016)'!$A$3,"MA_HT","RDD","MA_QH","ONT")</f>
        <v>0</v>
      </c>
      <c r="AR15" s="22">
        <f ca="1">+GETPIVOTDATA("XNT4",'nghiathanh (2016)'!$A$3,"MA_HT","RDD","MA_QH","ODT")</f>
        <v>0</v>
      </c>
      <c r="AS15" s="22">
        <f ca="1">+GETPIVOTDATA("XNT4",'nghiathanh (2016)'!$A$3,"MA_HT","RDD","MA_QH","TSC")</f>
        <v>0</v>
      </c>
      <c r="AT15" s="22">
        <f ca="1">+GETPIVOTDATA("XNT4",'nghiathanh (2016)'!$A$3,"MA_HT","RDD","MA_QH","DTS")</f>
        <v>0</v>
      </c>
      <c r="AU15" s="22">
        <f ca="1">+GETPIVOTDATA("XNT4",'nghiathanh (2016)'!$A$3,"MA_HT","RDD","MA_QH","DNG")</f>
        <v>0</v>
      </c>
      <c r="AV15" s="22">
        <f ca="1">+GETPIVOTDATA("XNT4",'nghiathanh (2016)'!$A$3,"MA_HT","RDD","MA_QH","TON")</f>
        <v>0</v>
      </c>
      <c r="AW15" s="22">
        <f ca="1">+GETPIVOTDATA("XNT4",'nghiathanh (2016)'!$A$3,"MA_HT","RDD","MA_QH","NTD")</f>
        <v>0</v>
      </c>
      <c r="AX15" s="22">
        <f ca="1">+GETPIVOTDATA("XNT4",'nghiathanh (2016)'!$A$3,"MA_HT","RDD","MA_QH","SKX")</f>
        <v>0</v>
      </c>
      <c r="AY15" s="22">
        <f ca="1">+GETPIVOTDATA("XNT4",'nghiathanh (2016)'!$A$3,"MA_HT","RDD","MA_QH","DSH")</f>
        <v>0</v>
      </c>
      <c r="AZ15" s="22">
        <f ca="1">+GETPIVOTDATA("XNT4",'nghiathanh (2016)'!$A$3,"MA_HT","RDD","MA_QH","DKV")</f>
        <v>0</v>
      </c>
      <c r="BA15" s="89">
        <f ca="1">+GETPIVOTDATA("XNT4",'nghiathanh (2016)'!$A$3,"MA_HT","RDD","MA_QH","TIN")</f>
        <v>0</v>
      </c>
      <c r="BB15" s="50">
        <f ca="1">+GETPIVOTDATA("XNT4",'nghiathanh (2016)'!$A$3,"MA_HT","RDD","MA_QH","SON")</f>
        <v>0</v>
      </c>
      <c r="BC15" s="50">
        <f ca="1">+GETPIVOTDATA("XNT4",'nghiathanh (2016)'!$A$3,"MA_HT","RDD","MA_QH","MNC")</f>
        <v>0</v>
      </c>
      <c r="BD15" s="22">
        <f ca="1">+GETPIVOTDATA("XNT4",'nghiathanh (2016)'!$A$3,"MA_HT","RDD","MA_QH","PNK")</f>
        <v>0</v>
      </c>
      <c r="BE15" s="71">
        <f ca="1">+GETPIVOTDATA("XNT4",'nghiathanh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+GETPIVOTDATA("XNT4",'nghiathanh (2016)'!$A$3,"MA_HT","NTS","MA_QH","LUC")</f>
        <v>0</v>
      </c>
      <c r="H16" s="22">
        <f ca="1">+GETPIVOTDATA("XNT4",'nghiathanh (2016)'!$A$3,"MA_HT","NTS","MA_QH","LUK")</f>
        <v>0</v>
      </c>
      <c r="I16" s="22">
        <f ca="1">+GETPIVOTDATA("XNT4",'nghiathanh (2016)'!$A$3,"MA_HT","NTS","MA_QH","LUN")</f>
        <v>0</v>
      </c>
      <c r="J16" s="22">
        <f ca="1">+GETPIVOTDATA("XNT4",'nghiathanh (2016)'!$A$3,"MA_HT","NTS","MA_QH","HNK")</f>
        <v>0</v>
      </c>
      <c r="K16" s="22">
        <f ca="1">+GETPIVOTDATA("XNT4",'nghiathanh (2016)'!$A$3,"MA_HT","NTS","MA_QH","CLN")</f>
        <v>0</v>
      </c>
      <c r="L16" s="22">
        <f ca="1">+GETPIVOTDATA("XNT4",'nghiathanh (2016)'!$A$3,"MA_HT","NTS","MA_QH","RSX")</f>
        <v>0</v>
      </c>
      <c r="M16" s="22">
        <f ca="1">+GETPIVOTDATA("XNT4",'nghiathanh (2016)'!$A$3,"MA_HT","NTS","MA_QH","RPH")</f>
        <v>0</v>
      </c>
      <c r="N16" s="22">
        <f ca="1">+GETPIVOTDATA("XNT4",'nghiathanh (2016)'!$A$3,"MA_HT","NTS","MA_QH","RDD")</f>
        <v>0</v>
      </c>
      <c r="O16" s="43" t="e">
        <f ca="1">$D16-$BF16</f>
        <v>#REF!</v>
      </c>
      <c r="P16" s="22">
        <f ca="1">+GETPIVOTDATA("XNT4",'nghiathanh (2016)'!$A$3,"MA_HT","NTS","MA_QH","LMU")</f>
        <v>0</v>
      </c>
      <c r="Q16" s="22">
        <f ca="1">+GETPIVOTDATA("XNT4",'nghiathanh (2016)'!$A$3,"MA_HT","NTS","MA_QH","NKH")</f>
        <v>0</v>
      </c>
      <c r="R16" s="42">
        <f ca="1" t="shared" si="2"/>
        <v>0</v>
      </c>
      <c r="S16" s="22">
        <f ca="1">+GETPIVOTDATA("XNT4",'nghiathanh (2016)'!$A$3,"MA_HT","NTS","MA_QH","CQP")</f>
        <v>0</v>
      </c>
      <c r="T16" s="22">
        <f ca="1">+GETPIVOTDATA("XNT4",'nghiathanh (2016)'!$A$3,"MA_HT","NTS","MA_QH","CAN")</f>
        <v>0</v>
      </c>
      <c r="U16" s="22">
        <f ca="1">+GETPIVOTDATA("XNT4",'nghiathanh (2016)'!$A$3,"MA_HT","NTS","MA_QH","SKK")</f>
        <v>0</v>
      </c>
      <c r="V16" s="22">
        <f ca="1">+GETPIVOTDATA("XNT4",'nghiathanh (2016)'!$A$3,"MA_HT","NTS","MA_QH","SKT")</f>
        <v>0</v>
      </c>
      <c r="W16" s="22">
        <f ca="1">+GETPIVOTDATA("XNT4",'nghiathanh (2016)'!$A$3,"MA_HT","NTS","MA_QH","SKN")</f>
        <v>0</v>
      </c>
      <c r="X16" s="22">
        <f ca="1">+GETPIVOTDATA("XNT4",'nghiathanh (2016)'!$A$3,"MA_HT","NTS","MA_QH","TMD")</f>
        <v>0</v>
      </c>
      <c r="Y16" s="22">
        <f ca="1">+GETPIVOTDATA("XNT4",'nghiathanh (2016)'!$A$3,"MA_HT","NTS","MA_QH","SKC")</f>
        <v>0</v>
      </c>
      <c r="Z16" s="22">
        <f ca="1">+GETPIVOTDATA("XNT4",'nghiathanh (2016)'!$A$3,"MA_HT","NTS","MA_QH","SKS")</f>
        <v>0</v>
      </c>
      <c r="AA16" s="52">
        <f ca="1" t="shared" si="4"/>
        <v>0</v>
      </c>
      <c r="AB16" s="22">
        <f ca="1">+GETPIVOTDATA("XNT4",'nghiathanh (2016)'!$A$3,"MA_HT","NTS","MA_QH","DGT")</f>
        <v>0</v>
      </c>
      <c r="AC16" s="22">
        <f ca="1">+GETPIVOTDATA("XNT4",'nghiathanh (2016)'!$A$3,"MA_HT","NTS","MA_QH","DTL")</f>
        <v>0</v>
      </c>
      <c r="AD16" s="22">
        <f ca="1">+GETPIVOTDATA("XNT4",'nghiathanh (2016)'!$A$3,"MA_HT","NTS","MA_QH","DNL")</f>
        <v>0</v>
      </c>
      <c r="AE16" s="22">
        <f ca="1">+GETPIVOTDATA("XNT4",'nghiathanh (2016)'!$A$3,"MA_HT","NTS","MA_QH","DBV")</f>
        <v>0</v>
      </c>
      <c r="AF16" s="22">
        <f ca="1">+GETPIVOTDATA("XNT4",'nghiathanh (2016)'!$A$3,"MA_HT","NTS","MA_QH","DVH")</f>
        <v>0</v>
      </c>
      <c r="AG16" s="22">
        <f ca="1">+GETPIVOTDATA("XNT4",'nghiathanh (2016)'!$A$3,"MA_HT","NTS","MA_QH","DYT")</f>
        <v>0</v>
      </c>
      <c r="AH16" s="22">
        <f ca="1">+GETPIVOTDATA("XNT4",'nghiathanh (2016)'!$A$3,"MA_HT","NTS","MA_QH","DGD")</f>
        <v>0</v>
      </c>
      <c r="AI16" s="22">
        <f ca="1">+GETPIVOTDATA("XNT4",'nghiathanh (2016)'!$A$3,"MA_HT","NTS","MA_QH","DTT")</f>
        <v>0</v>
      </c>
      <c r="AJ16" s="22">
        <f ca="1">+GETPIVOTDATA("XNT4",'nghiathanh (2016)'!$A$3,"MA_HT","NTS","MA_QH","NCK")</f>
        <v>0</v>
      </c>
      <c r="AK16" s="22">
        <f ca="1">+GETPIVOTDATA("XNT4",'nghiathanh (2016)'!$A$3,"MA_HT","NTS","MA_QH","DXH")</f>
        <v>0</v>
      </c>
      <c r="AL16" s="22">
        <f ca="1">+GETPIVOTDATA("XNT4",'nghiathanh (2016)'!$A$3,"MA_HT","NTS","MA_QH","DCH")</f>
        <v>0</v>
      </c>
      <c r="AM16" s="22">
        <f ca="1">+GETPIVOTDATA("XNT4",'nghiathanh (2016)'!$A$3,"MA_HT","NTS","MA_QH","DKG")</f>
        <v>0</v>
      </c>
      <c r="AN16" s="22">
        <f ca="1">+GETPIVOTDATA("XNT4",'nghiathanh (2016)'!$A$3,"MA_HT","NTS","MA_QH","DDT")</f>
        <v>0</v>
      </c>
      <c r="AO16" s="22">
        <f ca="1">+GETPIVOTDATA("XNT4",'nghiathanh (2016)'!$A$3,"MA_HT","NTS","MA_QH","DDL")</f>
        <v>0</v>
      </c>
      <c r="AP16" s="22">
        <f ca="1">+GETPIVOTDATA("XNT4",'nghiathanh (2016)'!$A$3,"MA_HT","NTS","MA_QH","DRA")</f>
        <v>0</v>
      </c>
      <c r="AQ16" s="22">
        <f ca="1">+GETPIVOTDATA("XNT4",'nghiathanh (2016)'!$A$3,"MA_HT","NTS","MA_QH","ONT")</f>
        <v>0</v>
      </c>
      <c r="AR16" s="22">
        <f ca="1">+GETPIVOTDATA("XNT4",'nghiathanh (2016)'!$A$3,"MA_HT","NTS","MA_QH","ODT")</f>
        <v>0</v>
      </c>
      <c r="AS16" s="22">
        <f ca="1">+GETPIVOTDATA("XNT4",'nghiathanh (2016)'!$A$3,"MA_HT","NTS","MA_QH","TSC")</f>
        <v>0</v>
      </c>
      <c r="AT16" s="22">
        <f ca="1">+GETPIVOTDATA("XNT4",'nghiathanh (2016)'!$A$3,"MA_HT","NTS","MA_QH","DTS")</f>
        <v>0</v>
      </c>
      <c r="AU16" s="22">
        <f ca="1">+GETPIVOTDATA("XNT4",'nghiathanh (2016)'!$A$3,"MA_HT","NTS","MA_QH","DNG")</f>
        <v>0</v>
      </c>
      <c r="AV16" s="22">
        <f ca="1">+GETPIVOTDATA("XNT4",'nghiathanh (2016)'!$A$3,"MA_HT","NTS","MA_QH","TON")</f>
        <v>0</v>
      </c>
      <c r="AW16" s="22">
        <f ca="1">+GETPIVOTDATA("XNT4",'nghiathanh (2016)'!$A$3,"MA_HT","NTS","MA_QH","NTD")</f>
        <v>0</v>
      </c>
      <c r="AX16" s="22">
        <f ca="1">+GETPIVOTDATA("XNT4",'nghiathanh (2016)'!$A$3,"MA_HT","NTS","MA_QH","SKX")</f>
        <v>0</v>
      </c>
      <c r="AY16" s="22">
        <f ca="1">+GETPIVOTDATA("XNT4",'nghiathanh (2016)'!$A$3,"MA_HT","NTS","MA_QH","DSH")</f>
        <v>0</v>
      </c>
      <c r="AZ16" s="22">
        <f ca="1">+GETPIVOTDATA("XNT4",'nghiathanh (2016)'!$A$3,"MA_HT","NTS","MA_QH","DKV")</f>
        <v>0</v>
      </c>
      <c r="BA16" s="89">
        <f ca="1">+GETPIVOTDATA("XNT4",'nghiathanh (2016)'!$A$3,"MA_HT","NTS","MA_QH","TIN")</f>
        <v>0</v>
      </c>
      <c r="BB16" s="50">
        <f ca="1">+GETPIVOTDATA("XNT4",'nghiathanh (2016)'!$A$3,"MA_HT","NTS","MA_QH","SON")</f>
        <v>0</v>
      </c>
      <c r="BC16" s="50">
        <f ca="1">+GETPIVOTDATA("XNT4",'nghiathanh (2016)'!$A$3,"MA_HT","NTS","MA_QH","MNC")</f>
        <v>0</v>
      </c>
      <c r="BD16" s="22">
        <f ca="1">+GETPIVOTDATA("XNT4",'nghiathanh (2016)'!$A$3,"MA_HT","NTS","MA_QH","PNK")</f>
        <v>0</v>
      </c>
      <c r="BE16" s="71">
        <f ca="1">+GETPIVOTDATA("XNT4",'nghiathanh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+GETPIVOTDATA("XNT4",'nghiathanh (2016)'!$A$3,"MA_HT","LMU","MA_QH","LUC")</f>
        <v>0</v>
      </c>
      <c r="H17" s="22">
        <f ca="1">+GETPIVOTDATA("XNT4",'nghiathanh (2016)'!$A$3,"MA_HT","LMU","MA_QH","LUK")</f>
        <v>0</v>
      </c>
      <c r="I17" s="22">
        <f ca="1">+GETPIVOTDATA("XNT4",'nghiathanh (2016)'!$A$3,"MA_HT","LMU","MA_QH","LUN")</f>
        <v>0</v>
      </c>
      <c r="J17" s="22">
        <f ca="1">+GETPIVOTDATA("XNT4",'nghiathanh (2016)'!$A$3,"MA_HT","LMU","MA_QH","HNK")</f>
        <v>0</v>
      </c>
      <c r="K17" s="22">
        <f ca="1">+GETPIVOTDATA("XNT4",'nghiathanh (2016)'!$A$3,"MA_HT","LMU","MA_QH","CLN")</f>
        <v>0</v>
      </c>
      <c r="L17" s="22">
        <f ca="1">+GETPIVOTDATA("XNT4",'nghiathanh (2016)'!$A$3,"MA_HT","LMU","MA_QH","RSX")</f>
        <v>0</v>
      </c>
      <c r="M17" s="22">
        <f ca="1">+GETPIVOTDATA("XNT4",'nghiathanh (2016)'!$A$3,"MA_HT","LMU","MA_QH","RPH")</f>
        <v>0</v>
      </c>
      <c r="N17" s="22">
        <f ca="1">+GETPIVOTDATA("XNT4",'nghiathanh (2016)'!$A$3,"MA_HT","LMU","MA_QH","RDD")</f>
        <v>0</v>
      </c>
      <c r="O17" s="22">
        <f ca="1">+GETPIVOTDATA("XNT4",'nghiathanh (2016)'!$A$3,"MA_HT","LMU","MA_QH","NTS")</f>
        <v>0</v>
      </c>
      <c r="P17" s="43" t="e">
        <f ca="1">$D17-$BF17</f>
        <v>#REF!</v>
      </c>
      <c r="Q17" s="22">
        <f ca="1">+GETPIVOTDATA("XNT4",'nghiathanh (2016)'!$A$3,"MA_HT","LMU","MA_QH","NKH")</f>
        <v>0</v>
      </c>
      <c r="R17" s="42">
        <f ca="1" t="shared" si="2"/>
        <v>0</v>
      </c>
      <c r="S17" s="22">
        <f ca="1">+GETPIVOTDATA("XNT4",'nghiathanh (2016)'!$A$3,"MA_HT","LMU","MA_QH","CQP")</f>
        <v>0</v>
      </c>
      <c r="T17" s="22">
        <f ca="1">+GETPIVOTDATA("XNT4",'nghiathanh (2016)'!$A$3,"MA_HT","LMU","MA_QH","CAN")</f>
        <v>0</v>
      </c>
      <c r="U17" s="22">
        <f ca="1">+GETPIVOTDATA("XNT4",'nghiathanh (2016)'!$A$3,"MA_HT","LMU","MA_QH","SKK")</f>
        <v>0</v>
      </c>
      <c r="V17" s="22">
        <f ca="1">+GETPIVOTDATA("XNT4",'nghiathanh (2016)'!$A$3,"MA_HT","LMU","MA_QH","SKT")</f>
        <v>0</v>
      </c>
      <c r="W17" s="22">
        <f ca="1">+GETPIVOTDATA("XNT4",'nghiathanh (2016)'!$A$3,"MA_HT","LMU","MA_QH","SKN")</f>
        <v>0</v>
      </c>
      <c r="X17" s="22">
        <f ca="1">+GETPIVOTDATA("XNT4",'nghiathanh (2016)'!$A$3,"MA_HT","LMU","MA_QH","TMD")</f>
        <v>0</v>
      </c>
      <c r="Y17" s="22">
        <f ca="1">+GETPIVOTDATA("XNT4",'nghiathanh (2016)'!$A$3,"MA_HT","LMU","MA_QH","SKC")</f>
        <v>0</v>
      </c>
      <c r="Z17" s="22">
        <f ca="1">+GETPIVOTDATA("XNT4",'nghiathanh (2016)'!$A$3,"MA_HT","LMU","MA_QH","SKS")</f>
        <v>0</v>
      </c>
      <c r="AA17" s="52">
        <f ca="1" t="shared" si="4"/>
        <v>0</v>
      </c>
      <c r="AB17" s="22">
        <f ca="1">+GETPIVOTDATA("XNT4",'nghiathanh (2016)'!$A$3,"MA_HT","LMU","MA_QH","DGT")</f>
        <v>0</v>
      </c>
      <c r="AC17" s="22">
        <f ca="1">+GETPIVOTDATA("XNT4",'nghiathanh (2016)'!$A$3,"MA_HT","LMU","MA_QH","DTL")</f>
        <v>0</v>
      </c>
      <c r="AD17" s="22">
        <f ca="1">+GETPIVOTDATA("XNT4",'nghiathanh (2016)'!$A$3,"MA_HT","LMU","MA_QH","DNL")</f>
        <v>0</v>
      </c>
      <c r="AE17" s="22">
        <f ca="1">+GETPIVOTDATA("XNT4",'nghiathanh (2016)'!$A$3,"MA_HT","LMU","MA_QH","DBV")</f>
        <v>0</v>
      </c>
      <c r="AF17" s="22">
        <f ca="1">+GETPIVOTDATA("XNT4",'nghiathanh (2016)'!$A$3,"MA_HT","LMU","MA_QH","DVH")</f>
        <v>0</v>
      </c>
      <c r="AG17" s="22">
        <f ca="1">+GETPIVOTDATA("XNT4",'nghiathanh (2016)'!$A$3,"MA_HT","LMU","MA_QH","DYT")</f>
        <v>0</v>
      </c>
      <c r="AH17" s="22">
        <f ca="1">+GETPIVOTDATA("XNT4",'nghiathanh (2016)'!$A$3,"MA_HT","LMU","MA_QH","DGD")</f>
        <v>0</v>
      </c>
      <c r="AI17" s="22">
        <f ca="1">+GETPIVOTDATA("XNT4",'nghiathanh (2016)'!$A$3,"MA_HT","LMU","MA_QH","DTT")</f>
        <v>0</v>
      </c>
      <c r="AJ17" s="22">
        <f ca="1">+GETPIVOTDATA("XNT4",'nghiathanh (2016)'!$A$3,"MA_HT","LMU","MA_QH","NCK")</f>
        <v>0</v>
      </c>
      <c r="AK17" s="22">
        <f ca="1">+GETPIVOTDATA("XNT4",'nghiathanh (2016)'!$A$3,"MA_HT","LMU","MA_QH","DXH")</f>
        <v>0</v>
      </c>
      <c r="AL17" s="22">
        <f ca="1">+GETPIVOTDATA("XNT4",'nghiathanh (2016)'!$A$3,"MA_HT","LMU","MA_QH","DCH")</f>
        <v>0</v>
      </c>
      <c r="AM17" s="22">
        <f ca="1">+GETPIVOTDATA("XNT4",'nghiathanh (2016)'!$A$3,"MA_HT","LMU","MA_QH","DKG")</f>
        <v>0</v>
      </c>
      <c r="AN17" s="22">
        <f ca="1">+GETPIVOTDATA("XNT4",'nghiathanh (2016)'!$A$3,"MA_HT","LMU","MA_QH","DDT")</f>
        <v>0</v>
      </c>
      <c r="AO17" s="22">
        <f ca="1">+GETPIVOTDATA("XNT4",'nghiathanh (2016)'!$A$3,"MA_HT","LMU","MA_QH","DDL")</f>
        <v>0</v>
      </c>
      <c r="AP17" s="22">
        <f ca="1">+GETPIVOTDATA("XNT4",'nghiathanh (2016)'!$A$3,"MA_HT","LMU","MA_QH","DRA")</f>
        <v>0</v>
      </c>
      <c r="AQ17" s="22">
        <f ca="1">+GETPIVOTDATA("XNT4",'nghiathanh (2016)'!$A$3,"MA_HT","LMU","MA_QH","ONT")</f>
        <v>0</v>
      </c>
      <c r="AR17" s="22">
        <f ca="1">+GETPIVOTDATA("XNT4",'nghiathanh (2016)'!$A$3,"MA_HT","LMU","MA_QH","ODT")</f>
        <v>0</v>
      </c>
      <c r="AS17" s="22">
        <f ca="1">+GETPIVOTDATA("XNT4",'nghiathanh (2016)'!$A$3,"MA_HT","LMU","MA_QH","TSC")</f>
        <v>0</v>
      </c>
      <c r="AT17" s="22">
        <f ca="1">+GETPIVOTDATA("XNT4",'nghiathanh (2016)'!$A$3,"MA_HT","LMU","MA_QH","DTS")</f>
        <v>0</v>
      </c>
      <c r="AU17" s="22">
        <f ca="1">+GETPIVOTDATA("XNT4",'nghiathanh (2016)'!$A$3,"MA_HT","LMU","MA_QH","DNG")</f>
        <v>0</v>
      </c>
      <c r="AV17" s="22">
        <f ca="1">+GETPIVOTDATA("XNT4",'nghiathanh (2016)'!$A$3,"MA_HT","LMU","MA_QH","TON")</f>
        <v>0</v>
      </c>
      <c r="AW17" s="22">
        <f ca="1">+GETPIVOTDATA("XNT4",'nghiathanh (2016)'!$A$3,"MA_HT","LMU","MA_QH","NTD")</f>
        <v>0</v>
      </c>
      <c r="AX17" s="22">
        <f ca="1">+GETPIVOTDATA("XNT4",'nghiathanh (2016)'!$A$3,"MA_HT","LMU","MA_QH","SKX")</f>
        <v>0</v>
      </c>
      <c r="AY17" s="22">
        <f ca="1">+GETPIVOTDATA("XNT4",'nghiathanh (2016)'!$A$3,"MA_HT","LMU","MA_QH","DSH")</f>
        <v>0</v>
      </c>
      <c r="AZ17" s="22">
        <f ca="1">+GETPIVOTDATA("XNT4",'nghiathanh (2016)'!$A$3,"MA_HT","LMU","MA_QH","DKV")</f>
        <v>0</v>
      </c>
      <c r="BA17" s="89">
        <f ca="1">+GETPIVOTDATA("XNT4",'nghiathanh (2016)'!$A$3,"MA_HT","LMU","MA_QH","TIN")</f>
        <v>0</v>
      </c>
      <c r="BB17" s="50">
        <f ca="1">+GETPIVOTDATA("XNT4",'nghiathanh (2016)'!$A$3,"MA_HT","LMU","MA_QH","SON")</f>
        <v>0</v>
      </c>
      <c r="BC17" s="50">
        <f ca="1">+GETPIVOTDATA("XNT4",'nghiathanh (2016)'!$A$3,"MA_HT","LMU","MA_QH","MNC")</f>
        <v>0</v>
      </c>
      <c r="BD17" s="22">
        <f ca="1">+GETPIVOTDATA("XNT4",'nghiathanh (2016)'!$A$3,"MA_HT","LMU","MA_QH","PNK")</f>
        <v>0</v>
      </c>
      <c r="BE17" s="71">
        <f ca="1">+GETPIVOTDATA("XNT4",'nghiathanh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+GETPIVOTDATA("XNT4",'nghiathanh (2016)'!$A$3,"MA_HT","NKH","MA_QH","LUC")</f>
        <v>0</v>
      </c>
      <c r="H18" s="22">
        <f ca="1">+GETPIVOTDATA("XNT4",'nghiathanh (2016)'!$A$3,"MA_HT","NKH","MA_QH","LUK")</f>
        <v>0</v>
      </c>
      <c r="I18" s="22">
        <f ca="1">+GETPIVOTDATA("XNT4",'nghiathanh (2016)'!$A$3,"MA_HT","NKH","MA_QH","LUN")</f>
        <v>0</v>
      </c>
      <c r="J18" s="22">
        <f ca="1">+GETPIVOTDATA("XNT4",'nghiathanh (2016)'!$A$3,"MA_HT","NKH","MA_QH","HNK")</f>
        <v>0</v>
      </c>
      <c r="K18" s="22">
        <f ca="1">+GETPIVOTDATA("XNT4",'nghiathanh (2016)'!$A$3,"MA_HT","NKH","MA_QH","CLN")</f>
        <v>0</v>
      </c>
      <c r="L18" s="22">
        <f ca="1">+GETPIVOTDATA("XNT4",'nghiathanh (2016)'!$A$3,"MA_HT","NKH","MA_QH","RSX")</f>
        <v>0</v>
      </c>
      <c r="M18" s="22">
        <f ca="1">+GETPIVOTDATA("XNT4",'nghiathanh (2016)'!$A$3,"MA_HT","NKH","MA_QH","RPH")</f>
        <v>0</v>
      </c>
      <c r="N18" s="22">
        <f ca="1">+GETPIVOTDATA("XNT4",'nghiathanh (2016)'!$A$3,"MA_HT","NKH","MA_QH","RDD")</f>
        <v>0</v>
      </c>
      <c r="O18" s="22">
        <f ca="1">+GETPIVOTDATA("XNT4",'nghiathanh (2016)'!$A$3,"MA_HT","NKH","MA_QH","NTS")</f>
        <v>0</v>
      </c>
      <c r="P18" s="22">
        <f ca="1">+GETPIVOTDATA("XNT4",'nghiathanh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+GETPIVOTDATA("XNT4",'nghiathanh (2016)'!$A$3,"MA_HT","NKH","MA_QH","CQP")</f>
        <v>0</v>
      </c>
      <c r="T18" s="22">
        <f ca="1">+GETPIVOTDATA("XNT4",'nghiathanh (2016)'!$A$3,"MA_HT","NKH","MA_QH","CAN")</f>
        <v>0</v>
      </c>
      <c r="U18" s="22">
        <f ca="1">+GETPIVOTDATA("XNT4",'nghiathanh (2016)'!$A$3,"MA_HT","NKH","MA_QH","SKK")</f>
        <v>0</v>
      </c>
      <c r="V18" s="22">
        <f ca="1">+GETPIVOTDATA("XNT4",'nghiathanh (2016)'!$A$3,"MA_HT","NKH","MA_QH","SKT")</f>
        <v>0</v>
      </c>
      <c r="W18" s="22">
        <f ca="1">+GETPIVOTDATA("XNT4",'nghiathanh (2016)'!$A$3,"MA_HT","NKH","MA_QH","SKN")</f>
        <v>0</v>
      </c>
      <c r="X18" s="22">
        <f ca="1">+GETPIVOTDATA("XNT4",'nghiathanh (2016)'!$A$3,"MA_HT","NKH","MA_QH","TMD")</f>
        <v>0</v>
      </c>
      <c r="Y18" s="22">
        <f ca="1">+GETPIVOTDATA("XNT4",'nghiathanh (2016)'!$A$3,"MA_HT","NKH","MA_QH","SKC")</f>
        <v>0</v>
      </c>
      <c r="Z18" s="22">
        <f ca="1">+GETPIVOTDATA("XNT4",'nghiathanh (2016)'!$A$3,"MA_HT","NKH","MA_QH","SKS")</f>
        <v>0</v>
      </c>
      <c r="AA18" s="52">
        <f ca="1" t="shared" si="4"/>
        <v>0</v>
      </c>
      <c r="AB18" s="22">
        <f ca="1">+GETPIVOTDATA("XNT4",'nghiathanh (2016)'!$A$3,"MA_HT","NKH","MA_QH","DGT")</f>
        <v>0</v>
      </c>
      <c r="AC18" s="22">
        <f ca="1">+GETPIVOTDATA("XNT4",'nghiathanh (2016)'!$A$3,"MA_HT","NKH","MA_QH","DTL")</f>
        <v>0</v>
      </c>
      <c r="AD18" s="22">
        <f ca="1">+GETPIVOTDATA("XNT4",'nghiathanh (2016)'!$A$3,"MA_HT","NKH","MA_QH","DNL")</f>
        <v>0</v>
      </c>
      <c r="AE18" s="22">
        <f ca="1">+GETPIVOTDATA("XNT4",'nghiathanh (2016)'!$A$3,"MA_HT","NKH","MA_QH","DBV")</f>
        <v>0</v>
      </c>
      <c r="AF18" s="22">
        <f ca="1">+GETPIVOTDATA("XNT4",'nghiathanh (2016)'!$A$3,"MA_HT","NKH","MA_QH","DVH")</f>
        <v>0</v>
      </c>
      <c r="AG18" s="22">
        <f ca="1">+GETPIVOTDATA("XNT4",'nghiathanh (2016)'!$A$3,"MA_HT","NKH","MA_QH","DYT")</f>
        <v>0</v>
      </c>
      <c r="AH18" s="22">
        <f ca="1">+GETPIVOTDATA("XNT4",'nghiathanh (2016)'!$A$3,"MA_HT","NKH","MA_QH","DGD")</f>
        <v>0</v>
      </c>
      <c r="AI18" s="22">
        <f ca="1">+GETPIVOTDATA("XNT4",'nghiathanh (2016)'!$A$3,"MA_HT","NKH","MA_QH","DTT")</f>
        <v>0</v>
      </c>
      <c r="AJ18" s="22">
        <f ca="1">+GETPIVOTDATA("XNT4",'nghiathanh (2016)'!$A$3,"MA_HT","NKH","MA_QH","NCK")</f>
        <v>0</v>
      </c>
      <c r="AK18" s="22">
        <f ca="1">+GETPIVOTDATA("XNT4",'nghiathanh (2016)'!$A$3,"MA_HT","NKH","MA_QH","DXH")</f>
        <v>0</v>
      </c>
      <c r="AL18" s="22">
        <f ca="1">+GETPIVOTDATA("XNT4",'nghiathanh (2016)'!$A$3,"MA_HT","NKH","MA_QH","DCH")</f>
        <v>0</v>
      </c>
      <c r="AM18" s="22">
        <f ca="1">+GETPIVOTDATA("XNT4",'nghiathanh (2016)'!$A$3,"MA_HT","NKH","MA_QH","DKG")</f>
        <v>0</v>
      </c>
      <c r="AN18" s="22">
        <f ca="1">+GETPIVOTDATA("XNT4",'nghiathanh (2016)'!$A$3,"MA_HT","NKH","MA_QH","DDT")</f>
        <v>0</v>
      </c>
      <c r="AO18" s="22">
        <f ca="1">+GETPIVOTDATA("XNT4",'nghiathanh (2016)'!$A$3,"MA_HT","NKH","MA_QH","DDL")</f>
        <v>0</v>
      </c>
      <c r="AP18" s="22">
        <f ca="1">+GETPIVOTDATA("XNT4",'nghiathanh (2016)'!$A$3,"MA_HT","NKH","MA_QH","DRA")</f>
        <v>0</v>
      </c>
      <c r="AQ18" s="22">
        <f ca="1">+GETPIVOTDATA("XNT4",'nghiathanh (2016)'!$A$3,"MA_HT","NKH","MA_QH","ONT")</f>
        <v>0</v>
      </c>
      <c r="AR18" s="22">
        <f ca="1">+GETPIVOTDATA("XNT4",'nghiathanh (2016)'!$A$3,"MA_HT","NKH","MA_QH","ODT")</f>
        <v>0</v>
      </c>
      <c r="AS18" s="22">
        <f ca="1">+GETPIVOTDATA("XNT4",'nghiathanh (2016)'!$A$3,"MA_HT","NKH","MA_QH","TSC")</f>
        <v>0</v>
      </c>
      <c r="AT18" s="22">
        <f ca="1">+GETPIVOTDATA("XNT4",'nghiathanh (2016)'!$A$3,"MA_HT","NKH","MA_QH","DTS")</f>
        <v>0</v>
      </c>
      <c r="AU18" s="22">
        <f ca="1">+GETPIVOTDATA("XNT4",'nghiathanh (2016)'!$A$3,"MA_HT","NKH","MA_QH","DNG")</f>
        <v>0</v>
      </c>
      <c r="AV18" s="22">
        <f ca="1">+GETPIVOTDATA("XNT4",'nghiathanh (2016)'!$A$3,"MA_HT","NKH","MA_QH","TON")</f>
        <v>0</v>
      </c>
      <c r="AW18" s="22">
        <f ca="1">+GETPIVOTDATA("XNT4",'nghiathanh (2016)'!$A$3,"MA_HT","NKH","MA_QH","NTD")</f>
        <v>0</v>
      </c>
      <c r="AX18" s="22">
        <f ca="1">+GETPIVOTDATA("XNT4",'nghiathanh (2016)'!$A$3,"MA_HT","NKH","MA_QH","SKX")</f>
        <v>0</v>
      </c>
      <c r="AY18" s="22">
        <f ca="1">+GETPIVOTDATA("XNT4",'nghiathanh (2016)'!$A$3,"MA_HT","NKH","MA_QH","DSH")</f>
        <v>0</v>
      </c>
      <c r="AZ18" s="22">
        <f ca="1">+GETPIVOTDATA("XNT4",'nghiathanh (2016)'!$A$3,"MA_HT","NKH","MA_QH","DKV")</f>
        <v>0</v>
      </c>
      <c r="BA18" s="89">
        <f ca="1">+GETPIVOTDATA("XNT4",'nghiathanh (2016)'!$A$3,"MA_HT","NKH","MA_QH","TIN")</f>
        <v>0</v>
      </c>
      <c r="BB18" s="50">
        <f ca="1">+GETPIVOTDATA("XNT4",'nghiathanh (2016)'!$A$3,"MA_HT","NKH","MA_QH","SON")</f>
        <v>0</v>
      </c>
      <c r="BC18" s="50">
        <f ca="1">+GETPIVOTDATA("XNT4",'nghiathanh (2016)'!$A$3,"MA_HT","NKH","MA_QH","MNC")</f>
        <v>0</v>
      </c>
      <c r="BD18" s="22">
        <f ca="1">+GETPIVOTDATA("XNT4",'nghiathanh (2016)'!$A$3,"MA_HT","NKH","MA_QH","PNK")</f>
        <v>0</v>
      </c>
      <c r="BE18" s="71">
        <f ca="1">+GETPIVOTDATA("XNT4",'nghiathanh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+GETPIVOTDATA("XNT4",'nghiathanh (2016)'!$A$3,"MA_HT","CQP","MA_QH","LUC")</f>
        <v>0</v>
      </c>
      <c r="H20" s="22">
        <f ca="1">+GETPIVOTDATA("XNT4",'nghiathanh (2016)'!$A$3,"MA_HT","CQP","MA_QH","LUK")</f>
        <v>0</v>
      </c>
      <c r="I20" s="22">
        <f ca="1">+GETPIVOTDATA("XNT4",'nghiathanh (2016)'!$A$3,"MA_HT","CQP","MA_QH","LUN")</f>
        <v>0</v>
      </c>
      <c r="J20" s="22">
        <f ca="1">+GETPIVOTDATA("XNT4",'nghiathanh (2016)'!$A$3,"MA_HT","CQP","MA_QH","HNK")</f>
        <v>0</v>
      </c>
      <c r="K20" s="22">
        <f ca="1">+GETPIVOTDATA("XNT4",'nghiathanh (2016)'!$A$3,"MA_HT","CQP","MA_QH","CLN")</f>
        <v>0</v>
      </c>
      <c r="L20" s="22">
        <f ca="1">+GETPIVOTDATA("XNT4",'nghiathanh (2016)'!$A$3,"MA_HT","CQP","MA_QH","RSX")</f>
        <v>0</v>
      </c>
      <c r="M20" s="22">
        <f ca="1">+GETPIVOTDATA("XNT4",'nghiathanh (2016)'!$A$3,"MA_HT","CQP","MA_QH","RPH")</f>
        <v>0</v>
      </c>
      <c r="N20" s="22">
        <f ca="1">+GETPIVOTDATA("XNT4",'nghiathanh (2016)'!$A$3,"MA_HT","CQP","MA_QH","RDD")</f>
        <v>0</v>
      </c>
      <c r="O20" s="22">
        <f ca="1">+GETPIVOTDATA("XNT4",'nghiathanh (2016)'!$A$3,"MA_HT","CQP","MA_QH","NTS")</f>
        <v>0</v>
      </c>
      <c r="P20" s="22">
        <f ca="1">+GETPIVOTDATA("XNT4",'nghiathanh (2016)'!$A$3,"MA_HT","CQP","MA_QH","LMU")</f>
        <v>0</v>
      </c>
      <c r="Q20" s="22">
        <f ca="1">+GETPIVOTDATA("XNT4",'nghiathanh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+GETPIVOTDATA("XNT4",'nghiathanh (2016)'!$A$3,"MA_HT","CQP","MA_QH","CAN")</f>
        <v>0</v>
      </c>
      <c r="U20" s="22">
        <f ca="1">+GETPIVOTDATA("XNT4",'nghiathanh (2016)'!$A$3,"MA_HT","CQP","MA_QH","SKK")</f>
        <v>0</v>
      </c>
      <c r="V20" s="22">
        <f ca="1">+GETPIVOTDATA("XNT4",'nghiathanh (2016)'!$A$3,"MA_HT","CQP","MA_QH","SKT")</f>
        <v>0</v>
      </c>
      <c r="W20" s="22">
        <f ca="1">+GETPIVOTDATA("XNT4",'nghiathanh (2016)'!$A$3,"MA_HT","CQP","MA_QH","SKN")</f>
        <v>0</v>
      </c>
      <c r="X20" s="22">
        <f ca="1">+GETPIVOTDATA("XNT4",'nghiathanh (2016)'!$A$3,"MA_HT","CQP","MA_QH","TMD")</f>
        <v>0</v>
      </c>
      <c r="Y20" s="22">
        <f ca="1">+GETPIVOTDATA("XNT4",'nghiathanh (2016)'!$A$3,"MA_HT","CQP","MA_QH","SKC")</f>
        <v>0</v>
      </c>
      <c r="Z20" s="22">
        <f ca="1">+GETPIVOTDATA("XNT4",'nghiathanh (2016)'!$A$3,"MA_HT","CQP","MA_QH","SKS")</f>
        <v>0</v>
      </c>
      <c r="AA20" s="52">
        <f ca="1" t="shared" ref="AA20:AA27" si="12">+SUM(AB20:AM20)</f>
        <v>0</v>
      </c>
      <c r="AB20" s="22">
        <f ca="1">+GETPIVOTDATA("XNT4",'nghiathanh (2016)'!$A$3,"MA_HT","CQP","MA_QH","DGT")</f>
        <v>0</v>
      </c>
      <c r="AC20" s="22">
        <f ca="1">+GETPIVOTDATA("XNT4",'nghiathanh (2016)'!$A$3,"MA_HT","CQP","MA_QH","DTL")</f>
        <v>0</v>
      </c>
      <c r="AD20" s="22">
        <f ca="1">+GETPIVOTDATA("XNT4",'nghiathanh (2016)'!$A$3,"MA_HT","CQP","MA_QH","DNL")</f>
        <v>0</v>
      </c>
      <c r="AE20" s="22">
        <f ca="1">+GETPIVOTDATA("XNT4",'nghiathanh (2016)'!$A$3,"MA_HT","CQP","MA_QH","DBV")</f>
        <v>0</v>
      </c>
      <c r="AF20" s="22">
        <f ca="1">+GETPIVOTDATA("XNT4",'nghiathanh (2016)'!$A$3,"MA_HT","CQP","MA_QH","DVH")</f>
        <v>0</v>
      </c>
      <c r="AG20" s="22">
        <f ca="1">+GETPIVOTDATA("XNT4",'nghiathanh (2016)'!$A$3,"MA_HT","CQP","MA_QH","DYT")</f>
        <v>0</v>
      </c>
      <c r="AH20" s="22">
        <f ca="1">+GETPIVOTDATA("XNT4",'nghiathanh (2016)'!$A$3,"MA_HT","CQP","MA_QH","DGD")</f>
        <v>0</v>
      </c>
      <c r="AI20" s="22">
        <f ca="1">+GETPIVOTDATA("XNT4",'nghiathanh (2016)'!$A$3,"MA_HT","CQP","MA_QH","DTT")</f>
        <v>0</v>
      </c>
      <c r="AJ20" s="22">
        <f ca="1">+GETPIVOTDATA("XNT4",'nghiathanh (2016)'!$A$3,"MA_HT","CQP","MA_QH","NCK")</f>
        <v>0</v>
      </c>
      <c r="AK20" s="22">
        <f ca="1">+GETPIVOTDATA("XNT4",'nghiathanh (2016)'!$A$3,"MA_HT","CQP","MA_QH","DXH")</f>
        <v>0</v>
      </c>
      <c r="AL20" s="22">
        <f ca="1">+GETPIVOTDATA("XNT4",'nghiathanh (2016)'!$A$3,"MA_HT","CQP","MA_QH","DCH")</f>
        <v>0</v>
      </c>
      <c r="AM20" s="22">
        <f ca="1">+GETPIVOTDATA("XNT4",'nghiathanh (2016)'!$A$3,"MA_HT","CQP","MA_QH","DKG")</f>
        <v>0</v>
      </c>
      <c r="AN20" s="22">
        <f ca="1">+GETPIVOTDATA("XNT4",'nghiathanh (2016)'!$A$3,"MA_HT","CQP","MA_QH","DDT")</f>
        <v>0</v>
      </c>
      <c r="AO20" s="22">
        <f ca="1">+GETPIVOTDATA("XNT4",'nghiathanh (2016)'!$A$3,"MA_HT","CQP","MA_QH","DDL")</f>
        <v>0</v>
      </c>
      <c r="AP20" s="22">
        <f ca="1">+GETPIVOTDATA("XNT4",'nghiathanh (2016)'!$A$3,"MA_HT","CQP","MA_QH","DRA")</f>
        <v>0</v>
      </c>
      <c r="AQ20" s="22">
        <f ca="1">+GETPIVOTDATA("XNT4",'nghiathanh (2016)'!$A$3,"MA_HT","CQP","MA_QH","ONT")</f>
        <v>0</v>
      </c>
      <c r="AR20" s="22">
        <f ca="1">+GETPIVOTDATA("XNT4",'nghiathanh (2016)'!$A$3,"MA_HT","CQP","MA_QH","ODT")</f>
        <v>0</v>
      </c>
      <c r="AS20" s="22">
        <f ca="1">+GETPIVOTDATA("XNT4",'nghiathanh (2016)'!$A$3,"MA_HT","CQP","MA_QH","TSC")</f>
        <v>0</v>
      </c>
      <c r="AT20" s="22">
        <f ca="1">+GETPIVOTDATA("XNT4",'nghiathanh (2016)'!$A$3,"MA_HT","CQP","MA_QH","DTS")</f>
        <v>0</v>
      </c>
      <c r="AU20" s="22">
        <f ca="1">+GETPIVOTDATA("XNT4",'nghiathanh (2016)'!$A$3,"MA_HT","CQP","MA_QH","DNG")</f>
        <v>0</v>
      </c>
      <c r="AV20" s="22">
        <f ca="1">+GETPIVOTDATA("XNT4",'nghiathanh (2016)'!$A$3,"MA_HT","CQP","MA_QH","TON")</f>
        <v>0</v>
      </c>
      <c r="AW20" s="22">
        <f ca="1">+GETPIVOTDATA("XNT4",'nghiathanh (2016)'!$A$3,"MA_HT","CQP","MA_QH","NTD")</f>
        <v>0</v>
      </c>
      <c r="AX20" s="22">
        <f ca="1">+GETPIVOTDATA("XNT4",'nghiathanh (2016)'!$A$3,"MA_HT","CQP","MA_QH","SKX")</f>
        <v>0</v>
      </c>
      <c r="AY20" s="22">
        <f ca="1">+GETPIVOTDATA("XNT4",'nghiathanh (2016)'!$A$3,"MA_HT","CQP","MA_QH","DSH")</f>
        <v>0</v>
      </c>
      <c r="AZ20" s="22">
        <f ca="1">+GETPIVOTDATA("XNT4",'nghiathanh (2016)'!$A$3,"MA_HT","CQP","MA_QH","DKV")</f>
        <v>0</v>
      </c>
      <c r="BA20" s="89">
        <f ca="1">+GETPIVOTDATA("XNT4",'nghiathanh (2016)'!$A$3,"MA_HT","CQP","MA_QH","TIN")</f>
        <v>0</v>
      </c>
      <c r="BB20" s="50">
        <f ca="1">+GETPIVOTDATA("XNT4",'nghiathanh (2016)'!$A$3,"MA_HT","CQP","MA_QH","SON")</f>
        <v>0</v>
      </c>
      <c r="BC20" s="50">
        <f ca="1">+GETPIVOTDATA("XNT4",'nghiathanh (2016)'!$A$3,"MA_HT","CQP","MA_QH","MNC")</f>
        <v>0</v>
      </c>
      <c r="BD20" s="22">
        <f ca="1">+GETPIVOTDATA("XNT4",'nghiathanh (2016)'!$A$3,"MA_HT","CQP","MA_QH","PNK")</f>
        <v>0</v>
      </c>
      <c r="BE20" s="71">
        <f ca="1">+GETPIVOTDATA("XNT4",'nghiathanh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+GETPIVOTDATA("XNT4",'nghiathanh (2016)'!$A$3,"MA_HT","CAN","MA_QH","LUC")</f>
        <v>0</v>
      </c>
      <c r="H21" s="22">
        <f ca="1">+GETPIVOTDATA("XNT4",'nghiathanh (2016)'!$A$3,"MA_HT","CAN","MA_QH","LUK")</f>
        <v>0</v>
      </c>
      <c r="I21" s="22">
        <f ca="1">+GETPIVOTDATA("XNT4",'nghiathanh (2016)'!$A$3,"MA_HT","CAN","MA_QH","LUN")</f>
        <v>0</v>
      </c>
      <c r="J21" s="22">
        <f ca="1">+GETPIVOTDATA("XNT4",'nghiathanh (2016)'!$A$3,"MA_HT","CAN","MA_QH","HNK")</f>
        <v>0</v>
      </c>
      <c r="K21" s="22">
        <f ca="1">+GETPIVOTDATA("XNT4",'nghiathanh (2016)'!$A$3,"MA_HT","CAN","MA_QH","CLN")</f>
        <v>0</v>
      </c>
      <c r="L21" s="22">
        <f ca="1">+GETPIVOTDATA("XNT4",'nghiathanh (2016)'!$A$3,"MA_HT","CAN","MA_QH","RSX")</f>
        <v>0</v>
      </c>
      <c r="M21" s="22">
        <f ca="1">+GETPIVOTDATA("XNT4",'nghiathanh (2016)'!$A$3,"MA_HT","CAN","MA_QH","RPH")</f>
        <v>0</v>
      </c>
      <c r="N21" s="22">
        <f ca="1">+GETPIVOTDATA("XNT4",'nghiathanh (2016)'!$A$3,"MA_HT","CAN","MA_QH","RDD")</f>
        <v>0</v>
      </c>
      <c r="O21" s="22">
        <f ca="1">+GETPIVOTDATA("XNT4",'nghiathanh (2016)'!$A$3,"MA_HT","CAN","MA_QH","NTS")</f>
        <v>0</v>
      </c>
      <c r="P21" s="22">
        <f ca="1">+GETPIVOTDATA("XNT4",'nghiathanh (2016)'!$A$3,"MA_HT","CAN","MA_QH","LMU")</f>
        <v>0</v>
      </c>
      <c r="Q21" s="22">
        <f ca="1">+GETPIVOTDATA("XNT4",'nghiathanh (2016)'!$A$3,"MA_HT","CAN","MA_QH","NKH")</f>
        <v>0</v>
      </c>
      <c r="R21" s="42">
        <f ca="1">SUM(S21,U21:AA21,AN21:BD21)</f>
        <v>0</v>
      </c>
      <c r="S21" s="22">
        <f ca="1">+GETPIVOTDATA("XNT4",'nghiathanh (2016)'!$A$3,"MA_HT","CAN","MA_QH","CQP")</f>
        <v>0</v>
      </c>
      <c r="T21" s="43" t="e">
        <f ca="1">$D21-$BF21</f>
        <v>#REF!</v>
      </c>
      <c r="U21" s="22">
        <f ca="1">+GETPIVOTDATA("XNT4",'nghiathanh (2016)'!$A$3,"MA_HT","CAN","MA_QH","SKK")</f>
        <v>0</v>
      </c>
      <c r="V21" s="22">
        <f ca="1">+GETPIVOTDATA("XNT4",'nghiathanh (2016)'!$A$3,"MA_HT","CAN","MA_QH","SKT")</f>
        <v>0</v>
      </c>
      <c r="W21" s="22">
        <f ca="1">+GETPIVOTDATA("XNT4",'nghiathanh (2016)'!$A$3,"MA_HT","CAN","MA_QH","SKN")</f>
        <v>0</v>
      </c>
      <c r="X21" s="22">
        <f ca="1">+GETPIVOTDATA("XNT4",'nghiathanh (2016)'!$A$3,"MA_HT","CAN","MA_QH","TMD")</f>
        <v>0</v>
      </c>
      <c r="Y21" s="22">
        <f ca="1">+GETPIVOTDATA("XNT4",'nghiathanh (2016)'!$A$3,"MA_HT","CAN","MA_QH","SKC")</f>
        <v>0</v>
      </c>
      <c r="Z21" s="22">
        <f ca="1">+GETPIVOTDATA("XNT4",'nghiathanh (2016)'!$A$3,"MA_HT","CAN","MA_QH","SKS")</f>
        <v>0</v>
      </c>
      <c r="AA21" s="52">
        <f ca="1" t="shared" si="12"/>
        <v>0</v>
      </c>
      <c r="AB21" s="22">
        <f ca="1">+GETPIVOTDATA("XNT4",'nghiathanh (2016)'!$A$3,"MA_HT","CAN","MA_QH","DGT")</f>
        <v>0</v>
      </c>
      <c r="AC21" s="22">
        <f ca="1">+GETPIVOTDATA("XNT4",'nghiathanh (2016)'!$A$3,"MA_HT","CAN","MA_QH","DTL")</f>
        <v>0</v>
      </c>
      <c r="AD21" s="22">
        <f ca="1">+GETPIVOTDATA("XNT4",'nghiathanh (2016)'!$A$3,"MA_HT","CAN","MA_QH","DNL")</f>
        <v>0</v>
      </c>
      <c r="AE21" s="22">
        <f ca="1">+GETPIVOTDATA("XNT4",'nghiathanh (2016)'!$A$3,"MA_HT","CAN","MA_QH","DBV")</f>
        <v>0</v>
      </c>
      <c r="AF21" s="22">
        <f ca="1">+GETPIVOTDATA("XNT4",'nghiathanh (2016)'!$A$3,"MA_HT","CAN","MA_QH","DVH")</f>
        <v>0</v>
      </c>
      <c r="AG21" s="22">
        <f ca="1">+GETPIVOTDATA("XNT4",'nghiathanh (2016)'!$A$3,"MA_HT","CAN","MA_QH","DYT")</f>
        <v>0</v>
      </c>
      <c r="AH21" s="22">
        <f ca="1">+GETPIVOTDATA("XNT4",'nghiathanh (2016)'!$A$3,"MA_HT","CAN","MA_QH","DGD")</f>
        <v>0</v>
      </c>
      <c r="AI21" s="22">
        <f ca="1">+GETPIVOTDATA("XNT4",'nghiathanh (2016)'!$A$3,"MA_HT","CAN","MA_QH","DTT")</f>
        <v>0</v>
      </c>
      <c r="AJ21" s="22">
        <f ca="1">+GETPIVOTDATA("XNT4",'nghiathanh (2016)'!$A$3,"MA_HT","CAN","MA_QH","NCK")</f>
        <v>0</v>
      </c>
      <c r="AK21" s="22">
        <f ca="1">+GETPIVOTDATA("XNT4",'nghiathanh (2016)'!$A$3,"MA_HT","CAN","MA_QH","DXH")</f>
        <v>0</v>
      </c>
      <c r="AL21" s="22">
        <f ca="1">+GETPIVOTDATA("XNT4",'nghiathanh (2016)'!$A$3,"MA_HT","CAN","MA_QH","DCH")</f>
        <v>0</v>
      </c>
      <c r="AM21" s="22">
        <f ca="1">+GETPIVOTDATA("XNT4",'nghiathanh (2016)'!$A$3,"MA_HT","CAN","MA_QH","DKG")</f>
        <v>0</v>
      </c>
      <c r="AN21" s="22">
        <f ca="1">+GETPIVOTDATA("XNT4",'nghiathanh (2016)'!$A$3,"MA_HT","CAN","MA_QH","DDT")</f>
        <v>0</v>
      </c>
      <c r="AO21" s="22">
        <f ca="1">+GETPIVOTDATA("XNT4",'nghiathanh (2016)'!$A$3,"MA_HT","CAN","MA_QH","DDL")</f>
        <v>0</v>
      </c>
      <c r="AP21" s="22">
        <f ca="1">+GETPIVOTDATA("XNT4",'nghiathanh (2016)'!$A$3,"MA_HT","CAN","MA_QH","DRA")</f>
        <v>0</v>
      </c>
      <c r="AQ21" s="22">
        <f ca="1">+GETPIVOTDATA("XNT4",'nghiathanh (2016)'!$A$3,"MA_HT","CAN","MA_QH","ONT")</f>
        <v>0</v>
      </c>
      <c r="AR21" s="22">
        <f ca="1">+GETPIVOTDATA("XNT4",'nghiathanh (2016)'!$A$3,"MA_HT","CAN","MA_QH","ODT")</f>
        <v>0</v>
      </c>
      <c r="AS21" s="22">
        <f ca="1">+GETPIVOTDATA("XNT4",'nghiathanh (2016)'!$A$3,"MA_HT","CAN","MA_QH","TSC")</f>
        <v>0</v>
      </c>
      <c r="AT21" s="22">
        <f ca="1">+GETPIVOTDATA("XNT4",'nghiathanh (2016)'!$A$3,"MA_HT","CAN","MA_QH","DTS")</f>
        <v>0</v>
      </c>
      <c r="AU21" s="22">
        <f ca="1">+GETPIVOTDATA("XNT4",'nghiathanh (2016)'!$A$3,"MA_HT","CAN","MA_QH","DNG")</f>
        <v>0</v>
      </c>
      <c r="AV21" s="22">
        <f ca="1">+GETPIVOTDATA("XNT4",'nghiathanh (2016)'!$A$3,"MA_HT","CAN","MA_QH","TON")</f>
        <v>0</v>
      </c>
      <c r="AW21" s="22">
        <f ca="1">+GETPIVOTDATA("XNT4",'nghiathanh (2016)'!$A$3,"MA_HT","CAN","MA_QH","NTD")</f>
        <v>0</v>
      </c>
      <c r="AX21" s="22">
        <f ca="1">+GETPIVOTDATA("XNT4",'nghiathanh (2016)'!$A$3,"MA_HT","CAN","MA_QH","SKX")</f>
        <v>0</v>
      </c>
      <c r="AY21" s="22">
        <f ca="1">+GETPIVOTDATA("XNT4",'nghiathanh (2016)'!$A$3,"MA_HT","CAN","MA_QH","DSH")</f>
        <v>0</v>
      </c>
      <c r="AZ21" s="22">
        <f ca="1">+GETPIVOTDATA("XNT4",'nghiathanh (2016)'!$A$3,"MA_HT","CAN","MA_QH","DKV")</f>
        <v>0</v>
      </c>
      <c r="BA21" s="89">
        <f ca="1">+GETPIVOTDATA("XNT4",'nghiathanh (2016)'!$A$3,"MA_HT","CAN","MA_QH","TIN")</f>
        <v>0</v>
      </c>
      <c r="BB21" s="50">
        <f ca="1">+GETPIVOTDATA("XNT4",'nghiathanh (2016)'!$A$3,"MA_HT","CAN","MA_QH","SON")</f>
        <v>0</v>
      </c>
      <c r="BC21" s="50">
        <f ca="1">+GETPIVOTDATA("XNT4",'nghiathanh (2016)'!$A$3,"MA_HT","CAN","MA_QH","MNC")</f>
        <v>0</v>
      </c>
      <c r="BD21" s="22">
        <f ca="1">+GETPIVOTDATA("XNT4",'nghiathanh (2016)'!$A$3,"MA_HT","CAN","MA_QH","PNK")</f>
        <v>0</v>
      </c>
      <c r="BE21" s="71">
        <f ca="1">+GETPIVOTDATA("XNT4",'nghiathanh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+GETPIVOTDATA("XNT4",'nghiathanh (2016)'!$A$3,"MA_HT","SKK","MA_QH","LUC")</f>
        <v>0</v>
      </c>
      <c r="H22" s="22">
        <f ca="1">+GETPIVOTDATA("XNT4",'nghiathanh (2016)'!$A$3,"MA_HT","SKK","MA_QH","LUK")</f>
        <v>0</v>
      </c>
      <c r="I22" s="22">
        <f ca="1">+GETPIVOTDATA("XNT4",'nghiathanh (2016)'!$A$3,"MA_HT","SKK","MA_QH","LUN")</f>
        <v>0</v>
      </c>
      <c r="J22" s="22">
        <f ca="1">+GETPIVOTDATA("XNT4",'nghiathanh (2016)'!$A$3,"MA_HT","SKK","MA_QH","HNK")</f>
        <v>0</v>
      </c>
      <c r="K22" s="22">
        <f ca="1">+GETPIVOTDATA("XNT4",'nghiathanh (2016)'!$A$3,"MA_HT","SKK","MA_QH","CLN")</f>
        <v>0</v>
      </c>
      <c r="L22" s="22">
        <f ca="1">+GETPIVOTDATA("XNT4",'nghiathanh (2016)'!$A$3,"MA_HT","SKK","MA_QH","RSX")</f>
        <v>0</v>
      </c>
      <c r="M22" s="22">
        <f ca="1">+GETPIVOTDATA("XNT4",'nghiathanh (2016)'!$A$3,"MA_HT","SKK","MA_QH","RPH")</f>
        <v>0</v>
      </c>
      <c r="N22" s="22">
        <f ca="1">+GETPIVOTDATA("XNT4",'nghiathanh (2016)'!$A$3,"MA_HT","SKK","MA_QH","RDD")</f>
        <v>0</v>
      </c>
      <c r="O22" s="22">
        <f ca="1">+GETPIVOTDATA("XNT4",'nghiathanh (2016)'!$A$3,"MA_HT","SKK","MA_QH","NTS")</f>
        <v>0</v>
      </c>
      <c r="P22" s="22">
        <f ca="1">+GETPIVOTDATA("XNT4",'nghiathanh (2016)'!$A$3,"MA_HT","SKK","MA_QH","LMU")</f>
        <v>0</v>
      </c>
      <c r="Q22" s="22">
        <f ca="1">+GETPIVOTDATA("XNT4",'nghiathanh (2016)'!$A$3,"MA_HT","SKK","MA_QH","NKH")</f>
        <v>0</v>
      </c>
      <c r="R22" s="42">
        <f ca="1">SUM(S22:T22,V22:AA22,AN22:BD22)</f>
        <v>0</v>
      </c>
      <c r="S22" s="22">
        <f ca="1">+GETPIVOTDATA("XNT4",'nghiathanh (2016)'!$A$3,"MA_HT","SKK","MA_QH","CQP")</f>
        <v>0</v>
      </c>
      <c r="T22" s="22">
        <f ca="1">+GETPIVOTDATA("XNT4",'nghiathanh (2016)'!$A$3,"MA_HT","SKK","MA_QH","CAN")</f>
        <v>0</v>
      </c>
      <c r="U22" s="43" t="e">
        <f ca="1">$D22-$BF22</f>
        <v>#REF!</v>
      </c>
      <c r="V22" s="22">
        <f ca="1">+GETPIVOTDATA("XNT4",'nghiathanh (2016)'!$A$3,"MA_HT","SKK","MA_QH","SKT")</f>
        <v>0</v>
      </c>
      <c r="W22" s="22">
        <f ca="1">+GETPIVOTDATA("XNT4",'nghiathanh (2016)'!$A$3,"MA_HT","SKK","MA_QH","SKN")</f>
        <v>0</v>
      </c>
      <c r="X22" s="22">
        <f ca="1">+GETPIVOTDATA("XNT4",'nghiathanh (2016)'!$A$3,"MA_HT","SKK","MA_QH","TMD")</f>
        <v>0</v>
      </c>
      <c r="Y22" s="22">
        <f ca="1">+GETPIVOTDATA("XNT4",'nghiathanh (2016)'!$A$3,"MA_HT","SKK","MA_QH","SKC")</f>
        <v>0</v>
      </c>
      <c r="Z22" s="22">
        <f ca="1">+GETPIVOTDATA("XNT4",'nghiathanh (2016)'!$A$3,"MA_HT","SKK","MA_QH","SKS")</f>
        <v>0</v>
      </c>
      <c r="AA22" s="52">
        <f ca="1" t="shared" si="12"/>
        <v>0</v>
      </c>
      <c r="AB22" s="22">
        <f ca="1">+GETPIVOTDATA("XNT4",'nghiathanh (2016)'!$A$3,"MA_HT","SKK","MA_QH","DGT")</f>
        <v>0</v>
      </c>
      <c r="AC22" s="22">
        <f ca="1">+GETPIVOTDATA("XNT4",'nghiathanh (2016)'!$A$3,"MA_HT","SKK","MA_QH","DTL")</f>
        <v>0</v>
      </c>
      <c r="AD22" s="22">
        <f ca="1">+GETPIVOTDATA("XNT4",'nghiathanh (2016)'!$A$3,"MA_HT","SKK","MA_QH","DNL")</f>
        <v>0</v>
      </c>
      <c r="AE22" s="22">
        <f ca="1">+GETPIVOTDATA("XNT4",'nghiathanh (2016)'!$A$3,"MA_HT","SKK","MA_QH","DBV")</f>
        <v>0</v>
      </c>
      <c r="AF22" s="22">
        <f ca="1">+GETPIVOTDATA("XNT4",'nghiathanh (2016)'!$A$3,"MA_HT","SKK","MA_QH","DVH")</f>
        <v>0</v>
      </c>
      <c r="AG22" s="22">
        <f ca="1">+GETPIVOTDATA("XNT4",'nghiathanh (2016)'!$A$3,"MA_HT","SKK","MA_QH","DYT")</f>
        <v>0</v>
      </c>
      <c r="AH22" s="22">
        <f ca="1">+GETPIVOTDATA("XNT4",'nghiathanh (2016)'!$A$3,"MA_HT","SKK","MA_QH","DGD")</f>
        <v>0</v>
      </c>
      <c r="AI22" s="22">
        <f ca="1">+GETPIVOTDATA("XNT4",'nghiathanh (2016)'!$A$3,"MA_HT","SKK","MA_QH","DTT")</f>
        <v>0</v>
      </c>
      <c r="AJ22" s="22">
        <f ca="1">+GETPIVOTDATA("XNT4",'nghiathanh (2016)'!$A$3,"MA_HT","SKK","MA_QH","NCK")</f>
        <v>0</v>
      </c>
      <c r="AK22" s="22">
        <f ca="1">+GETPIVOTDATA("XNT4",'nghiathanh (2016)'!$A$3,"MA_HT","SKK","MA_QH","DXH")</f>
        <v>0</v>
      </c>
      <c r="AL22" s="22">
        <f ca="1">+GETPIVOTDATA("XNT4",'nghiathanh (2016)'!$A$3,"MA_HT","SKK","MA_QH","DCH")</f>
        <v>0</v>
      </c>
      <c r="AM22" s="22">
        <f ca="1">+GETPIVOTDATA("XNT4",'nghiathanh (2016)'!$A$3,"MA_HT","SKK","MA_QH","DKG")</f>
        <v>0</v>
      </c>
      <c r="AN22" s="22">
        <f ca="1">+GETPIVOTDATA("XNT4",'nghiathanh (2016)'!$A$3,"MA_HT","SKK","MA_QH","DDT")</f>
        <v>0</v>
      </c>
      <c r="AO22" s="22">
        <f ca="1">+GETPIVOTDATA("XNT4",'nghiathanh (2016)'!$A$3,"MA_HT","SKK","MA_QH","DDL")</f>
        <v>0</v>
      </c>
      <c r="AP22" s="22">
        <f ca="1">+GETPIVOTDATA("XNT4",'nghiathanh (2016)'!$A$3,"MA_HT","SKK","MA_QH","DRA")</f>
        <v>0</v>
      </c>
      <c r="AQ22" s="22">
        <f ca="1">+GETPIVOTDATA("XNT4",'nghiathanh (2016)'!$A$3,"MA_HT","SKK","MA_QH","ONT")</f>
        <v>0</v>
      </c>
      <c r="AR22" s="22">
        <f ca="1">+GETPIVOTDATA("XNT4",'nghiathanh (2016)'!$A$3,"MA_HT","SKK","MA_QH","ODT")</f>
        <v>0</v>
      </c>
      <c r="AS22" s="22">
        <f ca="1">+GETPIVOTDATA("XNT4",'nghiathanh (2016)'!$A$3,"MA_HT","SKK","MA_QH","TSC")</f>
        <v>0</v>
      </c>
      <c r="AT22" s="22">
        <f ca="1">+GETPIVOTDATA("XNT4",'nghiathanh (2016)'!$A$3,"MA_HT","SKK","MA_QH","DTS")</f>
        <v>0</v>
      </c>
      <c r="AU22" s="22">
        <f ca="1">+GETPIVOTDATA("XNT4",'nghiathanh (2016)'!$A$3,"MA_HT","SKK","MA_QH","DNG")</f>
        <v>0</v>
      </c>
      <c r="AV22" s="22">
        <f ca="1">+GETPIVOTDATA("XNT4",'nghiathanh (2016)'!$A$3,"MA_HT","SKK","MA_QH","TON")</f>
        <v>0</v>
      </c>
      <c r="AW22" s="22">
        <f ca="1">+GETPIVOTDATA("XNT4",'nghiathanh (2016)'!$A$3,"MA_HT","SKK","MA_QH","NTD")</f>
        <v>0</v>
      </c>
      <c r="AX22" s="22">
        <f ca="1">+GETPIVOTDATA("XNT4",'nghiathanh (2016)'!$A$3,"MA_HT","SKK","MA_QH","SKX")</f>
        <v>0</v>
      </c>
      <c r="AY22" s="22">
        <f ca="1">+GETPIVOTDATA("XNT4",'nghiathanh (2016)'!$A$3,"MA_HT","SKK","MA_QH","DSH")</f>
        <v>0</v>
      </c>
      <c r="AZ22" s="22">
        <f ca="1">+GETPIVOTDATA("XNT4",'nghiathanh (2016)'!$A$3,"MA_HT","SKK","MA_QH","DKV")</f>
        <v>0</v>
      </c>
      <c r="BA22" s="89">
        <f ca="1">+GETPIVOTDATA("XNT4",'nghiathanh (2016)'!$A$3,"MA_HT","SKK","MA_QH","TIN")</f>
        <v>0</v>
      </c>
      <c r="BB22" s="50">
        <f ca="1">+GETPIVOTDATA("XNT4",'nghiathanh (2016)'!$A$3,"MA_HT","SKK","MA_QH","SON")</f>
        <v>0</v>
      </c>
      <c r="BC22" s="50">
        <f ca="1">+GETPIVOTDATA("XNT4",'nghiathanh (2016)'!$A$3,"MA_HT","SKK","MA_QH","MNC")</f>
        <v>0</v>
      </c>
      <c r="BD22" s="22">
        <f ca="1">+GETPIVOTDATA("XNT4",'nghiathanh (2016)'!$A$3,"MA_HT","SKK","MA_QH","PNK")</f>
        <v>0</v>
      </c>
      <c r="BE22" s="71">
        <f ca="1">+GETPIVOTDATA("XNT4",'nghiathanh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+GETPIVOTDATA("XNT4",'nghiathanh (2016)'!$A$3,"MA_HT","SKT","MA_QH","LUC")</f>
        <v>0</v>
      </c>
      <c r="H23" s="22">
        <f ca="1">+GETPIVOTDATA("XNT4",'nghiathanh (2016)'!$A$3,"MA_HT","SKT","MA_QH","LUK")</f>
        <v>0</v>
      </c>
      <c r="I23" s="22">
        <f ca="1">+GETPIVOTDATA("XNT4",'nghiathanh (2016)'!$A$3,"MA_HT","SKT","MA_QH","LUN")</f>
        <v>0</v>
      </c>
      <c r="J23" s="22">
        <f ca="1">+GETPIVOTDATA("XNT4",'nghiathanh (2016)'!$A$3,"MA_HT","SKT","MA_QH","HNK")</f>
        <v>0</v>
      </c>
      <c r="K23" s="22">
        <f ca="1">+GETPIVOTDATA("XNT4",'nghiathanh (2016)'!$A$3,"MA_HT","SKT","MA_QH","CLN")</f>
        <v>0</v>
      </c>
      <c r="L23" s="22">
        <f ca="1">+GETPIVOTDATA("XNT4",'nghiathanh (2016)'!$A$3,"MA_HT","SKT","MA_QH","RSX")</f>
        <v>0</v>
      </c>
      <c r="M23" s="22">
        <f ca="1">+GETPIVOTDATA("XNT4",'nghiathanh (2016)'!$A$3,"MA_HT","SKT","MA_QH","RPH")</f>
        <v>0</v>
      </c>
      <c r="N23" s="22">
        <f ca="1">+GETPIVOTDATA("XNT4",'nghiathanh (2016)'!$A$3,"MA_HT","SKT","MA_QH","RDD")</f>
        <v>0</v>
      </c>
      <c r="O23" s="22">
        <f ca="1">+GETPIVOTDATA("XNT4",'nghiathanh (2016)'!$A$3,"MA_HT","SKT","MA_QH","NTS")</f>
        <v>0</v>
      </c>
      <c r="P23" s="22">
        <f ca="1">+GETPIVOTDATA("XNT4",'nghiathanh (2016)'!$A$3,"MA_HT","SKT","MA_QH","LMU")</f>
        <v>0</v>
      </c>
      <c r="Q23" s="22">
        <f ca="1">+GETPIVOTDATA("XNT4",'nghiathanh (2016)'!$A$3,"MA_HT","SKT","MA_QH","NKH")</f>
        <v>0</v>
      </c>
      <c r="R23" s="42">
        <f ca="1">SUM(S23:U23,W23:AA23,AN23:BD23)</f>
        <v>0</v>
      </c>
      <c r="S23" s="22">
        <f ca="1">+GETPIVOTDATA("XNT4",'nghiathanh (2016)'!$A$3,"MA_HT","SKT","MA_QH","CQP")</f>
        <v>0</v>
      </c>
      <c r="T23" s="22">
        <f ca="1">+GETPIVOTDATA("XNT4",'nghiathanh (2016)'!$A$3,"MA_HT","SKT","MA_QH","CAN")</f>
        <v>0</v>
      </c>
      <c r="U23" s="22">
        <f ca="1">+GETPIVOTDATA("XNT4",'nghiathanh (2016)'!$A$3,"MA_HT","SKT","MA_QH","SKK")</f>
        <v>0</v>
      </c>
      <c r="V23" s="43" t="e">
        <f ca="1">$D23-$BF23</f>
        <v>#REF!</v>
      </c>
      <c r="W23" s="22">
        <f ca="1">+GETPIVOTDATA("XNT4",'nghiathanh (2016)'!$A$3,"MA_HT","SKT","MA_QH","SKN")</f>
        <v>0</v>
      </c>
      <c r="X23" s="22">
        <f ca="1">+GETPIVOTDATA("XNT4",'nghiathanh (2016)'!$A$3,"MA_HT","SKT","MA_QH","TMD")</f>
        <v>0</v>
      </c>
      <c r="Y23" s="22">
        <f ca="1">+GETPIVOTDATA("XNT4",'nghiathanh (2016)'!$A$3,"MA_HT","SKT","MA_QH","SKC")</f>
        <v>0</v>
      </c>
      <c r="Z23" s="22">
        <f ca="1">+GETPIVOTDATA("XNT4",'nghiathanh (2016)'!$A$3,"MA_HT","SKT","MA_QH","SKS")</f>
        <v>0</v>
      </c>
      <c r="AA23" s="52">
        <f ca="1" t="shared" si="12"/>
        <v>0</v>
      </c>
      <c r="AB23" s="22">
        <f ca="1">+GETPIVOTDATA("XNT4",'nghiathanh (2016)'!$A$3,"MA_HT","SKT","MA_QH","DGT")</f>
        <v>0</v>
      </c>
      <c r="AC23" s="22">
        <f ca="1">+GETPIVOTDATA("XNT4",'nghiathanh (2016)'!$A$3,"MA_HT","SKT","MA_QH","DTL")</f>
        <v>0</v>
      </c>
      <c r="AD23" s="22">
        <f ca="1">+GETPIVOTDATA("XNT4",'nghiathanh (2016)'!$A$3,"MA_HT","SKT","MA_QH","DNL")</f>
        <v>0</v>
      </c>
      <c r="AE23" s="22">
        <f ca="1">+GETPIVOTDATA("XNT4",'nghiathanh (2016)'!$A$3,"MA_HT","SKT","MA_QH","DBV")</f>
        <v>0</v>
      </c>
      <c r="AF23" s="22">
        <f ca="1">+GETPIVOTDATA("XNT4",'nghiathanh (2016)'!$A$3,"MA_HT","SKT","MA_QH","DVH")</f>
        <v>0</v>
      </c>
      <c r="AG23" s="22">
        <f ca="1">+GETPIVOTDATA("XNT4",'nghiathanh (2016)'!$A$3,"MA_HT","SKT","MA_QH","DYT")</f>
        <v>0</v>
      </c>
      <c r="AH23" s="22">
        <f ca="1">+GETPIVOTDATA("XNT4",'nghiathanh (2016)'!$A$3,"MA_HT","SKT","MA_QH","DGD")</f>
        <v>0</v>
      </c>
      <c r="AI23" s="22">
        <f ca="1">+GETPIVOTDATA("XNT4",'nghiathanh (2016)'!$A$3,"MA_HT","SKT","MA_QH","DTT")</f>
        <v>0</v>
      </c>
      <c r="AJ23" s="22">
        <f ca="1">+GETPIVOTDATA("XNT4",'nghiathanh (2016)'!$A$3,"MA_HT","SKT","MA_QH","NCK")</f>
        <v>0</v>
      </c>
      <c r="AK23" s="22">
        <f ca="1">+GETPIVOTDATA("XNT4",'nghiathanh (2016)'!$A$3,"MA_HT","SKT","MA_QH","DXH")</f>
        <v>0</v>
      </c>
      <c r="AL23" s="22">
        <f ca="1">+GETPIVOTDATA("XNT4",'nghiathanh (2016)'!$A$3,"MA_HT","SKT","MA_QH","DCH")</f>
        <v>0</v>
      </c>
      <c r="AM23" s="22">
        <f ca="1">+GETPIVOTDATA("XNT4",'nghiathanh (2016)'!$A$3,"MA_HT","SKT","MA_QH","DKG")</f>
        <v>0</v>
      </c>
      <c r="AN23" s="22">
        <f ca="1">+GETPIVOTDATA("XNT4",'nghiathanh (2016)'!$A$3,"MA_HT","SKT","MA_QH","DDT")</f>
        <v>0</v>
      </c>
      <c r="AO23" s="22">
        <f ca="1">+GETPIVOTDATA("XNT4",'nghiathanh (2016)'!$A$3,"MA_HT","SKT","MA_QH","DDL")</f>
        <v>0</v>
      </c>
      <c r="AP23" s="22">
        <f ca="1">+GETPIVOTDATA("XNT4",'nghiathanh (2016)'!$A$3,"MA_HT","SKT","MA_QH","DRA")</f>
        <v>0</v>
      </c>
      <c r="AQ23" s="22">
        <f ca="1">+GETPIVOTDATA("XNT4",'nghiathanh (2016)'!$A$3,"MA_HT","SKT","MA_QH","ONT")</f>
        <v>0</v>
      </c>
      <c r="AR23" s="22">
        <f ca="1">+GETPIVOTDATA("XNT4",'nghiathanh (2016)'!$A$3,"MA_HT","SKT","MA_QH","ODT")</f>
        <v>0</v>
      </c>
      <c r="AS23" s="22">
        <f ca="1">+GETPIVOTDATA("XNT4",'nghiathanh (2016)'!$A$3,"MA_HT","SKT","MA_QH","TSC")</f>
        <v>0</v>
      </c>
      <c r="AT23" s="22">
        <f ca="1">+GETPIVOTDATA("XNT4",'nghiathanh (2016)'!$A$3,"MA_HT","SKT","MA_QH","DTS")</f>
        <v>0</v>
      </c>
      <c r="AU23" s="22">
        <f ca="1">+GETPIVOTDATA("XNT4",'nghiathanh (2016)'!$A$3,"MA_HT","SKT","MA_QH","DNG")</f>
        <v>0</v>
      </c>
      <c r="AV23" s="22">
        <f ca="1">+GETPIVOTDATA("XNT4",'nghiathanh (2016)'!$A$3,"MA_HT","SKT","MA_QH","TON")</f>
        <v>0</v>
      </c>
      <c r="AW23" s="22">
        <f ca="1">+GETPIVOTDATA("XNT4",'nghiathanh (2016)'!$A$3,"MA_HT","SKT","MA_QH","NTD")</f>
        <v>0</v>
      </c>
      <c r="AX23" s="22">
        <f ca="1">+GETPIVOTDATA("XNT4",'nghiathanh (2016)'!$A$3,"MA_HT","SKT","MA_QH","SKX")</f>
        <v>0</v>
      </c>
      <c r="AY23" s="22">
        <f ca="1">+GETPIVOTDATA("XNT4",'nghiathanh (2016)'!$A$3,"MA_HT","SKT","MA_QH","DSH")</f>
        <v>0</v>
      </c>
      <c r="AZ23" s="22">
        <f ca="1">+GETPIVOTDATA("XNT4",'nghiathanh (2016)'!$A$3,"MA_HT","SKT","MA_QH","DKV")</f>
        <v>0</v>
      </c>
      <c r="BA23" s="89">
        <f ca="1">+GETPIVOTDATA("XNT4",'nghiathanh (2016)'!$A$3,"MA_HT","SKT","MA_QH","TIN")</f>
        <v>0</v>
      </c>
      <c r="BB23" s="50">
        <f ca="1">+GETPIVOTDATA("XNT4",'nghiathanh (2016)'!$A$3,"MA_HT","SKT","MA_QH","SON")</f>
        <v>0</v>
      </c>
      <c r="BC23" s="50">
        <f ca="1">+GETPIVOTDATA("XNT4",'nghiathanh (2016)'!$A$3,"MA_HT","SKT","MA_QH","MNC")</f>
        <v>0</v>
      </c>
      <c r="BD23" s="22">
        <f ca="1">+GETPIVOTDATA("XNT4",'nghiathanh (2016)'!$A$3,"MA_HT","SKT","MA_QH","PNK")</f>
        <v>0</v>
      </c>
      <c r="BE23" s="71">
        <f ca="1">+GETPIVOTDATA("XNT4",'nghiathanh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+GETPIVOTDATA("XNT4",'nghiathanh (2016)'!$A$3,"MA_HT","SKN","MA_QH","LUC")</f>
        <v>0</v>
      </c>
      <c r="H24" s="22">
        <f ca="1">+GETPIVOTDATA("XNT4",'nghiathanh (2016)'!$A$3,"MA_HT","SKN","MA_QH","LUK")</f>
        <v>0</v>
      </c>
      <c r="I24" s="22">
        <f ca="1">+GETPIVOTDATA("XNT4",'nghiathanh (2016)'!$A$3,"MA_HT","SKN","MA_QH","LUN")</f>
        <v>0</v>
      </c>
      <c r="J24" s="22">
        <f ca="1">+GETPIVOTDATA("XNT4",'nghiathanh (2016)'!$A$3,"MA_HT","SKN","MA_QH","HNK")</f>
        <v>0</v>
      </c>
      <c r="K24" s="22">
        <f ca="1">+GETPIVOTDATA("XNT4",'nghiathanh (2016)'!$A$3,"MA_HT","SKN","MA_QH","CLN")</f>
        <v>0</v>
      </c>
      <c r="L24" s="22">
        <f ca="1">+GETPIVOTDATA("XNT4",'nghiathanh (2016)'!$A$3,"MA_HT","SKN","MA_QH","RSX")</f>
        <v>0</v>
      </c>
      <c r="M24" s="22">
        <f ca="1">+GETPIVOTDATA("XNT4",'nghiathanh (2016)'!$A$3,"MA_HT","SKN","MA_QH","RPH")</f>
        <v>0</v>
      </c>
      <c r="N24" s="22">
        <f ca="1">+GETPIVOTDATA("XNT4",'nghiathanh (2016)'!$A$3,"MA_HT","SKN","MA_QH","RDD")</f>
        <v>0</v>
      </c>
      <c r="O24" s="22">
        <f ca="1">+GETPIVOTDATA("XNT4",'nghiathanh (2016)'!$A$3,"MA_HT","SKN","MA_QH","NTS")</f>
        <v>0</v>
      </c>
      <c r="P24" s="22">
        <f ca="1">+GETPIVOTDATA("XNT4",'nghiathanh (2016)'!$A$3,"MA_HT","SKN","MA_QH","LMU")</f>
        <v>0</v>
      </c>
      <c r="Q24" s="22">
        <f ca="1">+GETPIVOTDATA("XNT4",'nghiathanh (2016)'!$A$3,"MA_HT","SKN","MA_QH","NKH")</f>
        <v>0</v>
      </c>
      <c r="R24" s="42">
        <f ca="1">SUM(S24:V24,X24:AA24,AN24:BD24)</f>
        <v>0</v>
      </c>
      <c r="S24" s="22">
        <f ca="1">+GETPIVOTDATA("XNT4",'nghiathanh (2016)'!$A$3,"MA_HT","SKN","MA_QH","CQP")</f>
        <v>0</v>
      </c>
      <c r="T24" s="22">
        <f ca="1">+GETPIVOTDATA("XNT4",'nghiathanh (2016)'!$A$3,"MA_HT","SKN","MA_QH","CAN")</f>
        <v>0</v>
      </c>
      <c r="U24" s="22">
        <f ca="1">+GETPIVOTDATA("XNT4",'nghiathanh (2016)'!$A$3,"MA_HT","SKN","MA_QH","SKK")</f>
        <v>0</v>
      </c>
      <c r="V24" s="22">
        <f ca="1">+GETPIVOTDATA("XNT4",'nghiathanh (2016)'!$A$3,"MA_HT","SKN","MA_QH","SKT")</f>
        <v>0</v>
      </c>
      <c r="W24" s="43" t="e">
        <f ca="1">$D24-$BF24</f>
        <v>#REF!</v>
      </c>
      <c r="X24" s="22">
        <f ca="1">+GETPIVOTDATA("XNT4",'nghiathanh (2016)'!$A$3,"MA_HT","SKN","MA_QH","TMD")</f>
        <v>0</v>
      </c>
      <c r="Y24" s="22">
        <f ca="1">+GETPIVOTDATA("XNT4",'nghiathanh (2016)'!$A$3,"MA_HT","SKN","MA_QH","SKC")</f>
        <v>0</v>
      </c>
      <c r="Z24" s="22">
        <f ca="1">+GETPIVOTDATA("XNT4",'nghiathanh (2016)'!$A$3,"MA_HT","SKN","MA_QH","SKS")</f>
        <v>0</v>
      </c>
      <c r="AA24" s="52">
        <f ca="1" t="shared" si="12"/>
        <v>0</v>
      </c>
      <c r="AB24" s="22">
        <f ca="1">+GETPIVOTDATA("XNT4",'nghiathanh (2016)'!$A$3,"MA_HT","SKN","MA_QH","DGT")</f>
        <v>0</v>
      </c>
      <c r="AC24" s="22">
        <f ca="1">+GETPIVOTDATA("XNT4",'nghiathanh (2016)'!$A$3,"MA_HT","SKN","MA_QH","DTL")</f>
        <v>0</v>
      </c>
      <c r="AD24" s="22">
        <f ca="1">+GETPIVOTDATA("XNT4",'nghiathanh (2016)'!$A$3,"MA_HT","SKN","MA_QH","DNL")</f>
        <v>0</v>
      </c>
      <c r="AE24" s="22">
        <f ca="1">+GETPIVOTDATA("XNT4",'nghiathanh (2016)'!$A$3,"MA_HT","SKN","MA_QH","DBV")</f>
        <v>0</v>
      </c>
      <c r="AF24" s="22">
        <f ca="1">+GETPIVOTDATA("XNT4",'nghiathanh (2016)'!$A$3,"MA_HT","SKN","MA_QH","DVH")</f>
        <v>0</v>
      </c>
      <c r="AG24" s="22">
        <f ca="1">+GETPIVOTDATA("XNT4",'nghiathanh (2016)'!$A$3,"MA_HT","SKN","MA_QH","DYT")</f>
        <v>0</v>
      </c>
      <c r="AH24" s="22">
        <f ca="1">+GETPIVOTDATA("XNT4",'nghiathanh (2016)'!$A$3,"MA_HT","SKN","MA_QH","DGD")</f>
        <v>0</v>
      </c>
      <c r="AI24" s="22">
        <f ca="1">+GETPIVOTDATA("XNT4",'nghiathanh (2016)'!$A$3,"MA_HT","SKN","MA_QH","DTT")</f>
        <v>0</v>
      </c>
      <c r="AJ24" s="22">
        <f ca="1">+GETPIVOTDATA("XNT4",'nghiathanh (2016)'!$A$3,"MA_HT","SKN","MA_QH","NCK")</f>
        <v>0</v>
      </c>
      <c r="AK24" s="22">
        <f ca="1">+GETPIVOTDATA("XNT4",'nghiathanh (2016)'!$A$3,"MA_HT","SKN","MA_QH","DXH")</f>
        <v>0</v>
      </c>
      <c r="AL24" s="22">
        <f ca="1">+GETPIVOTDATA("XNT4",'nghiathanh (2016)'!$A$3,"MA_HT","SKN","MA_QH","DCH")</f>
        <v>0</v>
      </c>
      <c r="AM24" s="22">
        <f ca="1">+GETPIVOTDATA("XNT4",'nghiathanh (2016)'!$A$3,"MA_HT","SKN","MA_QH","DKG")</f>
        <v>0</v>
      </c>
      <c r="AN24" s="22">
        <f ca="1">+GETPIVOTDATA("XNT4",'nghiathanh (2016)'!$A$3,"MA_HT","SKN","MA_QH","DDT")</f>
        <v>0</v>
      </c>
      <c r="AO24" s="22">
        <f ca="1">+GETPIVOTDATA("XNT4",'nghiathanh (2016)'!$A$3,"MA_HT","SKN","MA_QH","DDL")</f>
        <v>0</v>
      </c>
      <c r="AP24" s="22">
        <f ca="1">+GETPIVOTDATA("XNT4",'nghiathanh (2016)'!$A$3,"MA_HT","SKN","MA_QH","DRA")</f>
        <v>0</v>
      </c>
      <c r="AQ24" s="22">
        <f ca="1">+GETPIVOTDATA("XNT4",'nghiathanh (2016)'!$A$3,"MA_HT","SKN","MA_QH","ONT")</f>
        <v>0</v>
      </c>
      <c r="AR24" s="22">
        <f ca="1">+GETPIVOTDATA("XNT4",'nghiathanh (2016)'!$A$3,"MA_HT","SKN","MA_QH","ODT")</f>
        <v>0</v>
      </c>
      <c r="AS24" s="22">
        <f ca="1">+GETPIVOTDATA("XNT4",'nghiathanh (2016)'!$A$3,"MA_HT","SKN","MA_QH","TSC")</f>
        <v>0</v>
      </c>
      <c r="AT24" s="22">
        <f ca="1">+GETPIVOTDATA("XNT4",'nghiathanh (2016)'!$A$3,"MA_HT","SKN","MA_QH","DTS")</f>
        <v>0</v>
      </c>
      <c r="AU24" s="22">
        <f ca="1">+GETPIVOTDATA("XNT4",'nghiathanh (2016)'!$A$3,"MA_HT","SKN","MA_QH","DNG")</f>
        <v>0</v>
      </c>
      <c r="AV24" s="22">
        <f ca="1">+GETPIVOTDATA("XNT4",'nghiathanh (2016)'!$A$3,"MA_HT","SKN","MA_QH","TON")</f>
        <v>0</v>
      </c>
      <c r="AW24" s="22">
        <f ca="1">+GETPIVOTDATA("XNT4",'nghiathanh (2016)'!$A$3,"MA_HT","SKN","MA_QH","NTD")</f>
        <v>0</v>
      </c>
      <c r="AX24" s="22">
        <f ca="1">+GETPIVOTDATA("XNT4",'nghiathanh (2016)'!$A$3,"MA_HT","SKN","MA_QH","SKX")</f>
        <v>0</v>
      </c>
      <c r="AY24" s="22">
        <f ca="1">+GETPIVOTDATA("XNT4",'nghiathanh (2016)'!$A$3,"MA_HT","SKN","MA_QH","DSH")</f>
        <v>0</v>
      </c>
      <c r="AZ24" s="22">
        <f ca="1">+GETPIVOTDATA("XNT4",'nghiathanh (2016)'!$A$3,"MA_HT","SKN","MA_QH","DKV")</f>
        <v>0</v>
      </c>
      <c r="BA24" s="89">
        <f ca="1">+GETPIVOTDATA("XNT4",'nghiathanh (2016)'!$A$3,"MA_HT","SKN","MA_QH","TIN")</f>
        <v>0</v>
      </c>
      <c r="BB24" s="50">
        <f ca="1">+GETPIVOTDATA("XNT4",'nghiathanh (2016)'!$A$3,"MA_HT","SKN","MA_QH","SON")</f>
        <v>0</v>
      </c>
      <c r="BC24" s="50">
        <f ca="1">+GETPIVOTDATA("XNT4",'nghiathanh (2016)'!$A$3,"MA_HT","SKN","MA_QH","MNC")</f>
        <v>0</v>
      </c>
      <c r="BD24" s="22">
        <f ca="1">+GETPIVOTDATA("XNT4",'nghiathanh (2016)'!$A$3,"MA_HT","SKN","MA_QH","PNK")</f>
        <v>0</v>
      </c>
      <c r="BE24" s="71">
        <f ca="1">+GETPIVOTDATA("XNT4",'nghiathanh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+GETPIVOTDATA("XNT4",'nghiathanh (2016)'!$A$3,"MA_HT","TMD","MA_QH","LUC")</f>
        <v>0</v>
      </c>
      <c r="H25" s="22">
        <f ca="1">+GETPIVOTDATA("XNT4",'nghiathanh (2016)'!$A$3,"MA_HT","TMD","MA_QH","LUK")</f>
        <v>0</v>
      </c>
      <c r="I25" s="22">
        <f ca="1">+GETPIVOTDATA("XNT4",'nghiathanh (2016)'!$A$3,"MA_HT","TMD","MA_QH","LUN")</f>
        <v>0</v>
      </c>
      <c r="J25" s="22">
        <f ca="1">+GETPIVOTDATA("XNT4",'nghiathanh (2016)'!$A$3,"MA_HT","TMD","MA_QH","HNK")</f>
        <v>0</v>
      </c>
      <c r="K25" s="22">
        <f ca="1">+GETPIVOTDATA("XNT4",'nghiathanh (2016)'!$A$3,"MA_HT","TMD","MA_QH","CLN")</f>
        <v>0</v>
      </c>
      <c r="L25" s="22">
        <f ca="1">+GETPIVOTDATA("XNT4",'nghiathanh (2016)'!$A$3,"MA_HT","TMD","MA_QH","RSX")</f>
        <v>0</v>
      </c>
      <c r="M25" s="22">
        <f ca="1">+GETPIVOTDATA("XNT4",'nghiathanh (2016)'!$A$3,"MA_HT","TMD","MA_QH","RPH")</f>
        <v>0</v>
      </c>
      <c r="N25" s="22">
        <f ca="1">+GETPIVOTDATA("XNT4",'nghiathanh (2016)'!$A$3,"MA_HT","TMD","MA_QH","RDD")</f>
        <v>0</v>
      </c>
      <c r="O25" s="22">
        <f ca="1">+GETPIVOTDATA("XNT4",'nghiathanh (2016)'!$A$3,"MA_HT","TMD","MA_QH","NTS")</f>
        <v>0</v>
      </c>
      <c r="P25" s="22">
        <f ca="1">+GETPIVOTDATA("XNT4",'nghiathanh (2016)'!$A$3,"MA_HT","TMD","MA_QH","LMU")</f>
        <v>0</v>
      </c>
      <c r="Q25" s="22">
        <f ca="1">+GETPIVOTDATA("XNT4",'nghiathanh (2016)'!$A$3,"MA_HT","TMD","MA_QH","NKH")</f>
        <v>0</v>
      </c>
      <c r="R25" s="42">
        <f ca="1">SUM(S25:W25,Y25:AA25,AN25:BD25)</f>
        <v>0</v>
      </c>
      <c r="S25" s="22">
        <f ca="1">+GETPIVOTDATA("XNT4",'nghiathanh (2016)'!$A$3,"MA_HT","TMD","MA_QH","CQP")</f>
        <v>0</v>
      </c>
      <c r="T25" s="22">
        <f ca="1">+GETPIVOTDATA("XNT4",'nghiathanh (2016)'!$A$3,"MA_HT","TMD","MA_QH","CAN")</f>
        <v>0</v>
      </c>
      <c r="U25" s="22">
        <f ca="1">+GETPIVOTDATA("XNT4",'nghiathanh (2016)'!$A$3,"MA_HT","TMD","MA_QH","SKK")</f>
        <v>0</v>
      </c>
      <c r="V25" s="22">
        <f ca="1">+GETPIVOTDATA("XNT4",'nghiathanh (2016)'!$A$3,"MA_HT","TMD","MA_QH","SKT")</f>
        <v>0</v>
      </c>
      <c r="W25" s="22">
        <f ca="1">+GETPIVOTDATA("XNT4",'nghiathanh (2016)'!$A$3,"MA_HT","TMD","MA_QH","SKN")</f>
        <v>0</v>
      </c>
      <c r="X25" s="43" t="e">
        <f ca="1">$D25-$BF25</f>
        <v>#REF!</v>
      </c>
      <c r="Y25" s="22">
        <f ca="1">+GETPIVOTDATA("XNT4",'nghiathanh (2016)'!$A$3,"MA_HT","TMD","MA_QH","SKC")</f>
        <v>0</v>
      </c>
      <c r="Z25" s="22">
        <f ca="1">+GETPIVOTDATA("XNT4",'nghiathanh (2016)'!$A$3,"MA_HT","TMD","MA_QH","SKS")</f>
        <v>0</v>
      </c>
      <c r="AA25" s="52">
        <f ca="1" t="shared" si="12"/>
        <v>0</v>
      </c>
      <c r="AB25" s="22">
        <f ca="1">+GETPIVOTDATA("XNT4",'nghiathanh (2016)'!$A$3,"MA_HT","TMD","MA_QH","DGT")</f>
        <v>0</v>
      </c>
      <c r="AC25" s="22">
        <f ca="1">+GETPIVOTDATA("XNT4",'nghiathanh (2016)'!$A$3,"MA_HT","TMD","MA_QH","DTL")</f>
        <v>0</v>
      </c>
      <c r="AD25" s="22">
        <f ca="1">+GETPIVOTDATA("XNT4",'nghiathanh (2016)'!$A$3,"MA_HT","TMD","MA_QH","DNL")</f>
        <v>0</v>
      </c>
      <c r="AE25" s="22">
        <f ca="1">+GETPIVOTDATA("XNT4",'nghiathanh (2016)'!$A$3,"MA_HT","TMD","MA_QH","DBV")</f>
        <v>0</v>
      </c>
      <c r="AF25" s="22">
        <f ca="1">+GETPIVOTDATA("XNT4",'nghiathanh (2016)'!$A$3,"MA_HT","TMD","MA_QH","DVH")</f>
        <v>0</v>
      </c>
      <c r="AG25" s="22">
        <f ca="1">+GETPIVOTDATA("XNT4",'nghiathanh (2016)'!$A$3,"MA_HT","TMD","MA_QH","DYT")</f>
        <v>0</v>
      </c>
      <c r="AH25" s="22">
        <f ca="1">+GETPIVOTDATA("XNT4",'nghiathanh (2016)'!$A$3,"MA_HT","TMD","MA_QH","DGD")</f>
        <v>0</v>
      </c>
      <c r="AI25" s="22">
        <f ca="1">+GETPIVOTDATA("XNT4",'nghiathanh (2016)'!$A$3,"MA_HT","TMD","MA_QH","DTT")</f>
        <v>0</v>
      </c>
      <c r="AJ25" s="22">
        <f ca="1">+GETPIVOTDATA("XNT4",'nghiathanh (2016)'!$A$3,"MA_HT","TMD","MA_QH","NCK")</f>
        <v>0</v>
      </c>
      <c r="AK25" s="22">
        <f ca="1">+GETPIVOTDATA("XNT4",'nghiathanh (2016)'!$A$3,"MA_HT","TMD","MA_QH","DXH")</f>
        <v>0</v>
      </c>
      <c r="AL25" s="22">
        <f ca="1">+GETPIVOTDATA("XNT4",'nghiathanh (2016)'!$A$3,"MA_HT","TMD","MA_QH","DCH")</f>
        <v>0</v>
      </c>
      <c r="AM25" s="22">
        <f ca="1">+GETPIVOTDATA("XNT4",'nghiathanh (2016)'!$A$3,"MA_HT","TMD","MA_QH","DKG")</f>
        <v>0</v>
      </c>
      <c r="AN25" s="22">
        <f ca="1">+GETPIVOTDATA("XNT4",'nghiathanh (2016)'!$A$3,"MA_HT","TMD","MA_QH","DDT")</f>
        <v>0</v>
      </c>
      <c r="AO25" s="22">
        <f ca="1">+GETPIVOTDATA("XNT4",'nghiathanh (2016)'!$A$3,"MA_HT","TMD","MA_QH","DDL")</f>
        <v>0</v>
      </c>
      <c r="AP25" s="22">
        <f ca="1">+GETPIVOTDATA("XNT4",'nghiathanh (2016)'!$A$3,"MA_HT","TMD","MA_QH","DRA")</f>
        <v>0</v>
      </c>
      <c r="AQ25" s="22">
        <f ca="1">+GETPIVOTDATA("XNT4",'nghiathanh (2016)'!$A$3,"MA_HT","TMD","MA_QH","ONT")</f>
        <v>0</v>
      </c>
      <c r="AR25" s="22">
        <f ca="1">+GETPIVOTDATA("XNT4",'nghiathanh (2016)'!$A$3,"MA_HT","TMD","MA_QH","ODT")</f>
        <v>0</v>
      </c>
      <c r="AS25" s="22">
        <f ca="1">+GETPIVOTDATA("XNT4",'nghiathanh (2016)'!$A$3,"MA_HT","TMD","MA_QH","TSC")</f>
        <v>0</v>
      </c>
      <c r="AT25" s="22">
        <f ca="1">+GETPIVOTDATA("XNT4",'nghiathanh (2016)'!$A$3,"MA_HT","TMD","MA_QH","DTS")</f>
        <v>0</v>
      </c>
      <c r="AU25" s="22">
        <f ca="1">+GETPIVOTDATA("XNT4",'nghiathanh (2016)'!$A$3,"MA_HT","TMD","MA_QH","DNG")</f>
        <v>0</v>
      </c>
      <c r="AV25" s="22">
        <f ca="1">+GETPIVOTDATA("XNT4",'nghiathanh (2016)'!$A$3,"MA_HT","TMD","MA_QH","TON")</f>
        <v>0</v>
      </c>
      <c r="AW25" s="22">
        <f ca="1">+GETPIVOTDATA("XNT4",'nghiathanh (2016)'!$A$3,"MA_HT","TMD","MA_QH","NTD")</f>
        <v>0</v>
      </c>
      <c r="AX25" s="22">
        <f ca="1">+GETPIVOTDATA("XNT4",'nghiathanh (2016)'!$A$3,"MA_HT","TMD","MA_QH","SKX")</f>
        <v>0</v>
      </c>
      <c r="AY25" s="22">
        <f ca="1">+GETPIVOTDATA("XNT4",'nghiathanh (2016)'!$A$3,"MA_HT","TMD","MA_QH","DSH")</f>
        <v>0</v>
      </c>
      <c r="AZ25" s="22">
        <f ca="1">+GETPIVOTDATA("XNT4",'nghiathanh (2016)'!$A$3,"MA_HT","TMD","MA_QH","DKV")</f>
        <v>0</v>
      </c>
      <c r="BA25" s="89">
        <f ca="1">+GETPIVOTDATA("XNT4",'nghiathanh (2016)'!$A$3,"MA_HT","TMD","MA_QH","TIN")</f>
        <v>0</v>
      </c>
      <c r="BB25" s="50">
        <f ca="1">+GETPIVOTDATA("XNT4",'nghiathanh (2016)'!$A$3,"MA_HT","TMD","MA_QH","SON")</f>
        <v>0</v>
      </c>
      <c r="BC25" s="50">
        <f ca="1">+GETPIVOTDATA("XNT4",'nghiathanh (2016)'!$A$3,"MA_HT","TMD","MA_QH","MNC")</f>
        <v>0</v>
      </c>
      <c r="BD25" s="22">
        <f ca="1">+GETPIVOTDATA("XNT4",'nghiathanh (2016)'!$A$3,"MA_HT","TMD","MA_QH","PNK")</f>
        <v>0</v>
      </c>
      <c r="BE25" s="71">
        <f ca="1">+GETPIVOTDATA("XNT4",'nghiathanh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+GETPIVOTDATA("XNT4",'nghiathanh (2016)'!$A$3,"MA_HT","SKC","MA_QH","LUC")</f>
        <v>0</v>
      </c>
      <c r="H26" s="22">
        <f ca="1">+GETPIVOTDATA("XNT4",'nghiathanh (2016)'!$A$3,"MA_HT","SKC","MA_QH","LUK")</f>
        <v>0</v>
      </c>
      <c r="I26" s="22">
        <f ca="1">+GETPIVOTDATA("XNT4",'nghiathanh (2016)'!$A$3,"MA_HT","SKC","MA_QH","LUN")</f>
        <v>0</v>
      </c>
      <c r="J26" s="22">
        <f ca="1">+GETPIVOTDATA("XNT4",'nghiathanh (2016)'!$A$3,"MA_HT","SKC","MA_QH","HNK")</f>
        <v>0</v>
      </c>
      <c r="K26" s="22">
        <f ca="1">+GETPIVOTDATA("XNT4",'nghiathanh (2016)'!$A$3,"MA_HT","SKC","MA_QH","CLN")</f>
        <v>0</v>
      </c>
      <c r="L26" s="22">
        <f ca="1">+GETPIVOTDATA("XNT4",'nghiathanh (2016)'!$A$3,"MA_HT","SKC","MA_QH","RSX")</f>
        <v>0</v>
      </c>
      <c r="M26" s="22">
        <f ca="1">+GETPIVOTDATA("XNT4",'nghiathanh (2016)'!$A$3,"MA_HT","SKC","MA_QH","RPH")</f>
        <v>0</v>
      </c>
      <c r="N26" s="22">
        <f ca="1">+GETPIVOTDATA("XNT4",'nghiathanh (2016)'!$A$3,"MA_HT","SKC","MA_QH","RDD")</f>
        <v>0</v>
      </c>
      <c r="O26" s="22">
        <f ca="1">+GETPIVOTDATA("XNT4",'nghiathanh (2016)'!$A$3,"MA_HT","SKC","MA_QH","NTS")</f>
        <v>0</v>
      </c>
      <c r="P26" s="22">
        <f ca="1">+GETPIVOTDATA("XNT4",'nghiathanh (2016)'!$A$3,"MA_HT","SKC","MA_QH","LMU")</f>
        <v>0</v>
      </c>
      <c r="Q26" s="22">
        <f ca="1">+GETPIVOTDATA("XNT4",'nghiathanh (2016)'!$A$3,"MA_HT","SKC","MA_QH","NKH")</f>
        <v>0</v>
      </c>
      <c r="R26" s="42">
        <f ca="1">SUM(S26:X26,Z26,AN26:BD26)</f>
        <v>0</v>
      </c>
      <c r="S26" s="22">
        <f ca="1">+GETPIVOTDATA("XNT4",'nghiathanh (2016)'!$A$3,"MA_HT","SKC","MA_QH","CQP")</f>
        <v>0</v>
      </c>
      <c r="T26" s="22">
        <f ca="1">+GETPIVOTDATA("XNT4",'nghiathanh (2016)'!$A$3,"MA_HT","SKC","MA_QH","CAN")</f>
        <v>0</v>
      </c>
      <c r="U26" s="22">
        <f ca="1">+GETPIVOTDATA("XNT4",'nghiathanh (2016)'!$A$3,"MA_HT","SKC","MA_QH","SKK")</f>
        <v>0</v>
      </c>
      <c r="V26" s="22">
        <f ca="1">+GETPIVOTDATA("XNT4",'nghiathanh (2016)'!$A$3,"MA_HT","SKC","MA_QH","SKT")</f>
        <v>0</v>
      </c>
      <c r="W26" s="22">
        <f ca="1">+GETPIVOTDATA("XNT4",'nghiathanh (2016)'!$A$3,"MA_HT","SKC","MA_QH","SKN")</f>
        <v>0</v>
      </c>
      <c r="X26" s="22">
        <f ca="1">+GETPIVOTDATA("XNT4",'nghiathanh (2016)'!$A$3,"MA_HT","SKC","MA_QH","TMD")</f>
        <v>0</v>
      </c>
      <c r="Y26" s="43" t="e">
        <f ca="1">$D26-$BF26</f>
        <v>#REF!</v>
      </c>
      <c r="Z26" s="22">
        <f ca="1">+GETPIVOTDATA("XNT4",'nghiathanh (2016)'!$A$3,"MA_HT","SKC","MA_QH","SKS")</f>
        <v>0</v>
      </c>
      <c r="AA26" s="52">
        <f ca="1" t="shared" si="12"/>
        <v>0</v>
      </c>
      <c r="AB26" s="22">
        <f ca="1">+GETPIVOTDATA("XNT4",'nghiathanh (2016)'!$A$3,"MA_HT","SKC","MA_QH","DGT")</f>
        <v>0</v>
      </c>
      <c r="AC26" s="22">
        <f ca="1">+GETPIVOTDATA("XNT4",'nghiathanh (2016)'!$A$3,"MA_HT","SKC","MA_QH","DTL")</f>
        <v>0</v>
      </c>
      <c r="AD26" s="22">
        <f ca="1">+GETPIVOTDATA("XNT4",'nghiathanh (2016)'!$A$3,"MA_HT","SKC","MA_QH","DNL")</f>
        <v>0</v>
      </c>
      <c r="AE26" s="22">
        <f ca="1">+GETPIVOTDATA("XNT4",'nghiathanh (2016)'!$A$3,"MA_HT","SKC","MA_QH","DBV")</f>
        <v>0</v>
      </c>
      <c r="AF26" s="22">
        <f ca="1">+GETPIVOTDATA("XNT4",'nghiathanh (2016)'!$A$3,"MA_HT","SKC","MA_QH","DVH")</f>
        <v>0</v>
      </c>
      <c r="AG26" s="22">
        <f ca="1">+GETPIVOTDATA("XNT4",'nghiathanh (2016)'!$A$3,"MA_HT","SKC","MA_QH","DYT")</f>
        <v>0</v>
      </c>
      <c r="AH26" s="22">
        <f ca="1">+GETPIVOTDATA("XNT4",'nghiathanh (2016)'!$A$3,"MA_HT","SKC","MA_QH","DGD")</f>
        <v>0</v>
      </c>
      <c r="AI26" s="22">
        <f ca="1">+GETPIVOTDATA("XNT4",'nghiathanh (2016)'!$A$3,"MA_HT","SKC","MA_QH","DTT")</f>
        <v>0</v>
      </c>
      <c r="AJ26" s="22">
        <f ca="1">+GETPIVOTDATA("XNT4",'nghiathanh (2016)'!$A$3,"MA_HT","SKC","MA_QH","NCK")</f>
        <v>0</v>
      </c>
      <c r="AK26" s="22">
        <f ca="1">+GETPIVOTDATA("XNT4",'nghiathanh (2016)'!$A$3,"MA_HT","SKC","MA_QH","DXH")</f>
        <v>0</v>
      </c>
      <c r="AL26" s="22">
        <f ca="1">+GETPIVOTDATA("XNT4",'nghiathanh (2016)'!$A$3,"MA_HT","SKC","MA_QH","DCH")</f>
        <v>0</v>
      </c>
      <c r="AM26" s="22">
        <f ca="1">+GETPIVOTDATA("XNT4",'nghiathanh (2016)'!$A$3,"MA_HT","SKC","MA_QH","DKG")</f>
        <v>0</v>
      </c>
      <c r="AN26" s="22">
        <f ca="1">+GETPIVOTDATA("XNT4",'nghiathanh (2016)'!$A$3,"MA_HT","SKC","MA_QH","DDT")</f>
        <v>0</v>
      </c>
      <c r="AO26" s="22">
        <f ca="1">+GETPIVOTDATA("XNT4",'nghiathanh (2016)'!$A$3,"MA_HT","SKC","MA_QH","DDL")</f>
        <v>0</v>
      </c>
      <c r="AP26" s="22">
        <f ca="1">+GETPIVOTDATA("XNT4",'nghiathanh (2016)'!$A$3,"MA_HT","SKC","MA_QH","DRA")</f>
        <v>0</v>
      </c>
      <c r="AQ26" s="22">
        <f ca="1">+GETPIVOTDATA("XNT4",'nghiathanh (2016)'!$A$3,"MA_HT","SKC","MA_QH","ONT")</f>
        <v>0</v>
      </c>
      <c r="AR26" s="22">
        <f ca="1">+GETPIVOTDATA("XNT4",'nghiathanh (2016)'!$A$3,"MA_HT","SKC","MA_QH","ODT")</f>
        <v>0</v>
      </c>
      <c r="AS26" s="22">
        <f ca="1">+GETPIVOTDATA("XNT4",'nghiathanh (2016)'!$A$3,"MA_HT","SKC","MA_QH","TSC")</f>
        <v>0</v>
      </c>
      <c r="AT26" s="22">
        <f ca="1">+GETPIVOTDATA("XNT4",'nghiathanh (2016)'!$A$3,"MA_HT","SKC","MA_QH","DTS")</f>
        <v>0</v>
      </c>
      <c r="AU26" s="22">
        <f ca="1">+GETPIVOTDATA("XNT4",'nghiathanh (2016)'!$A$3,"MA_HT","SKC","MA_QH","DNG")</f>
        <v>0</v>
      </c>
      <c r="AV26" s="22">
        <f ca="1">+GETPIVOTDATA("XNT4",'nghiathanh (2016)'!$A$3,"MA_HT","SKC","MA_QH","TON")</f>
        <v>0</v>
      </c>
      <c r="AW26" s="22">
        <f ca="1">+GETPIVOTDATA("XNT4",'nghiathanh (2016)'!$A$3,"MA_HT","SKC","MA_QH","NTD")</f>
        <v>0</v>
      </c>
      <c r="AX26" s="22">
        <f ca="1">+GETPIVOTDATA("XNT4",'nghiathanh (2016)'!$A$3,"MA_HT","SKC","MA_QH","SKX")</f>
        <v>0</v>
      </c>
      <c r="AY26" s="22">
        <f ca="1">+GETPIVOTDATA("XNT4",'nghiathanh (2016)'!$A$3,"MA_HT","SKC","MA_QH","DSH")</f>
        <v>0</v>
      </c>
      <c r="AZ26" s="22">
        <f ca="1">+GETPIVOTDATA("XNT4",'nghiathanh (2016)'!$A$3,"MA_HT","SKC","MA_QH","DKV")</f>
        <v>0</v>
      </c>
      <c r="BA26" s="89">
        <f ca="1">+GETPIVOTDATA("XNT4",'nghiathanh (2016)'!$A$3,"MA_HT","SKC","MA_QH","TIN")</f>
        <v>0</v>
      </c>
      <c r="BB26" s="50">
        <f ca="1">+GETPIVOTDATA("XNT4",'nghiathanh (2016)'!$A$3,"MA_HT","SKC","MA_QH","SON")</f>
        <v>0</v>
      </c>
      <c r="BC26" s="50">
        <f ca="1">+GETPIVOTDATA("XNT4",'nghiathanh (2016)'!$A$3,"MA_HT","SKC","MA_QH","MNC")</f>
        <v>0</v>
      </c>
      <c r="BD26" s="22">
        <f ca="1">+GETPIVOTDATA("XNT4",'nghiathanh (2016)'!$A$3,"MA_HT","SKC","MA_QH","PNK")</f>
        <v>0</v>
      </c>
      <c r="BE26" s="71">
        <f ca="1">+GETPIVOTDATA("XNT4",'nghiathanh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+GETPIVOTDATA("XNT4",'nghiathanh (2016)'!$A$3,"MA_HT","SKS","MA_QH","LUC")</f>
        <v>0</v>
      </c>
      <c r="H27" s="22">
        <f ca="1">+GETPIVOTDATA("XNT4",'nghiathanh (2016)'!$A$3,"MA_HT","SKS","MA_QH","LUK")</f>
        <v>0</v>
      </c>
      <c r="I27" s="22">
        <f ca="1">+GETPIVOTDATA("XNT4",'nghiathanh (2016)'!$A$3,"MA_HT","SKS","MA_QH","LUN")</f>
        <v>0</v>
      </c>
      <c r="J27" s="22">
        <f ca="1">+GETPIVOTDATA("XNT4",'nghiathanh (2016)'!$A$3,"MA_HT","SKS","MA_QH","HNK")</f>
        <v>0</v>
      </c>
      <c r="K27" s="22">
        <f ca="1">+GETPIVOTDATA("XNT4",'nghiathanh (2016)'!$A$3,"MA_HT","SKS","MA_QH","CLN")</f>
        <v>0</v>
      </c>
      <c r="L27" s="22">
        <f ca="1">+GETPIVOTDATA("XNT4",'nghiathanh (2016)'!$A$3,"MA_HT","SKS","MA_QH","RSX")</f>
        <v>0</v>
      </c>
      <c r="M27" s="22">
        <f ca="1">+GETPIVOTDATA("XNT4",'nghiathanh (2016)'!$A$3,"MA_HT","SKS","MA_QH","RPH")</f>
        <v>0</v>
      </c>
      <c r="N27" s="22">
        <f ca="1">+GETPIVOTDATA("XNT4",'nghiathanh (2016)'!$A$3,"MA_HT","SKS","MA_QH","RDD")</f>
        <v>0</v>
      </c>
      <c r="O27" s="22">
        <f ca="1">+GETPIVOTDATA("XNT4",'nghiathanh (2016)'!$A$3,"MA_HT","SKS","MA_QH","NTS")</f>
        <v>0</v>
      </c>
      <c r="P27" s="22">
        <f ca="1">+GETPIVOTDATA("XNT4",'nghiathanh (2016)'!$A$3,"MA_HT","SKS","MA_QH","LMU")</f>
        <v>0</v>
      </c>
      <c r="Q27" s="22">
        <f ca="1">+GETPIVOTDATA("XNT4",'nghiathanh (2016)'!$A$3,"MA_HT","SKS","MA_QH","NKH")</f>
        <v>0</v>
      </c>
      <c r="R27" s="42">
        <f ca="1">SUM(S27:Y27,AA27,AN27:BD27)</f>
        <v>0</v>
      </c>
      <c r="S27" s="22">
        <f ca="1">+GETPIVOTDATA("XNT4",'nghiathanh (2016)'!$A$3,"MA_HT","SKS","MA_QH","CQP")</f>
        <v>0</v>
      </c>
      <c r="T27" s="22">
        <f ca="1">+GETPIVOTDATA("XNT4",'nghiathanh (2016)'!$A$3,"MA_HT","SKS","MA_QH","CAN")</f>
        <v>0</v>
      </c>
      <c r="U27" s="22">
        <f ca="1">+GETPIVOTDATA("XNT4",'nghiathanh (2016)'!$A$3,"MA_HT","SKS","MA_QH","SKK")</f>
        <v>0</v>
      </c>
      <c r="V27" s="22">
        <f ca="1">+GETPIVOTDATA("XNT4",'nghiathanh (2016)'!$A$3,"MA_HT","SKS","MA_QH","SKT")</f>
        <v>0</v>
      </c>
      <c r="W27" s="22">
        <f ca="1">+GETPIVOTDATA("XNT4",'nghiathanh (2016)'!$A$3,"MA_HT","SKS","MA_QH","SKN")</f>
        <v>0</v>
      </c>
      <c r="X27" s="22">
        <f ca="1">+GETPIVOTDATA("XNT4",'nghiathanh (2016)'!$A$3,"MA_HT","SKS","MA_QH","TMD")</f>
        <v>0</v>
      </c>
      <c r="Y27" s="22">
        <f ca="1">+GETPIVOTDATA("XNT4",'nghiathanh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+GETPIVOTDATA("XNT4",'nghiathanh (2016)'!$A$3,"MA_HT","SKS","MA_QH","DGT")</f>
        <v>0</v>
      </c>
      <c r="AC27" s="22">
        <f ca="1">+GETPIVOTDATA("XNT4",'nghiathanh (2016)'!$A$3,"MA_HT","SKS","MA_QH","DTL")</f>
        <v>0</v>
      </c>
      <c r="AD27" s="22">
        <f ca="1">+GETPIVOTDATA("XNT4",'nghiathanh (2016)'!$A$3,"MA_HT","SKS","MA_QH","DNL")</f>
        <v>0</v>
      </c>
      <c r="AE27" s="22">
        <f ca="1">+GETPIVOTDATA("XNT4",'nghiathanh (2016)'!$A$3,"MA_HT","SKS","MA_QH","DBV")</f>
        <v>0</v>
      </c>
      <c r="AF27" s="22">
        <f ca="1">+GETPIVOTDATA("XNT4",'nghiathanh (2016)'!$A$3,"MA_HT","SKS","MA_QH","DVH")</f>
        <v>0</v>
      </c>
      <c r="AG27" s="22">
        <f ca="1">+GETPIVOTDATA("XNT4",'nghiathanh (2016)'!$A$3,"MA_HT","SKS","MA_QH","DYT")</f>
        <v>0</v>
      </c>
      <c r="AH27" s="22">
        <f ca="1">+GETPIVOTDATA("XNT4",'nghiathanh (2016)'!$A$3,"MA_HT","SKS","MA_QH","DGD")</f>
        <v>0</v>
      </c>
      <c r="AI27" s="22">
        <f ca="1">+GETPIVOTDATA("XNT4",'nghiathanh (2016)'!$A$3,"MA_HT","SKS","MA_QH","DTT")</f>
        <v>0</v>
      </c>
      <c r="AJ27" s="22">
        <f ca="1">+GETPIVOTDATA("XNT4",'nghiathanh (2016)'!$A$3,"MA_HT","SKS","MA_QH","NCK")</f>
        <v>0</v>
      </c>
      <c r="AK27" s="22">
        <f ca="1">+GETPIVOTDATA("XNT4",'nghiathanh (2016)'!$A$3,"MA_HT","SKS","MA_QH","DXH")</f>
        <v>0</v>
      </c>
      <c r="AL27" s="22">
        <f ca="1">+GETPIVOTDATA("XNT4",'nghiathanh (2016)'!$A$3,"MA_HT","SKS","MA_QH","DCH")</f>
        <v>0</v>
      </c>
      <c r="AM27" s="22">
        <f ca="1">+GETPIVOTDATA("XNT4",'nghiathanh (2016)'!$A$3,"MA_HT","SKS","MA_QH","DKG")</f>
        <v>0</v>
      </c>
      <c r="AN27" s="22">
        <f ca="1">+GETPIVOTDATA("XNT4",'nghiathanh (2016)'!$A$3,"MA_HT","SKS","MA_QH","DDT")</f>
        <v>0</v>
      </c>
      <c r="AO27" s="22">
        <f ca="1">+GETPIVOTDATA("XNT4",'nghiathanh (2016)'!$A$3,"MA_HT","SKS","MA_QH","DDL")</f>
        <v>0</v>
      </c>
      <c r="AP27" s="22">
        <f ca="1">+GETPIVOTDATA("XNT4",'nghiathanh (2016)'!$A$3,"MA_HT","SKS","MA_QH","DRA")</f>
        <v>0</v>
      </c>
      <c r="AQ27" s="22">
        <f ca="1">+GETPIVOTDATA("XNT4",'nghiathanh (2016)'!$A$3,"MA_HT","SKS","MA_QH","ONT")</f>
        <v>0</v>
      </c>
      <c r="AR27" s="22">
        <f ca="1">+GETPIVOTDATA("XNT4",'nghiathanh (2016)'!$A$3,"MA_HT","SKS","MA_QH","ODT")</f>
        <v>0</v>
      </c>
      <c r="AS27" s="22">
        <f ca="1">+GETPIVOTDATA("XNT4",'nghiathanh (2016)'!$A$3,"MA_HT","SKS","MA_QH","TSC")</f>
        <v>0</v>
      </c>
      <c r="AT27" s="22">
        <f ca="1">+GETPIVOTDATA("XNT4",'nghiathanh (2016)'!$A$3,"MA_HT","SKS","MA_QH","DTS")</f>
        <v>0</v>
      </c>
      <c r="AU27" s="22">
        <f ca="1">+GETPIVOTDATA("XNT4",'nghiathanh (2016)'!$A$3,"MA_HT","SKS","MA_QH","DNG")</f>
        <v>0</v>
      </c>
      <c r="AV27" s="22">
        <f ca="1">+GETPIVOTDATA("XNT4",'nghiathanh (2016)'!$A$3,"MA_HT","SKS","MA_QH","TON")</f>
        <v>0</v>
      </c>
      <c r="AW27" s="22">
        <f ca="1">+GETPIVOTDATA("XNT4",'nghiathanh (2016)'!$A$3,"MA_HT","SKS","MA_QH","NTD")</f>
        <v>0</v>
      </c>
      <c r="AX27" s="22">
        <f ca="1">+GETPIVOTDATA("XNT4",'nghiathanh (2016)'!$A$3,"MA_HT","SKS","MA_QH","SKX")</f>
        <v>0</v>
      </c>
      <c r="AY27" s="22">
        <f ca="1">+GETPIVOTDATA("XNT4",'nghiathanh (2016)'!$A$3,"MA_HT","SKS","MA_QH","DSH")</f>
        <v>0</v>
      </c>
      <c r="AZ27" s="22">
        <f ca="1">+GETPIVOTDATA("XNT4",'nghiathanh (2016)'!$A$3,"MA_HT","SKS","MA_QH","DKV")</f>
        <v>0</v>
      </c>
      <c r="BA27" s="89">
        <f ca="1">+GETPIVOTDATA("XNT4",'nghiathanh (2016)'!$A$3,"MA_HT","SKS","MA_QH","TIN")</f>
        <v>0</v>
      </c>
      <c r="BB27" s="50">
        <f ca="1">+GETPIVOTDATA("XNT4",'nghiathanh (2016)'!$A$3,"MA_HT","SKS","MA_QH","SON")</f>
        <v>0</v>
      </c>
      <c r="BC27" s="50">
        <f ca="1">+GETPIVOTDATA("XNT4",'nghiathanh (2016)'!$A$3,"MA_HT","SKS","MA_QH","MNC")</f>
        <v>0</v>
      </c>
      <c r="BD27" s="22">
        <f ca="1">+GETPIVOTDATA("XNT4",'nghiathanh (2016)'!$A$3,"MA_HT","SKS","MA_QH","PNK")</f>
        <v>0</v>
      </c>
      <c r="BE27" s="71">
        <f ca="1">+GETPIVOTDATA("XNT4",'nghiathanh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+GETPIVOTDATA("XNT4",'nghiathanh (2016)'!$A$3,"MA_HT","DGT","MA_QH","LUC")</f>
        <v>0</v>
      </c>
      <c r="H29" s="50">
        <f ca="1">+GETPIVOTDATA("XNT4",'nghiathanh (2016)'!$A$3,"MA_HT","DGT","MA_QH","LUK")</f>
        <v>0</v>
      </c>
      <c r="I29" s="50">
        <f ca="1">+GETPIVOTDATA("XNT4",'nghiathanh (2016)'!$A$3,"MA_HT","DGT","MA_QH","LUN")</f>
        <v>0</v>
      </c>
      <c r="J29" s="50">
        <f ca="1">+GETPIVOTDATA("XNT4",'nghiathanh (2016)'!$A$3,"MA_HT","DGT","MA_QH","HNK")</f>
        <v>0</v>
      </c>
      <c r="K29" s="50">
        <f ca="1">+GETPIVOTDATA("XNT4",'nghiathanh (2016)'!$A$3,"MA_HT","DGT","MA_QH","CLN")</f>
        <v>0</v>
      </c>
      <c r="L29" s="50">
        <f ca="1">+GETPIVOTDATA("XNT4",'nghiathanh (2016)'!$A$3,"MA_HT","DGT","MA_QH","RSX")</f>
        <v>0</v>
      </c>
      <c r="M29" s="50">
        <f ca="1">+GETPIVOTDATA("XNT4",'nghiathanh (2016)'!$A$3,"MA_HT","DGT","MA_QH","RPH")</f>
        <v>0</v>
      </c>
      <c r="N29" s="50">
        <f ca="1">+GETPIVOTDATA("XNT4",'nghiathanh (2016)'!$A$3,"MA_HT","DGT","MA_QH","RDD")</f>
        <v>0</v>
      </c>
      <c r="O29" s="50">
        <f ca="1">+GETPIVOTDATA("XNT4",'nghiathanh (2016)'!$A$3,"MA_HT","DGT","MA_QH","NTS")</f>
        <v>0</v>
      </c>
      <c r="P29" s="50">
        <f ca="1">+GETPIVOTDATA("XNT4",'nghiathanh (2016)'!$A$3,"MA_HT","DGT","MA_QH","LMU")</f>
        <v>0</v>
      </c>
      <c r="Q29" s="50">
        <f ca="1">+GETPIVOTDATA("XNT4",'nghiathanh (2016)'!$A$3,"MA_HT","DGT","MA_QH","NKH")</f>
        <v>0</v>
      </c>
      <c r="R29" s="48">
        <f ca="1">SUM(S29:AA29,AN29:BD29)</f>
        <v>0</v>
      </c>
      <c r="S29" s="50">
        <f ca="1">+GETPIVOTDATA("XNT4",'nghiathanh (2016)'!$A$3,"MA_HT","DGT","MA_QH","CQP")</f>
        <v>0</v>
      </c>
      <c r="T29" s="50">
        <f ca="1">+GETPIVOTDATA("XNT4",'nghiathanh (2016)'!$A$3,"MA_HT","DGT","MA_QH","CAN")</f>
        <v>0</v>
      </c>
      <c r="U29" s="50">
        <f ca="1">+GETPIVOTDATA("XNT4",'nghiathanh (2016)'!$A$3,"MA_HT","DGT","MA_QH","SKK")</f>
        <v>0</v>
      </c>
      <c r="V29" s="50">
        <f ca="1">+GETPIVOTDATA("XNT4",'nghiathanh (2016)'!$A$3,"MA_HT","DGT","MA_QH","SKT")</f>
        <v>0</v>
      </c>
      <c r="W29" s="50">
        <f ca="1">+GETPIVOTDATA("XNT4",'nghiathanh (2016)'!$A$3,"MA_HT","DGT","MA_QH","SKN")</f>
        <v>0</v>
      </c>
      <c r="X29" s="50">
        <f ca="1">+GETPIVOTDATA("XNT4",'nghiathanh (2016)'!$A$3,"MA_HT","DGT","MA_QH","TMD")</f>
        <v>0</v>
      </c>
      <c r="Y29" s="50">
        <f ca="1">+GETPIVOTDATA("XNT4",'nghiathanh (2016)'!$A$3,"MA_HT","DGT","MA_QH","SKC")</f>
        <v>0</v>
      </c>
      <c r="Z29" s="50">
        <f ca="1">+GETPIVOTDATA("XNT4",'nghiathanh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+GETPIVOTDATA("XNT4",'nghiathanh (2016)'!$A$3,"MA_HT","DGT","MA_QH","DTL")</f>
        <v>0</v>
      </c>
      <c r="AD29" s="50">
        <f ca="1">+GETPIVOTDATA("XNT4",'nghiathanh (2016)'!$A$3,"MA_HT","DGT","MA_QH","DNL")</f>
        <v>0</v>
      </c>
      <c r="AE29" s="50">
        <f ca="1">+GETPIVOTDATA("XNT4",'nghiathanh (2016)'!$A$3,"MA_HT","DGT","MA_QH","DBV")</f>
        <v>0</v>
      </c>
      <c r="AF29" s="50">
        <f ca="1">+GETPIVOTDATA("XNT4",'nghiathanh (2016)'!$A$3,"MA_HT","DGT","MA_QH","DVH")</f>
        <v>0</v>
      </c>
      <c r="AG29" s="50">
        <f ca="1">+GETPIVOTDATA("XNT4",'nghiathanh (2016)'!$A$3,"MA_HT","DGT","MA_QH","DYT")</f>
        <v>0</v>
      </c>
      <c r="AH29" s="50">
        <f ca="1">+GETPIVOTDATA("XNT4",'nghiathanh (2016)'!$A$3,"MA_HT","DGT","MA_QH","DGD")</f>
        <v>0</v>
      </c>
      <c r="AI29" s="50">
        <f ca="1">+GETPIVOTDATA("XNT4",'nghiathanh (2016)'!$A$3,"MA_HT","DGT","MA_QH","DTT")</f>
        <v>0</v>
      </c>
      <c r="AJ29" s="50">
        <f ca="1">+GETPIVOTDATA("XNT4",'nghiathanh (2016)'!$A$3,"MA_HT","DGT","MA_QH","NCK")</f>
        <v>0</v>
      </c>
      <c r="AK29" s="50">
        <f ca="1">+GETPIVOTDATA("XNT4",'nghiathanh (2016)'!$A$3,"MA_HT","DGT","MA_QH","DXH")</f>
        <v>0</v>
      </c>
      <c r="AL29" s="50">
        <f ca="1">+GETPIVOTDATA("XNT4",'nghiathanh (2016)'!$A$3,"MA_HT","DGT","MA_QH","DCH")</f>
        <v>0</v>
      </c>
      <c r="AM29" s="50">
        <f ca="1">+GETPIVOTDATA("XNT4",'nghiathanh (2016)'!$A$3,"MA_HT","DGT","MA_QH","DKG")</f>
        <v>0</v>
      </c>
      <c r="AN29" s="50">
        <f ca="1">+GETPIVOTDATA("XNT4",'nghiathanh (2016)'!$A$3,"MA_HT","DGT","MA_QH","DDT")</f>
        <v>0</v>
      </c>
      <c r="AO29" s="50">
        <f ca="1">+GETPIVOTDATA("XNT4",'nghiathanh (2016)'!$A$3,"MA_HT","DGT","MA_QH","DDL")</f>
        <v>0</v>
      </c>
      <c r="AP29" s="50">
        <f ca="1">+GETPIVOTDATA("XNT4",'nghiathanh (2016)'!$A$3,"MA_HT","DGT","MA_QH","DRA")</f>
        <v>0</v>
      </c>
      <c r="AQ29" s="50">
        <f ca="1">+GETPIVOTDATA("XNT4",'nghiathanh (2016)'!$A$3,"MA_HT","DGT","MA_QH","ONT")</f>
        <v>0</v>
      </c>
      <c r="AR29" s="50">
        <f ca="1">+GETPIVOTDATA("XNT4",'nghiathanh (2016)'!$A$3,"MA_HT","DGT","MA_QH","ODT")</f>
        <v>0</v>
      </c>
      <c r="AS29" s="50">
        <f ca="1">+GETPIVOTDATA("XNT4",'nghiathanh (2016)'!$A$3,"MA_HT","DGT","MA_QH","TSC")</f>
        <v>0</v>
      </c>
      <c r="AT29" s="50">
        <f ca="1">+GETPIVOTDATA("XNT4",'nghiathanh (2016)'!$A$3,"MA_HT","DGT","MA_QH","DTS")</f>
        <v>0</v>
      </c>
      <c r="AU29" s="50">
        <f ca="1">+GETPIVOTDATA("XNT4",'nghiathanh (2016)'!$A$3,"MA_HT","DGT","MA_QH","DNG")</f>
        <v>0</v>
      </c>
      <c r="AV29" s="50">
        <f ca="1">+GETPIVOTDATA("XNT4",'nghiathanh (2016)'!$A$3,"MA_HT","DGT","MA_QH","TON")</f>
        <v>0</v>
      </c>
      <c r="AW29" s="50">
        <f ca="1">+GETPIVOTDATA("XNT4",'nghiathanh (2016)'!$A$3,"MA_HT","DGT","MA_QH","NTD")</f>
        <v>0</v>
      </c>
      <c r="AX29" s="50">
        <f ca="1">+GETPIVOTDATA("XNT4",'nghiathanh (2016)'!$A$3,"MA_HT","DGT","MA_QH","SKX")</f>
        <v>0</v>
      </c>
      <c r="AY29" s="50">
        <f ca="1">+GETPIVOTDATA("XNT4",'nghiathanh (2016)'!$A$3,"MA_HT","DGT","MA_QH","DSH")</f>
        <v>0</v>
      </c>
      <c r="AZ29" s="50">
        <f ca="1">+GETPIVOTDATA("XNT4",'nghiathanh (2016)'!$A$3,"MA_HT","DGT","MA_QH","DKV")</f>
        <v>0</v>
      </c>
      <c r="BA29" s="88">
        <f ca="1">+GETPIVOTDATA("XNT4",'nghiathanh (2016)'!$A$3,"MA_HT","DGT","MA_QH","TIN")</f>
        <v>0</v>
      </c>
      <c r="BB29" s="50">
        <f ca="1">+GETPIVOTDATA("XNT4",'nghiathanh (2016)'!$A$3,"MA_HT","DGT","MA_QH","SON")</f>
        <v>0</v>
      </c>
      <c r="BC29" s="50">
        <f ca="1">+GETPIVOTDATA("XNT4",'nghiathanh (2016)'!$A$3,"MA_HT","DGT","MA_QH","MNC")</f>
        <v>0</v>
      </c>
      <c r="BD29" s="50">
        <f ca="1">+GETPIVOTDATA("XNT4",'nghiathanh (2016)'!$A$3,"MA_HT","DGT","MA_QH","PNK")</f>
        <v>0</v>
      </c>
      <c r="BE29" s="80">
        <f ca="1">+GETPIVOTDATA("XNT4",'nghiathanh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+GETPIVOTDATA("XNT4",'nghiathanh (2016)'!$A$3,"MA_HT","DTL","MA_QH","LUC")</f>
        <v>0</v>
      </c>
      <c r="H30" s="50">
        <f ca="1">+GETPIVOTDATA("XNT4",'nghiathanh (2016)'!$A$3,"MA_HT","DTL","MA_QH","LUK")</f>
        <v>0</v>
      </c>
      <c r="I30" s="50">
        <f ca="1">+GETPIVOTDATA("XNT4",'nghiathanh (2016)'!$A$3,"MA_HT","DTL","MA_QH","LUN")</f>
        <v>0</v>
      </c>
      <c r="J30" s="50">
        <f ca="1">+GETPIVOTDATA("XNT4",'nghiathanh (2016)'!$A$3,"MA_HT","DTL","MA_QH","HNK")</f>
        <v>0</v>
      </c>
      <c r="K30" s="50">
        <f ca="1">+GETPIVOTDATA("XNT4",'nghiathanh (2016)'!$A$3,"MA_HT","DTL","MA_QH","CLN")</f>
        <v>0</v>
      </c>
      <c r="L30" s="50">
        <f ca="1">+GETPIVOTDATA("XNT4",'nghiathanh (2016)'!$A$3,"MA_HT","DTL","MA_QH","RSX")</f>
        <v>0</v>
      </c>
      <c r="M30" s="50">
        <f ca="1">+GETPIVOTDATA("XNT4",'nghiathanh (2016)'!$A$3,"MA_HT","DTL","MA_QH","RPH")</f>
        <v>0</v>
      </c>
      <c r="N30" s="50">
        <f ca="1">+GETPIVOTDATA("XNT4",'nghiathanh (2016)'!$A$3,"MA_HT","DTL","MA_QH","RDD")</f>
        <v>0</v>
      </c>
      <c r="O30" s="50">
        <f ca="1">+GETPIVOTDATA("XNT4",'nghiathanh (2016)'!$A$3,"MA_HT","DTL","MA_QH","NTS")</f>
        <v>0</v>
      </c>
      <c r="P30" s="50">
        <f ca="1">+GETPIVOTDATA("XNT4",'nghiathanh (2016)'!$A$3,"MA_HT","DTL","MA_QH","LMU")</f>
        <v>0</v>
      </c>
      <c r="Q30" s="50">
        <f ca="1">+GETPIVOTDATA("XNT4",'nghiathanh (2016)'!$A$3,"MA_HT","DTL","MA_QH","NKH")</f>
        <v>0</v>
      </c>
      <c r="R30" s="48">
        <f ca="1" t="shared" ref="R30:R40" si="20">SUM(S30:AA30,AN30:BD30)</f>
        <v>0</v>
      </c>
      <c r="S30" s="50">
        <f ca="1">+GETPIVOTDATA("XNT4",'nghiathanh (2016)'!$A$3,"MA_HT","DTL","MA_QH","CQP")</f>
        <v>0</v>
      </c>
      <c r="T30" s="50">
        <f ca="1">+GETPIVOTDATA("XNT4",'nghiathanh (2016)'!$A$3,"MA_HT","DTL","MA_QH","CAN")</f>
        <v>0</v>
      </c>
      <c r="U30" s="50">
        <f ca="1">+GETPIVOTDATA("XNT4",'nghiathanh (2016)'!$A$3,"MA_HT","DTL","MA_QH","SKK")</f>
        <v>0</v>
      </c>
      <c r="V30" s="50">
        <f ca="1">+GETPIVOTDATA("XNT4",'nghiathanh (2016)'!$A$3,"MA_HT","DTL","MA_QH","SKT")</f>
        <v>0</v>
      </c>
      <c r="W30" s="50">
        <f ca="1">+GETPIVOTDATA("XNT4",'nghiathanh (2016)'!$A$3,"MA_HT","DTL","MA_QH","SKN")</f>
        <v>0</v>
      </c>
      <c r="X30" s="50">
        <f ca="1">+GETPIVOTDATA("XNT4",'nghiathanh (2016)'!$A$3,"MA_HT","DTL","MA_QH","TMD")</f>
        <v>0</v>
      </c>
      <c r="Y30" s="50">
        <f ca="1">+GETPIVOTDATA("XNT4",'nghiathanh (2016)'!$A$3,"MA_HT","DTL","MA_QH","SKC")</f>
        <v>0</v>
      </c>
      <c r="Z30" s="50">
        <f ca="1">+GETPIVOTDATA("XNT4",'nghiathanh (2016)'!$A$3,"MA_HT","DTL","MA_QH","SKS")</f>
        <v>0</v>
      </c>
      <c r="AA30" s="52">
        <f ca="1">+SUM(AB30,AD30:AM30)</f>
        <v>0</v>
      </c>
      <c r="AB30" s="50">
        <f ca="1">+GETPIVOTDATA("XNT4",'nghiathanh (2016)'!$A$3,"MA_HT","DTL","MA_QH","DGT")</f>
        <v>0</v>
      </c>
      <c r="AC30" s="49" t="e">
        <f ca="1">$D30-$BF30</f>
        <v>#REF!</v>
      </c>
      <c r="AD30" s="50">
        <f ca="1">+GETPIVOTDATA("XNT4",'nghiathanh (2016)'!$A$3,"MA_HT","DTL","MA_QH","DNL")</f>
        <v>0</v>
      </c>
      <c r="AE30" s="50">
        <f ca="1">+GETPIVOTDATA("XNT4",'nghiathanh (2016)'!$A$3,"MA_HT","DTL","MA_QH","DBV")</f>
        <v>0</v>
      </c>
      <c r="AF30" s="50">
        <f ca="1">+GETPIVOTDATA("XNT4",'nghiathanh (2016)'!$A$3,"MA_HT","DTL","MA_QH","DVH")</f>
        <v>0</v>
      </c>
      <c r="AG30" s="50">
        <f ca="1">+GETPIVOTDATA("XNT4",'nghiathanh (2016)'!$A$3,"MA_HT","DTL","MA_QH","DYT")</f>
        <v>0</v>
      </c>
      <c r="AH30" s="50">
        <f ca="1">+GETPIVOTDATA("XNT4",'nghiathanh (2016)'!$A$3,"MA_HT","DTL","MA_QH","DGD")</f>
        <v>0</v>
      </c>
      <c r="AI30" s="50">
        <f ca="1">+GETPIVOTDATA("XNT4",'nghiathanh (2016)'!$A$3,"MA_HT","DTL","MA_QH","DTT")</f>
        <v>0</v>
      </c>
      <c r="AJ30" s="50">
        <f ca="1">+GETPIVOTDATA("XNT4",'nghiathanh (2016)'!$A$3,"MA_HT","DTL","MA_QH","NCK")</f>
        <v>0</v>
      </c>
      <c r="AK30" s="50">
        <f ca="1">+GETPIVOTDATA("XNT4",'nghiathanh (2016)'!$A$3,"MA_HT","DTL","MA_QH","DXH")</f>
        <v>0</v>
      </c>
      <c r="AL30" s="50">
        <f ca="1">+GETPIVOTDATA("XNT4",'nghiathanh (2016)'!$A$3,"MA_HT","DTL","MA_QH","DCH")</f>
        <v>0</v>
      </c>
      <c r="AM30" s="50">
        <f ca="1">+GETPIVOTDATA("XNT4",'nghiathanh (2016)'!$A$3,"MA_HT","DTL","MA_QH","DKG")</f>
        <v>0</v>
      </c>
      <c r="AN30" s="50">
        <f ca="1">+GETPIVOTDATA("XNT4",'nghiathanh (2016)'!$A$3,"MA_HT","DTL","MA_QH","DDT")</f>
        <v>0</v>
      </c>
      <c r="AO30" s="50">
        <f ca="1">+GETPIVOTDATA("XNT4",'nghiathanh (2016)'!$A$3,"MA_HT","DTL","MA_QH","DDL")</f>
        <v>0</v>
      </c>
      <c r="AP30" s="50">
        <f ca="1">+GETPIVOTDATA("XNT4",'nghiathanh (2016)'!$A$3,"MA_HT","DTL","MA_QH","DRA")</f>
        <v>0</v>
      </c>
      <c r="AQ30" s="50">
        <f ca="1">+GETPIVOTDATA("XNT4",'nghiathanh (2016)'!$A$3,"MA_HT","DTL","MA_QH","ONT")</f>
        <v>0</v>
      </c>
      <c r="AR30" s="50">
        <f ca="1">+GETPIVOTDATA("XNT4",'nghiathanh (2016)'!$A$3,"MA_HT","DTL","MA_QH","ODT")</f>
        <v>0</v>
      </c>
      <c r="AS30" s="50">
        <f ca="1">+GETPIVOTDATA("XNT4",'nghiathanh (2016)'!$A$3,"MA_HT","DTL","MA_QH","TSC")</f>
        <v>0</v>
      </c>
      <c r="AT30" s="50">
        <f ca="1">+GETPIVOTDATA("XNT4",'nghiathanh (2016)'!$A$3,"MA_HT","DTL","MA_QH","DTS")</f>
        <v>0</v>
      </c>
      <c r="AU30" s="50">
        <f ca="1">+GETPIVOTDATA("XNT4",'nghiathanh (2016)'!$A$3,"MA_HT","DTL","MA_QH","DNG")</f>
        <v>0</v>
      </c>
      <c r="AV30" s="50">
        <f ca="1">+GETPIVOTDATA("XNT4",'nghiathanh (2016)'!$A$3,"MA_HT","DTL","MA_QH","TON")</f>
        <v>0</v>
      </c>
      <c r="AW30" s="50">
        <f ca="1">+GETPIVOTDATA("XNT4",'nghiathanh (2016)'!$A$3,"MA_HT","DTL","MA_QH","NTD")</f>
        <v>0</v>
      </c>
      <c r="AX30" s="50">
        <f ca="1">+GETPIVOTDATA("XNT4",'nghiathanh (2016)'!$A$3,"MA_HT","DTL","MA_QH","SKX")</f>
        <v>0</v>
      </c>
      <c r="AY30" s="50">
        <f ca="1">+GETPIVOTDATA("XNT4",'nghiathanh (2016)'!$A$3,"MA_HT","DTL","MA_QH","DSH")</f>
        <v>0</v>
      </c>
      <c r="AZ30" s="50">
        <f ca="1">+GETPIVOTDATA("XNT4",'nghiathanh (2016)'!$A$3,"MA_HT","DTL","MA_QH","DKV")</f>
        <v>0</v>
      </c>
      <c r="BA30" s="88">
        <f ca="1">+GETPIVOTDATA("XNT4",'nghiathanh (2016)'!$A$3,"MA_HT","DTL","MA_QH","TIN")</f>
        <v>0</v>
      </c>
      <c r="BB30" s="50">
        <f ca="1">+GETPIVOTDATA("XNT4",'nghiathanh (2016)'!$A$3,"MA_HT","DTL","MA_QH","SON")</f>
        <v>0</v>
      </c>
      <c r="BC30" s="50">
        <f ca="1">+GETPIVOTDATA("XNT4",'nghiathanh (2016)'!$A$3,"MA_HT","DTL","MA_QH","MNC")</f>
        <v>0</v>
      </c>
      <c r="BD30" s="50">
        <f ca="1">+GETPIVOTDATA("XNT4",'nghiathanh (2016)'!$A$3,"MA_HT","DTL","MA_QH","PNK")</f>
        <v>0</v>
      </c>
      <c r="BE30" s="80">
        <f ca="1">+GETPIVOTDATA("XNT4",'nghiathanh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+GETPIVOTDATA("XNT4",'nghiathanh (2016)'!$A$3,"MA_HT","DNL","MA_QH","LUC")</f>
        <v>0</v>
      </c>
      <c r="H31" s="50">
        <f ca="1">+GETPIVOTDATA("XNT4",'nghiathanh (2016)'!$A$3,"MA_HT","DNL","MA_QH","LUK")</f>
        <v>0</v>
      </c>
      <c r="I31" s="50">
        <f ca="1">+GETPIVOTDATA("XNT4",'nghiathanh (2016)'!$A$3,"MA_HT","DNL","MA_QH","LUN")</f>
        <v>0</v>
      </c>
      <c r="J31" s="50">
        <f ca="1">+GETPIVOTDATA("XNT4",'nghiathanh (2016)'!$A$3,"MA_HT","DNL","MA_QH","HNK")</f>
        <v>0</v>
      </c>
      <c r="K31" s="50">
        <f ca="1">+GETPIVOTDATA("XNT4",'nghiathanh (2016)'!$A$3,"MA_HT","DNL","MA_QH","CLN")</f>
        <v>0</v>
      </c>
      <c r="L31" s="50">
        <f ca="1">+GETPIVOTDATA("XNT4",'nghiathanh (2016)'!$A$3,"MA_HT","DNL","MA_QH","RSX")</f>
        <v>0</v>
      </c>
      <c r="M31" s="50">
        <f ca="1">+GETPIVOTDATA("XNT4",'nghiathanh (2016)'!$A$3,"MA_HT","DNL","MA_QH","RPH")</f>
        <v>0</v>
      </c>
      <c r="N31" s="50">
        <f ca="1">+GETPIVOTDATA("XNT4",'nghiathanh (2016)'!$A$3,"MA_HT","DNL","MA_QH","RDD")</f>
        <v>0</v>
      </c>
      <c r="O31" s="50">
        <f ca="1">+GETPIVOTDATA("XNT4",'nghiathanh (2016)'!$A$3,"MA_HT","DNL","MA_QH","NTS")</f>
        <v>0</v>
      </c>
      <c r="P31" s="50">
        <f ca="1">+GETPIVOTDATA("XNT4",'nghiathanh (2016)'!$A$3,"MA_HT","DNL","MA_QH","LMU")</f>
        <v>0</v>
      </c>
      <c r="Q31" s="50">
        <f ca="1">+GETPIVOTDATA("XNT4",'nghiathanh (2016)'!$A$3,"MA_HT","DNL","MA_QH","NKH")</f>
        <v>0</v>
      </c>
      <c r="R31" s="48">
        <f ca="1" t="shared" si="20"/>
        <v>0</v>
      </c>
      <c r="S31" s="50">
        <f ca="1">+GETPIVOTDATA("XNT4",'nghiathanh (2016)'!$A$3,"MA_HT","DNL","MA_QH","CQP")</f>
        <v>0</v>
      </c>
      <c r="T31" s="50">
        <f ca="1">+GETPIVOTDATA("XNT4",'nghiathanh (2016)'!$A$3,"MA_HT","DNL","MA_QH","CAN")</f>
        <v>0</v>
      </c>
      <c r="U31" s="50">
        <f ca="1">+GETPIVOTDATA("XNT4",'nghiathanh (2016)'!$A$3,"MA_HT","DNL","MA_QH","SKK")</f>
        <v>0</v>
      </c>
      <c r="V31" s="50">
        <f ca="1">+GETPIVOTDATA("XNT4",'nghiathanh (2016)'!$A$3,"MA_HT","DNL","MA_QH","SKT")</f>
        <v>0</v>
      </c>
      <c r="W31" s="50">
        <f ca="1">+GETPIVOTDATA("XNT4",'nghiathanh (2016)'!$A$3,"MA_HT","DNL","MA_QH","SKN")</f>
        <v>0</v>
      </c>
      <c r="X31" s="50">
        <f ca="1">+GETPIVOTDATA("XNT4",'nghiathanh (2016)'!$A$3,"MA_HT","DNL","MA_QH","TMD")</f>
        <v>0</v>
      </c>
      <c r="Y31" s="50">
        <f ca="1">+GETPIVOTDATA("XNT4",'nghiathanh (2016)'!$A$3,"MA_HT","DNL","MA_QH","SKC")</f>
        <v>0</v>
      </c>
      <c r="Z31" s="50">
        <f ca="1">+GETPIVOTDATA("XNT4",'nghiathanh (2016)'!$A$3,"MA_HT","DNL","MA_QH","SKS")</f>
        <v>0</v>
      </c>
      <c r="AA31" s="52">
        <f ca="1">+SUM(AB31:AC31,AE31:AM31)</f>
        <v>0</v>
      </c>
      <c r="AB31" s="50">
        <f ca="1">+GETPIVOTDATA("XNT4",'nghiathanh (2016)'!$A$3,"MA_HT","DNL","MA_QH","DGT")</f>
        <v>0</v>
      </c>
      <c r="AC31" s="50">
        <f ca="1">+GETPIVOTDATA("XNT4",'nghiathanh (2016)'!$A$3,"MA_HT","DNL","MA_QH","DTL")</f>
        <v>0</v>
      </c>
      <c r="AD31" s="49" t="e">
        <f ca="1">$D31-$BF31</f>
        <v>#REF!</v>
      </c>
      <c r="AE31" s="50">
        <f ca="1">+GETPIVOTDATA("XNT4",'nghiathanh (2016)'!$A$3,"MA_HT","DNL","MA_QH","DBV")</f>
        <v>0</v>
      </c>
      <c r="AF31" s="50">
        <f ca="1">+GETPIVOTDATA("XNT4",'nghiathanh (2016)'!$A$3,"MA_HT","DNL","MA_QH","DVH")</f>
        <v>0</v>
      </c>
      <c r="AG31" s="50">
        <f ca="1">+GETPIVOTDATA("XNT4",'nghiathanh (2016)'!$A$3,"MA_HT","DNL","MA_QH","DYT")</f>
        <v>0</v>
      </c>
      <c r="AH31" s="50">
        <f ca="1">+GETPIVOTDATA("XNT4",'nghiathanh (2016)'!$A$3,"MA_HT","DNL","MA_QH","DGD")</f>
        <v>0</v>
      </c>
      <c r="AI31" s="50">
        <f ca="1">+GETPIVOTDATA("XNT4",'nghiathanh (2016)'!$A$3,"MA_HT","DNL","MA_QH","DTT")</f>
        <v>0</v>
      </c>
      <c r="AJ31" s="50">
        <f ca="1">+GETPIVOTDATA("XNT4",'nghiathanh (2016)'!$A$3,"MA_HT","DNL","MA_QH","NCK")</f>
        <v>0</v>
      </c>
      <c r="AK31" s="50">
        <f ca="1">+GETPIVOTDATA("XNT4",'nghiathanh (2016)'!$A$3,"MA_HT","DNL","MA_QH","DXH")</f>
        <v>0</v>
      </c>
      <c r="AL31" s="50">
        <f ca="1">+GETPIVOTDATA("XNT4",'nghiathanh (2016)'!$A$3,"MA_HT","DNL","MA_QH","DCH")</f>
        <v>0</v>
      </c>
      <c r="AM31" s="50">
        <f ca="1">+GETPIVOTDATA("XNT4",'nghiathanh (2016)'!$A$3,"MA_HT","DNL","MA_QH","DKG")</f>
        <v>0</v>
      </c>
      <c r="AN31" s="50">
        <f ca="1">+GETPIVOTDATA("XNT4",'nghiathanh (2016)'!$A$3,"MA_HT","DNL","MA_QH","DDT")</f>
        <v>0</v>
      </c>
      <c r="AO31" s="50">
        <f ca="1">+GETPIVOTDATA("XNT4",'nghiathanh (2016)'!$A$3,"MA_HT","DNL","MA_QH","DDL")</f>
        <v>0</v>
      </c>
      <c r="AP31" s="50">
        <f ca="1">+GETPIVOTDATA("XNT4",'nghiathanh (2016)'!$A$3,"MA_HT","DNL","MA_QH","DRA")</f>
        <v>0</v>
      </c>
      <c r="AQ31" s="50">
        <f ca="1">+GETPIVOTDATA("XNT4",'nghiathanh (2016)'!$A$3,"MA_HT","DNL","MA_QH","ONT")</f>
        <v>0</v>
      </c>
      <c r="AR31" s="50">
        <f ca="1">+GETPIVOTDATA("XNT4",'nghiathanh (2016)'!$A$3,"MA_HT","DNL","MA_QH","ODT")</f>
        <v>0</v>
      </c>
      <c r="AS31" s="50">
        <f ca="1">+GETPIVOTDATA("XNT4",'nghiathanh (2016)'!$A$3,"MA_HT","DNL","MA_QH","TSC")</f>
        <v>0</v>
      </c>
      <c r="AT31" s="50">
        <f ca="1">+GETPIVOTDATA("XNT4",'nghiathanh (2016)'!$A$3,"MA_HT","DNL","MA_QH","DTS")</f>
        <v>0</v>
      </c>
      <c r="AU31" s="50">
        <f ca="1">+GETPIVOTDATA("XNT4",'nghiathanh (2016)'!$A$3,"MA_HT","DNL","MA_QH","DNG")</f>
        <v>0</v>
      </c>
      <c r="AV31" s="50">
        <f ca="1">+GETPIVOTDATA("XNT4",'nghiathanh (2016)'!$A$3,"MA_HT","DNL","MA_QH","TON")</f>
        <v>0</v>
      </c>
      <c r="AW31" s="50">
        <f ca="1">+GETPIVOTDATA("XNT4",'nghiathanh (2016)'!$A$3,"MA_HT","DNL","MA_QH","NTD")</f>
        <v>0</v>
      </c>
      <c r="AX31" s="50">
        <f ca="1">+GETPIVOTDATA("XNT4",'nghiathanh (2016)'!$A$3,"MA_HT","DNL","MA_QH","SKX")</f>
        <v>0</v>
      </c>
      <c r="AY31" s="50">
        <f ca="1">+GETPIVOTDATA("XNT4",'nghiathanh (2016)'!$A$3,"MA_HT","DNL","MA_QH","DSH")</f>
        <v>0</v>
      </c>
      <c r="AZ31" s="50">
        <f ca="1">+GETPIVOTDATA("XNT4",'nghiathanh (2016)'!$A$3,"MA_HT","DNL","MA_QH","DKV")</f>
        <v>0</v>
      </c>
      <c r="BA31" s="88">
        <f ca="1">+GETPIVOTDATA("XNT4",'nghiathanh (2016)'!$A$3,"MA_HT","DNL","MA_QH","TIN")</f>
        <v>0</v>
      </c>
      <c r="BB31" s="50">
        <f ca="1">+GETPIVOTDATA("XNT4",'nghiathanh (2016)'!$A$3,"MA_HT","DNL","MA_QH","SON")</f>
        <v>0</v>
      </c>
      <c r="BC31" s="50">
        <f ca="1">+GETPIVOTDATA("XNT4",'nghiathanh (2016)'!$A$3,"MA_HT","DNL","MA_QH","MNC")</f>
        <v>0</v>
      </c>
      <c r="BD31" s="50">
        <f ca="1">+GETPIVOTDATA("XNT4",'nghiathanh (2016)'!$A$3,"MA_HT","DNL","MA_QH","PNK")</f>
        <v>0</v>
      </c>
      <c r="BE31" s="80">
        <f ca="1">+GETPIVOTDATA("XNT4",'nghiathanh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+GETPIVOTDATA("XNT4",'nghiathanh (2016)'!$A$3,"MA_HT","DBV","MA_QH","LUC")</f>
        <v>0</v>
      </c>
      <c r="H32" s="50">
        <f ca="1">+GETPIVOTDATA("XNT4",'nghiathanh (2016)'!$A$3,"MA_HT","DBV","MA_QH","LUK")</f>
        <v>0</v>
      </c>
      <c r="I32" s="50">
        <f ca="1">+GETPIVOTDATA("XNT4",'nghiathanh (2016)'!$A$3,"MA_HT","DBV","MA_QH","LUN")</f>
        <v>0</v>
      </c>
      <c r="J32" s="50">
        <f ca="1">+GETPIVOTDATA("XNT4",'nghiathanh (2016)'!$A$3,"MA_HT","DBV","MA_QH","HNK")</f>
        <v>0</v>
      </c>
      <c r="K32" s="50">
        <f ca="1">+GETPIVOTDATA("XNT4",'nghiathanh (2016)'!$A$3,"MA_HT","DBV","MA_QH","CLN")</f>
        <v>0</v>
      </c>
      <c r="L32" s="50">
        <f ca="1">+GETPIVOTDATA("XNT4",'nghiathanh (2016)'!$A$3,"MA_HT","DBV","MA_QH","RSX")</f>
        <v>0</v>
      </c>
      <c r="M32" s="50">
        <f ca="1">+GETPIVOTDATA("XNT4",'nghiathanh (2016)'!$A$3,"MA_HT","DBV","MA_QH","RPH")</f>
        <v>0</v>
      </c>
      <c r="N32" s="50">
        <f ca="1">+GETPIVOTDATA("XNT4",'nghiathanh (2016)'!$A$3,"MA_HT","DBV","MA_QH","RDD")</f>
        <v>0</v>
      </c>
      <c r="O32" s="50">
        <f ca="1">+GETPIVOTDATA("XNT4",'nghiathanh (2016)'!$A$3,"MA_HT","DBV","MA_QH","NTS")</f>
        <v>0</v>
      </c>
      <c r="P32" s="50">
        <f ca="1">+GETPIVOTDATA("XNT4",'nghiathanh (2016)'!$A$3,"MA_HT","DBV","MA_QH","LMU")</f>
        <v>0</v>
      </c>
      <c r="Q32" s="50">
        <f ca="1">+GETPIVOTDATA("XNT4",'nghiathanh (2016)'!$A$3,"MA_HT","DBV","MA_QH","NKH")</f>
        <v>0</v>
      </c>
      <c r="R32" s="48">
        <f ca="1" t="shared" si="20"/>
        <v>0</v>
      </c>
      <c r="S32" s="50">
        <f ca="1">+GETPIVOTDATA("XNT4",'nghiathanh (2016)'!$A$3,"MA_HT","DBV","MA_QH","CQP")</f>
        <v>0</v>
      </c>
      <c r="T32" s="50">
        <f ca="1">+GETPIVOTDATA("XNT4",'nghiathanh (2016)'!$A$3,"MA_HT","DBV","MA_QH","CAN")</f>
        <v>0</v>
      </c>
      <c r="U32" s="50">
        <f ca="1">+GETPIVOTDATA("XNT4",'nghiathanh (2016)'!$A$3,"MA_HT","DBV","MA_QH","SKK")</f>
        <v>0</v>
      </c>
      <c r="V32" s="50">
        <f ca="1">+GETPIVOTDATA("XNT4",'nghiathanh (2016)'!$A$3,"MA_HT","DBV","MA_QH","SKT")</f>
        <v>0</v>
      </c>
      <c r="W32" s="50">
        <f ca="1">+GETPIVOTDATA("XNT4",'nghiathanh (2016)'!$A$3,"MA_HT","DBV","MA_QH","SKN")</f>
        <v>0</v>
      </c>
      <c r="X32" s="50">
        <f ca="1">+GETPIVOTDATA("XNT4",'nghiathanh (2016)'!$A$3,"MA_HT","DBV","MA_QH","TMD")</f>
        <v>0</v>
      </c>
      <c r="Y32" s="50">
        <f ca="1">+GETPIVOTDATA("XNT4",'nghiathanh (2016)'!$A$3,"MA_HT","DBV","MA_QH","SKC")</f>
        <v>0</v>
      </c>
      <c r="Z32" s="50">
        <f ca="1">+GETPIVOTDATA("XNT4",'nghiathanh (2016)'!$A$3,"MA_HT","DBV","MA_QH","SKS")</f>
        <v>0</v>
      </c>
      <c r="AA32" s="52">
        <f ca="1">+SUM(AB32:AD32,AF32:AM32)</f>
        <v>0</v>
      </c>
      <c r="AB32" s="50">
        <f ca="1">+GETPIVOTDATA("XNT4",'nghiathanh (2016)'!$A$3,"MA_HT","DBV","MA_QH","DGT")</f>
        <v>0</v>
      </c>
      <c r="AC32" s="50">
        <f ca="1">+GETPIVOTDATA("XNT4",'nghiathanh (2016)'!$A$3,"MA_HT","DBV","MA_QH","DTL")</f>
        <v>0</v>
      </c>
      <c r="AD32" s="50">
        <f ca="1">+GETPIVOTDATA("XNT4",'nghiathanh (2016)'!$A$3,"MA_HT","DBV","MA_QH","DNL")</f>
        <v>0</v>
      </c>
      <c r="AE32" s="49" t="e">
        <f ca="1">$D32-$BF32</f>
        <v>#REF!</v>
      </c>
      <c r="AF32" s="50">
        <f ca="1">+GETPIVOTDATA("XNT4",'nghiathanh (2016)'!$A$3,"MA_HT","DBV","MA_QH","DVH")</f>
        <v>0</v>
      </c>
      <c r="AG32" s="50">
        <f ca="1">+GETPIVOTDATA("XNT4",'nghiathanh (2016)'!$A$3,"MA_HT","DBV","MA_QH","DYT")</f>
        <v>0</v>
      </c>
      <c r="AH32" s="50">
        <f ca="1">+GETPIVOTDATA("XNT4",'nghiathanh (2016)'!$A$3,"MA_HT","DBV","MA_QH","DGD")</f>
        <v>0</v>
      </c>
      <c r="AI32" s="50">
        <f ca="1">+GETPIVOTDATA("XNT4",'nghiathanh (2016)'!$A$3,"MA_HT","DBV","MA_QH","DTT")</f>
        <v>0</v>
      </c>
      <c r="AJ32" s="50">
        <f ca="1">+GETPIVOTDATA("XNT4",'nghiathanh (2016)'!$A$3,"MA_HT","DBV","MA_QH","NCK")</f>
        <v>0</v>
      </c>
      <c r="AK32" s="50">
        <f ca="1">+GETPIVOTDATA("XNT4",'nghiathanh (2016)'!$A$3,"MA_HT","DBV","MA_QH","DXH")</f>
        <v>0</v>
      </c>
      <c r="AL32" s="50">
        <f ca="1">+GETPIVOTDATA("XNT4",'nghiathanh (2016)'!$A$3,"MA_HT","DBV","MA_QH","DCH")</f>
        <v>0</v>
      </c>
      <c r="AM32" s="50">
        <f ca="1">+GETPIVOTDATA("XNT4",'nghiathanh (2016)'!$A$3,"MA_HT","DBV","MA_QH","DKG")</f>
        <v>0</v>
      </c>
      <c r="AN32" s="50">
        <f ca="1">+GETPIVOTDATA("XNT4",'nghiathanh (2016)'!$A$3,"MA_HT","DBV","MA_QH","DDT")</f>
        <v>0</v>
      </c>
      <c r="AO32" s="50">
        <f ca="1">+GETPIVOTDATA("XNT4",'nghiathanh (2016)'!$A$3,"MA_HT","DBV","MA_QH","DDL")</f>
        <v>0</v>
      </c>
      <c r="AP32" s="50">
        <f ca="1">+GETPIVOTDATA("XNT4",'nghiathanh (2016)'!$A$3,"MA_HT","DBV","MA_QH","DRA")</f>
        <v>0</v>
      </c>
      <c r="AQ32" s="50">
        <f ca="1">+GETPIVOTDATA("XNT4",'nghiathanh (2016)'!$A$3,"MA_HT","DBV","MA_QH","ONT")</f>
        <v>0</v>
      </c>
      <c r="AR32" s="50">
        <f ca="1">+GETPIVOTDATA("XNT4",'nghiathanh (2016)'!$A$3,"MA_HT","DBV","MA_QH","ODT")</f>
        <v>0</v>
      </c>
      <c r="AS32" s="50">
        <f ca="1">+GETPIVOTDATA("XNT4",'nghiathanh (2016)'!$A$3,"MA_HT","DBV","MA_QH","TSC")</f>
        <v>0</v>
      </c>
      <c r="AT32" s="50">
        <f ca="1">+GETPIVOTDATA("XNT4",'nghiathanh (2016)'!$A$3,"MA_HT","DBV","MA_QH","DTS")</f>
        <v>0</v>
      </c>
      <c r="AU32" s="50">
        <f ca="1">+GETPIVOTDATA("XNT4",'nghiathanh (2016)'!$A$3,"MA_HT","DBV","MA_QH","DNG")</f>
        <v>0</v>
      </c>
      <c r="AV32" s="50">
        <f ca="1">+GETPIVOTDATA("XNT4",'nghiathanh (2016)'!$A$3,"MA_HT","DBV","MA_QH","TON")</f>
        <v>0</v>
      </c>
      <c r="AW32" s="50">
        <f ca="1">+GETPIVOTDATA("XNT4",'nghiathanh (2016)'!$A$3,"MA_HT","DBV","MA_QH","NTD")</f>
        <v>0</v>
      </c>
      <c r="AX32" s="50">
        <f ca="1">+GETPIVOTDATA("XNT4",'nghiathanh (2016)'!$A$3,"MA_HT","DBV","MA_QH","SKX")</f>
        <v>0</v>
      </c>
      <c r="AY32" s="50">
        <f ca="1">+GETPIVOTDATA("XNT4",'nghiathanh (2016)'!$A$3,"MA_HT","DBV","MA_QH","DSH")</f>
        <v>0</v>
      </c>
      <c r="AZ32" s="50">
        <f ca="1">+GETPIVOTDATA("XNT4",'nghiathanh (2016)'!$A$3,"MA_HT","DBV","MA_QH","DKV")</f>
        <v>0</v>
      </c>
      <c r="BA32" s="88">
        <f ca="1">+GETPIVOTDATA("XNT4",'nghiathanh (2016)'!$A$3,"MA_HT","DBV","MA_QH","TIN")</f>
        <v>0</v>
      </c>
      <c r="BB32" s="50">
        <f ca="1">+GETPIVOTDATA("XNT4",'nghiathanh (2016)'!$A$3,"MA_HT","DBV","MA_QH","SON")</f>
        <v>0</v>
      </c>
      <c r="BC32" s="50">
        <f ca="1">+GETPIVOTDATA("XNT4",'nghiathanh (2016)'!$A$3,"MA_HT","DBV","MA_QH","MNC")</f>
        <v>0</v>
      </c>
      <c r="BD32" s="50">
        <f ca="1">+GETPIVOTDATA("XNT4",'nghiathanh (2016)'!$A$3,"MA_HT","DBV","MA_QH","PNK")</f>
        <v>0</v>
      </c>
      <c r="BE32" s="80">
        <f ca="1">+GETPIVOTDATA("XNT4",'nghiathanh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+GETPIVOTDATA("XNT4",'nghiathanh (2016)'!$A$3,"MA_HT","DVH","MA_QH","LUC")</f>
        <v>0</v>
      </c>
      <c r="H33" s="50">
        <f ca="1">+GETPIVOTDATA("XNT4",'nghiathanh (2016)'!$A$3,"MA_HT","DVH","MA_QH","LUK")</f>
        <v>0</v>
      </c>
      <c r="I33" s="50">
        <f ca="1">+GETPIVOTDATA("XNT4",'nghiathanh (2016)'!$A$3,"MA_HT","DVH","MA_QH","LUN")</f>
        <v>0</v>
      </c>
      <c r="J33" s="50">
        <f ca="1">+GETPIVOTDATA("XNT4",'nghiathanh (2016)'!$A$3,"MA_HT","DVH","MA_QH","HNK")</f>
        <v>0</v>
      </c>
      <c r="K33" s="50">
        <f ca="1">+GETPIVOTDATA("XNT4",'nghiathanh (2016)'!$A$3,"MA_HT","DVH","MA_QH","CLN")</f>
        <v>0</v>
      </c>
      <c r="L33" s="50">
        <f ca="1">+GETPIVOTDATA("XNT4",'nghiathanh (2016)'!$A$3,"MA_HT","DVH","MA_QH","RSX")</f>
        <v>0</v>
      </c>
      <c r="M33" s="50">
        <f ca="1">+GETPIVOTDATA("XNT4",'nghiathanh (2016)'!$A$3,"MA_HT","DVH","MA_QH","RPH")</f>
        <v>0</v>
      </c>
      <c r="N33" s="50">
        <f ca="1">+GETPIVOTDATA("XNT4",'nghiathanh (2016)'!$A$3,"MA_HT","DVH","MA_QH","RDD")</f>
        <v>0</v>
      </c>
      <c r="O33" s="50">
        <f ca="1">+GETPIVOTDATA("XNT4",'nghiathanh (2016)'!$A$3,"MA_HT","DVH","MA_QH","NTS")</f>
        <v>0</v>
      </c>
      <c r="P33" s="50">
        <f ca="1">+GETPIVOTDATA("XNT4",'nghiathanh (2016)'!$A$3,"MA_HT","DVH","MA_QH","LMU")</f>
        <v>0</v>
      </c>
      <c r="Q33" s="50">
        <f ca="1">+GETPIVOTDATA("XNT4",'nghiathanh (2016)'!$A$3,"MA_HT","DVH","MA_QH","NKH")</f>
        <v>0</v>
      </c>
      <c r="R33" s="48">
        <f ca="1" t="shared" si="20"/>
        <v>0</v>
      </c>
      <c r="S33" s="50">
        <f ca="1">+GETPIVOTDATA("XNT4",'nghiathanh (2016)'!$A$3,"MA_HT","DVH","MA_QH","CQP")</f>
        <v>0</v>
      </c>
      <c r="T33" s="50">
        <f ca="1">+GETPIVOTDATA("XNT4",'nghiathanh (2016)'!$A$3,"MA_HT","DVH","MA_QH","CAN")</f>
        <v>0</v>
      </c>
      <c r="U33" s="50">
        <f ca="1">+GETPIVOTDATA("XNT4",'nghiathanh (2016)'!$A$3,"MA_HT","DVH","MA_QH","SKK")</f>
        <v>0</v>
      </c>
      <c r="V33" s="50">
        <f ca="1">+GETPIVOTDATA("XNT4",'nghiathanh (2016)'!$A$3,"MA_HT","DVH","MA_QH","SKT")</f>
        <v>0</v>
      </c>
      <c r="W33" s="50">
        <f ca="1">+GETPIVOTDATA("XNT4",'nghiathanh (2016)'!$A$3,"MA_HT","DVH","MA_QH","SKN")</f>
        <v>0</v>
      </c>
      <c r="X33" s="50">
        <f ca="1">+GETPIVOTDATA("XNT4",'nghiathanh (2016)'!$A$3,"MA_HT","DVH","MA_QH","TMD")</f>
        <v>0</v>
      </c>
      <c r="Y33" s="50">
        <f ca="1">+GETPIVOTDATA("XNT4",'nghiathanh (2016)'!$A$3,"MA_HT","DVH","MA_QH","SKC")</f>
        <v>0</v>
      </c>
      <c r="Z33" s="50">
        <f ca="1">+GETPIVOTDATA("XNT4",'nghiathanh (2016)'!$A$3,"MA_HT","DVH","MA_QH","SKS")</f>
        <v>0</v>
      </c>
      <c r="AA33" s="52">
        <f ca="1">+SUM(AB33:AE33,AG33:AM33)</f>
        <v>0</v>
      </c>
      <c r="AB33" s="50">
        <f ca="1">+GETPIVOTDATA("XNT4",'nghiathanh (2016)'!$A$3,"MA_HT","DVH","MA_QH","DGT")</f>
        <v>0</v>
      </c>
      <c r="AC33" s="50">
        <f ca="1">+GETPIVOTDATA("XNT4",'nghiathanh (2016)'!$A$3,"MA_HT","DVH","MA_QH","DTL")</f>
        <v>0</v>
      </c>
      <c r="AD33" s="50">
        <f ca="1">+GETPIVOTDATA("XNT4",'nghiathanh (2016)'!$A$3,"MA_HT","DVH","MA_QH","DNL")</f>
        <v>0</v>
      </c>
      <c r="AE33" s="50">
        <f ca="1">+GETPIVOTDATA("XNT4",'nghiathanh (2016)'!$A$3,"MA_HT","DVH","MA_QH","DBV")</f>
        <v>0</v>
      </c>
      <c r="AF33" s="49" t="e">
        <f ca="1">$D33-$BF33</f>
        <v>#REF!</v>
      </c>
      <c r="AG33" s="50">
        <f ca="1">+GETPIVOTDATA("XNT4",'nghiathanh (2016)'!$A$3,"MA_HT","DVH","MA_QH","DYT")</f>
        <v>0</v>
      </c>
      <c r="AH33" s="50">
        <f ca="1">+GETPIVOTDATA("XNT4",'nghiathanh (2016)'!$A$3,"MA_HT","DVH","MA_QH","DGD")</f>
        <v>0</v>
      </c>
      <c r="AI33" s="50">
        <f ca="1">+GETPIVOTDATA("XNT4",'nghiathanh (2016)'!$A$3,"MA_HT","DVH","MA_QH","DTT")</f>
        <v>0</v>
      </c>
      <c r="AJ33" s="50">
        <f ca="1">+GETPIVOTDATA("XNT4",'nghiathanh (2016)'!$A$3,"MA_HT","DVH","MA_QH","NCK")</f>
        <v>0</v>
      </c>
      <c r="AK33" s="50">
        <f ca="1">+GETPIVOTDATA("XNT4",'nghiathanh (2016)'!$A$3,"MA_HT","DVH","MA_QH","DXH")</f>
        <v>0</v>
      </c>
      <c r="AL33" s="50">
        <f ca="1">+GETPIVOTDATA("XNT4",'nghiathanh (2016)'!$A$3,"MA_HT","DVH","MA_QH","DCH")</f>
        <v>0</v>
      </c>
      <c r="AM33" s="50">
        <f ca="1">+GETPIVOTDATA("XNT4",'nghiathanh (2016)'!$A$3,"MA_HT","DVH","MA_QH","DKG")</f>
        <v>0</v>
      </c>
      <c r="AN33" s="50">
        <f ca="1">+GETPIVOTDATA("XNT4",'nghiathanh (2016)'!$A$3,"MA_HT","DVH","MA_QH","DDT")</f>
        <v>0</v>
      </c>
      <c r="AO33" s="50">
        <f ca="1">+GETPIVOTDATA("XNT4",'nghiathanh (2016)'!$A$3,"MA_HT","DVH","MA_QH","DDL")</f>
        <v>0</v>
      </c>
      <c r="AP33" s="50">
        <f ca="1">+GETPIVOTDATA("XNT4",'nghiathanh (2016)'!$A$3,"MA_HT","DVH","MA_QH","DRA")</f>
        <v>0</v>
      </c>
      <c r="AQ33" s="50">
        <f ca="1">+GETPIVOTDATA("XNT4",'nghiathanh (2016)'!$A$3,"MA_HT","DVH","MA_QH","ONT")</f>
        <v>0</v>
      </c>
      <c r="AR33" s="50">
        <f ca="1">+GETPIVOTDATA("XNT4",'nghiathanh (2016)'!$A$3,"MA_HT","DVH","MA_QH","ODT")</f>
        <v>0</v>
      </c>
      <c r="AS33" s="50">
        <f ca="1">+GETPIVOTDATA("XNT4",'nghiathanh (2016)'!$A$3,"MA_HT","DVH","MA_QH","TSC")</f>
        <v>0</v>
      </c>
      <c r="AT33" s="50">
        <f ca="1">+GETPIVOTDATA("XNT4",'nghiathanh (2016)'!$A$3,"MA_HT","DVH","MA_QH","DTS")</f>
        <v>0</v>
      </c>
      <c r="AU33" s="50">
        <f ca="1">+GETPIVOTDATA("XNT4",'nghiathanh (2016)'!$A$3,"MA_HT","DVH","MA_QH","DNG")</f>
        <v>0</v>
      </c>
      <c r="AV33" s="50">
        <f ca="1">+GETPIVOTDATA("XNT4",'nghiathanh (2016)'!$A$3,"MA_HT","DVH","MA_QH","TON")</f>
        <v>0</v>
      </c>
      <c r="AW33" s="50">
        <f ca="1">+GETPIVOTDATA("XNT4",'nghiathanh (2016)'!$A$3,"MA_HT","DVH","MA_QH","NTD")</f>
        <v>0</v>
      </c>
      <c r="AX33" s="50">
        <f ca="1">+GETPIVOTDATA("XNT4",'nghiathanh (2016)'!$A$3,"MA_HT","DVH","MA_QH","SKX")</f>
        <v>0</v>
      </c>
      <c r="AY33" s="50">
        <f ca="1">+GETPIVOTDATA("XNT4",'nghiathanh (2016)'!$A$3,"MA_HT","DVH","MA_QH","DSH")</f>
        <v>0</v>
      </c>
      <c r="AZ33" s="50">
        <f ca="1">+GETPIVOTDATA("XNT4",'nghiathanh (2016)'!$A$3,"MA_HT","DVH","MA_QH","DKV")</f>
        <v>0</v>
      </c>
      <c r="BA33" s="88">
        <f ca="1">+GETPIVOTDATA("XNT4",'nghiathanh (2016)'!$A$3,"MA_HT","DVH","MA_QH","TIN")</f>
        <v>0</v>
      </c>
      <c r="BB33" s="50">
        <f ca="1">+GETPIVOTDATA("XNT4",'nghiathanh (2016)'!$A$3,"MA_HT","DVH","MA_QH","SON")</f>
        <v>0</v>
      </c>
      <c r="BC33" s="50">
        <f ca="1">+GETPIVOTDATA("XNT4",'nghiathanh (2016)'!$A$3,"MA_HT","DVH","MA_QH","MNC")</f>
        <v>0</v>
      </c>
      <c r="BD33" s="50">
        <f ca="1">+GETPIVOTDATA("XNT4",'nghiathanh (2016)'!$A$3,"MA_HT","DVH","MA_QH","PNK")</f>
        <v>0</v>
      </c>
      <c r="BE33" s="80">
        <f ca="1">+GETPIVOTDATA("XNT4",'nghiathanh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+GETPIVOTDATA("XNT4",'nghiathanh (2016)'!$A$3,"MA_HT","DYT","MA_QH","LUC")</f>
        <v>0</v>
      </c>
      <c r="H34" s="50">
        <f ca="1">+GETPIVOTDATA("XNT4",'nghiathanh (2016)'!$A$3,"MA_HT","DYT","MA_QH","LUK")</f>
        <v>0</v>
      </c>
      <c r="I34" s="50">
        <f ca="1">+GETPIVOTDATA("XNT4",'nghiathanh (2016)'!$A$3,"MA_HT","DYT","MA_QH","LUN")</f>
        <v>0</v>
      </c>
      <c r="J34" s="50">
        <f ca="1">+GETPIVOTDATA("XNT4",'nghiathanh (2016)'!$A$3,"MA_HT","DYT","MA_QH","HNK")</f>
        <v>0</v>
      </c>
      <c r="K34" s="50">
        <f ca="1">+GETPIVOTDATA("XNT4",'nghiathanh (2016)'!$A$3,"MA_HT","DYT","MA_QH","CLN")</f>
        <v>0</v>
      </c>
      <c r="L34" s="50">
        <f ca="1">+GETPIVOTDATA("XNT4",'nghiathanh (2016)'!$A$3,"MA_HT","DYT","MA_QH","RSX")</f>
        <v>0</v>
      </c>
      <c r="M34" s="50">
        <f ca="1">+GETPIVOTDATA("XNT4",'nghiathanh (2016)'!$A$3,"MA_HT","DYT","MA_QH","RPH")</f>
        <v>0</v>
      </c>
      <c r="N34" s="50">
        <f ca="1">+GETPIVOTDATA("XNT4",'nghiathanh (2016)'!$A$3,"MA_HT","DYT","MA_QH","RDD")</f>
        <v>0</v>
      </c>
      <c r="O34" s="50">
        <f ca="1">+GETPIVOTDATA("XNT4",'nghiathanh (2016)'!$A$3,"MA_HT","DYT","MA_QH","NTS")</f>
        <v>0</v>
      </c>
      <c r="P34" s="50">
        <f ca="1">+GETPIVOTDATA("XNT4",'nghiathanh (2016)'!$A$3,"MA_HT","DYT","MA_QH","LMU")</f>
        <v>0</v>
      </c>
      <c r="Q34" s="50">
        <f ca="1">+GETPIVOTDATA("XNT4",'nghiathanh (2016)'!$A$3,"MA_HT","DYT","MA_QH","NKH")</f>
        <v>0</v>
      </c>
      <c r="R34" s="48">
        <f ca="1" t="shared" si="20"/>
        <v>0</v>
      </c>
      <c r="S34" s="50">
        <f ca="1">+GETPIVOTDATA("XNT4",'nghiathanh (2016)'!$A$3,"MA_HT","DYT","MA_QH","CQP")</f>
        <v>0</v>
      </c>
      <c r="T34" s="50">
        <f ca="1">+GETPIVOTDATA("XNT4",'nghiathanh (2016)'!$A$3,"MA_HT","DYT","MA_QH","CAN")</f>
        <v>0</v>
      </c>
      <c r="U34" s="50">
        <f ca="1">+GETPIVOTDATA("XNT4",'nghiathanh (2016)'!$A$3,"MA_HT","DYT","MA_QH","SKK")</f>
        <v>0</v>
      </c>
      <c r="V34" s="50">
        <f ca="1">+GETPIVOTDATA("XNT4",'nghiathanh (2016)'!$A$3,"MA_HT","DYT","MA_QH","SKT")</f>
        <v>0</v>
      </c>
      <c r="W34" s="50">
        <f ca="1">+GETPIVOTDATA("XNT4",'nghiathanh (2016)'!$A$3,"MA_HT","DYT","MA_QH","SKN")</f>
        <v>0</v>
      </c>
      <c r="X34" s="50">
        <f ca="1">+GETPIVOTDATA("XNT4",'nghiathanh (2016)'!$A$3,"MA_HT","DYT","MA_QH","TMD")</f>
        <v>0</v>
      </c>
      <c r="Y34" s="50">
        <f ca="1">+GETPIVOTDATA("XNT4",'nghiathanh (2016)'!$A$3,"MA_HT","DYT","MA_QH","SKC")</f>
        <v>0</v>
      </c>
      <c r="Z34" s="50">
        <f ca="1">+GETPIVOTDATA("XNT4",'nghiathanh (2016)'!$A$3,"MA_HT","DYT","MA_QH","SKS")</f>
        <v>0</v>
      </c>
      <c r="AA34" s="52">
        <f ca="1">+SUM(AB34:AF34,AH34:AM34)</f>
        <v>0</v>
      </c>
      <c r="AB34" s="50">
        <f ca="1">+GETPIVOTDATA("XNT4",'nghiathanh (2016)'!$A$3,"MA_HT","DYT","MA_QH","DGT")</f>
        <v>0</v>
      </c>
      <c r="AC34" s="50">
        <f ca="1">+GETPIVOTDATA("XNT4",'nghiathanh (2016)'!$A$3,"MA_HT","DYT","MA_QH","DTL")</f>
        <v>0</v>
      </c>
      <c r="AD34" s="50">
        <f ca="1">+GETPIVOTDATA("XNT4",'nghiathanh (2016)'!$A$3,"MA_HT","DYT","MA_QH","DNL")</f>
        <v>0</v>
      </c>
      <c r="AE34" s="50">
        <f ca="1">+GETPIVOTDATA("XNT4",'nghiathanh (2016)'!$A$3,"MA_HT","DYT","MA_QH","DBV")</f>
        <v>0</v>
      </c>
      <c r="AF34" s="50">
        <f ca="1">+GETPIVOTDATA("XNT4",'nghiathanh (2016)'!$A$3,"MA_HT","DYT","MA_QH","DVH")</f>
        <v>0</v>
      </c>
      <c r="AG34" s="49" t="e">
        <f ca="1">$D34-$BF34</f>
        <v>#REF!</v>
      </c>
      <c r="AH34" s="50">
        <f ca="1">+GETPIVOTDATA("XNT4",'nghiathanh (2016)'!$A$3,"MA_HT","DYT","MA_QH","DGD")</f>
        <v>0</v>
      </c>
      <c r="AI34" s="50">
        <f ca="1">+GETPIVOTDATA("XNT4",'nghiathanh (2016)'!$A$3,"MA_HT","DYT","MA_QH","DTT")</f>
        <v>0</v>
      </c>
      <c r="AJ34" s="50">
        <f ca="1">+GETPIVOTDATA("XNT4",'nghiathanh (2016)'!$A$3,"MA_HT","DYT","MA_QH","NCK")</f>
        <v>0</v>
      </c>
      <c r="AK34" s="50">
        <f ca="1">+GETPIVOTDATA("XNT4",'nghiathanh (2016)'!$A$3,"MA_HT","DYT","MA_QH","DXH")</f>
        <v>0</v>
      </c>
      <c r="AL34" s="50">
        <f ca="1">+GETPIVOTDATA("XNT4",'nghiathanh (2016)'!$A$3,"MA_HT","DYT","MA_QH","DCH")</f>
        <v>0</v>
      </c>
      <c r="AM34" s="50">
        <f ca="1">+GETPIVOTDATA("XNT4",'nghiathanh (2016)'!$A$3,"MA_HT","DYT","MA_QH","DKG")</f>
        <v>0</v>
      </c>
      <c r="AN34" s="50">
        <f ca="1">+GETPIVOTDATA("XNT4",'nghiathanh (2016)'!$A$3,"MA_HT","DYT","MA_QH","DDT")</f>
        <v>0</v>
      </c>
      <c r="AO34" s="50">
        <f ca="1">+GETPIVOTDATA("XNT4",'nghiathanh (2016)'!$A$3,"MA_HT","DYT","MA_QH","DDL")</f>
        <v>0</v>
      </c>
      <c r="AP34" s="50">
        <f ca="1">+GETPIVOTDATA("XNT4",'nghiathanh (2016)'!$A$3,"MA_HT","DYT","MA_QH","DRA")</f>
        <v>0</v>
      </c>
      <c r="AQ34" s="50">
        <f ca="1">+GETPIVOTDATA("XNT4",'nghiathanh (2016)'!$A$3,"MA_HT","DYT","MA_QH","ONT")</f>
        <v>0</v>
      </c>
      <c r="AR34" s="50">
        <f ca="1">+GETPIVOTDATA("XNT4",'nghiathanh (2016)'!$A$3,"MA_HT","DYT","MA_QH","ODT")</f>
        <v>0</v>
      </c>
      <c r="AS34" s="50">
        <f ca="1">+GETPIVOTDATA("XNT4",'nghiathanh (2016)'!$A$3,"MA_HT","DYT","MA_QH","TSC")</f>
        <v>0</v>
      </c>
      <c r="AT34" s="50">
        <f ca="1">+GETPIVOTDATA("XNT4",'nghiathanh (2016)'!$A$3,"MA_HT","DYT","MA_QH","DTS")</f>
        <v>0</v>
      </c>
      <c r="AU34" s="50">
        <f ca="1">+GETPIVOTDATA("XNT4",'nghiathanh (2016)'!$A$3,"MA_HT","DYT","MA_QH","DNG")</f>
        <v>0</v>
      </c>
      <c r="AV34" s="50">
        <f ca="1">+GETPIVOTDATA("XNT4",'nghiathanh (2016)'!$A$3,"MA_HT","DYT","MA_QH","TON")</f>
        <v>0</v>
      </c>
      <c r="AW34" s="50">
        <f ca="1">+GETPIVOTDATA("XNT4",'nghiathanh (2016)'!$A$3,"MA_HT","DYT","MA_QH","NTD")</f>
        <v>0</v>
      </c>
      <c r="AX34" s="50">
        <f ca="1">+GETPIVOTDATA("XNT4",'nghiathanh (2016)'!$A$3,"MA_HT","DYT","MA_QH","SKX")</f>
        <v>0</v>
      </c>
      <c r="AY34" s="50">
        <f ca="1">+GETPIVOTDATA("XNT4",'nghiathanh (2016)'!$A$3,"MA_HT","DYT","MA_QH","DSH")</f>
        <v>0</v>
      </c>
      <c r="AZ34" s="50">
        <f ca="1">+GETPIVOTDATA("XNT4",'nghiathanh (2016)'!$A$3,"MA_HT","DYT","MA_QH","DKV")</f>
        <v>0</v>
      </c>
      <c r="BA34" s="88">
        <f ca="1">+GETPIVOTDATA("XNT4",'nghiathanh (2016)'!$A$3,"MA_HT","DYT","MA_QH","TIN")</f>
        <v>0</v>
      </c>
      <c r="BB34" s="50">
        <f ca="1">+GETPIVOTDATA("XNT4",'nghiathanh (2016)'!$A$3,"MA_HT","DYT","MA_QH","SON")</f>
        <v>0</v>
      </c>
      <c r="BC34" s="50">
        <f ca="1">+GETPIVOTDATA("XNT4",'nghiathanh (2016)'!$A$3,"MA_HT","DYT","MA_QH","MNC")</f>
        <v>0</v>
      </c>
      <c r="BD34" s="50">
        <f ca="1">+GETPIVOTDATA("XNT4",'nghiathanh (2016)'!$A$3,"MA_HT","DYT","MA_QH","PNK")</f>
        <v>0</v>
      </c>
      <c r="BE34" s="80">
        <f ca="1">+GETPIVOTDATA("XNT4",'nghiathanh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+GETPIVOTDATA("XNT4",'nghiathanh (2016)'!$A$3,"MA_HT","DGD","MA_QH","LUC")</f>
        <v>0</v>
      </c>
      <c r="H35" s="50">
        <f ca="1">+GETPIVOTDATA("XNT4",'nghiathanh (2016)'!$A$3,"MA_HT","DGD","MA_QH","LUK")</f>
        <v>0</v>
      </c>
      <c r="I35" s="50">
        <f ca="1">+GETPIVOTDATA("XNT4",'nghiathanh (2016)'!$A$3,"MA_HT","DGD","MA_QH","LUN")</f>
        <v>0</v>
      </c>
      <c r="J35" s="50">
        <f ca="1">+GETPIVOTDATA("XNT4",'nghiathanh (2016)'!$A$3,"MA_HT","DGD","MA_QH","HNK")</f>
        <v>0</v>
      </c>
      <c r="K35" s="50">
        <f ca="1">+GETPIVOTDATA("XNT4",'nghiathanh (2016)'!$A$3,"MA_HT","DGD","MA_QH","CLN")</f>
        <v>0</v>
      </c>
      <c r="L35" s="50">
        <f ca="1">+GETPIVOTDATA("XNT4",'nghiathanh (2016)'!$A$3,"MA_HT","DGD","MA_QH","RSX")</f>
        <v>0</v>
      </c>
      <c r="M35" s="50">
        <f ca="1">+GETPIVOTDATA("XNT4",'nghiathanh (2016)'!$A$3,"MA_HT","DGD","MA_QH","RPH")</f>
        <v>0</v>
      </c>
      <c r="N35" s="50">
        <f ca="1">+GETPIVOTDATA("XNT4",'nghiathanh (2016)'!$A$3,"MA_HT","DGD","MA_QH","RDD")</f>
        <v>0</v>
      </c>
      <c r="O35" s="50">
        <f ca="1">+GETPIVOTDATA("XNT4",'nghiathanh (2016)'!$A$3,"MA_HT","DGD","MA_QH","NTS")</f>
        <v>0</v>
      </c>
      <c r="P35" s="50">
        <f ca="1">+GETPIVOTDATA("XNT4",'nghiathanh (2016)'!$A$3,"MA_HT","DGD","MA_QH","LMU")</f>
        <v>0</v>
      </c>
      <c r="Q35" s="50">
        <f ca="1">+GETPIVOTDATA("XNT4",'nghiathanh (2016)'!$A$3,"MA_HT","DGD","MA_QH","NKH")</f>
        <v>0</v>
      </c>
      <c r="R35" s="48">
        <f ca="1" t="shared" si="20"/>
        <v>0</v>
      </c>
      <c r="S35" s="50">
        <f ca="1">+GETPIVOTDATA("XNT4",'nghiathanh (2016)'!$A$3,"MA_HT","DGD","MA_QH","CQP")</f>
        <v>0</v>
      </c>
      <c r="T35" s="50">
        <f ca="1">+GETPIVOTDATA("XNT4",'nghiathanh (2016)'!$A$3,"MA_HT","DGD","MA_QH","CAN")</f>
        <v>0</v>
      </c>
      <c r="U35" s="50">
        <f ca="1">+GETPIVOTDATA("XNT4",'nghiathanh (2016)'!$A$3,"MA_HT","DGD","MA_QH","SKK")</f>
        <v>0</v>
      </c>
      <c r="V35" s="50">
        <f ca="1">+GETPIVOTDATA("XNT4",'nghiathanh (2016)'!$A$3,"MA_HT","DGD","MA_QH","SKT")</f>
        <v>0</v>
      </c>
      <c r="W35" s="50">
        <f ca="1">+GETPIVOTDATA("XNT4",'nghiathanh (2016)'!$A$3,"MA_HT","DGD","MA_QH","SKN")</f>
        <v>0</v>
      </c>
      <c r="X35" s="50">
        <f ca="1">+GETPIVOTDATA("XNT4",'nghiathanh (2016)'!$A$3,"MA_HT","DGD","MA_QH","TMD")</f>
        <v>0</v>
      </c>
      <c r="Y35" s="50">
        <f ca="1">+GETPIVOTDATA("XNT4",'nghiathanh (2016)'!$A$3,"MA_HT","DGD","MA_QH","SKC")</f>
        <v>0</v>
      </c>
      <c r="Z35" s="50">
        <f ca="1">+GETPIVOTDATA("XNT4",'nghiathanh (2016)'!$A$3,"MA_HT","DGD","MA_QH","SKS")</f>
        <v>0</v>
      </c>
      <c r="AA35" s="52">
        <f ca="1">+SUM(AB35:AG35,AI35:AM35)</f>
        <v>0</v>
      </c>
      <c r="AB35" s="50">
        <f ca="1">+GETPIVOTDATA("XNT4",'nghiathanh (2016)'!$A$3,"MA_HT","DGD","MA_QH","DGT")</f>
        <v>0</v>
      </c>
      <c r="AC35" s="50">
        <f ca="1">+GETPIVOTDATA("XNT4",'nghiathanh (2016)'!$A$3,"MA_HT","DGD","MA_QH","DTL")</f>
        <v>0</v>
      </c>
      <c r="AD35" s="50">
        <f ca="1">+GETPIVOTDATA("XNT4",'nghiathanh (2016)'!$A$3,"MA_HT","DGD","MA_QH","DNL")</f>
        <v>0</v>
      </c>
      <c r="AE35" s="50">
        <f ca="1">+GETPIVOTDATA("XNT4",'nghiathanh (2016)'!$A$3,"MA_HT","DGD","MA_QH","DBV")</f>
        <v>0</v>
      </c>
      <c r="AF35" s="50">
        <f ca="1">+GETPIVOTDATA("XNT4",'nghiathanh (2016)'!$A$3,"MA_HT","DGD","MA_QH","DVH")</f>
        <v>0</v>
      </c>
      <c r="AG35" s="50">
        <f ca="1">+GETPIVOTDATA("XNT4",'nghiathanh (2016)'!$A$3,"MA_HT","DGD","MA_QH","DYT")</f>
        <v>0</v>
      </c>
      <c r="AH35" s="49" t="e">
        <f ca="1">$D35-$BF35</f>
        <v>#REF!</v>
      </c>
      <c r="AI35" s="50">
        <f ca="1">+GETPIVOTDATA("XNT4",'nghiathanh (2016)'!$A$3,"MA_HT","DGD","MA_QH","DTT")</f>
        <v>0</v>
      </c>
      <c r="AJ35" s="50">
        <f ca="1">+GETPIVOTDATA("XNT4",'nghiathanh (2016)'!$A$3,"MA_HT","DGD","MA_QH","NCK")</f>
        <v>0</v>
      </c>
      <c r="AK35" s="50">
        <f ca="1">+GETPIVOTDATA("XNT4",'nghiathanh (2016)'!$A$3,"MA_HT","DGD","MA_QH","DXH")</f>
        <v>0</v>
      </c>
      <c r="AL35" s="50">
        <f ca="1">+GETPIVOTDATA("XNT4",'nghiathanh (2016)'!$A$3,"MA_HT","DGD","MA_QH","DCH")</f>
        <v>0</v>
      </c>
      <c r="AM35" s="50">
        <f ca="1">+GETPIVOTDATA("XNT4",'nghiathanh (2016)'!$A$3,"MA_HT","DGD","MA_QH","DKG")</f>
        <v>0</v>
      </c>
      <c r="AN35" s="50">
        <f ca="1">+GETPIVOTDATA("XNT4",'nghiathanh (2016)'!$A$3,"MA_HT","DGD","MA_QH","DDT")</f>
        <v>0</v>
      </c>
      <c r="AO35" s="50">
        <f ca="1">+GETPIVOTDATA("XNT4",'nghiathanh (2016)'!$A$3,"MA_HT","DGD","MA_QH","DDL")</f>
        <v>0</v>
      </c>
      <c r="AP35" s="50">
        <f ca="1">+GETPIVOTDATA("XNT4",'nghiathanh (2016)'!$A$3,"MA_HT","DGD","MA_QH","DRA")</f>
        <v>0</v>
      </c>
      <c r="AQ35" s="50">
        <f ca="1">+GETPIVOTDATA("XNT4",'nghiathanh (2016)'!$A$3,"MA_HT","DGD","MA_QH","ONT")</f>
        <v>0</v>
      </c>
      <c r="AR35" s="50">
        <f ca="1">+GETPIVOTDATA("XNT4",'nghiathanh (2016)'!$A$3,"MA_HT","DGD","MA_QH","ODT")</f>
        <v>0</v>
      </c>
      <c r="AS35" s="50">
        <f ca="1">+GETPIVOTDATA("XNT4",'nghiathanh (2016)'!$A$3,"MA_HT","DGD","MA_QH","TSC")</f>
        <v>0</v>
      </c>
      <c r="AT35" s="50">
        <f ca="1">+GETPIVOTDATA("XNT4",'nghiathanh (2016)'!$A$3,"MA_HT","DGD","MA_QH","DTS")</f>
        <v>0</v>
      </c>
      <c r="AU35" s="50">
        <f ca="1">+GETPIVOTDATA("XNT4",'nghiathanh (2016)'!$A$3,"MA_HT","DGD","MA_QH","DNG")</f>
        <v>0</v>
      </c>
      <c r="AV35" s="50">
        <f ca="1">+GETPIVOTDATA("XNT4",'nghiathanh (2016)'!$A$3,"MA_HT","DGD","MA_QH","TON")</f>
        <v>0</v>
      </c>
      <c r="AW35" s="50">
        <f ca="1">+GETPIVOTDATA("XNT4",'nghiathanh (2016)'!$A$3,"MA_HT","DGD","MA_QH","NTD")</f>
        <v>0</v>
      </c>
      <c r="AX35" s="50">
        <f ca="1">+GETPIVOTDATA("XNT4",'nghiathanh (2016)'!$A$3,"MA_HT","DGD","MA_QH","SKX")</f>
        <v>0</v>
      </c>
      <c r="AY35" s="50">
        <f ca="1">+GETPIVOTDATA("XNT4",'nghiathanh (2016)'!$A$3,"MA_HT","DGD","MA_QH","DSH")</f>
        <v>0</v>
      </c>
      <c r="AZ35" s="50">
        <f ca="1">+GETPIVOTDATA("XNT4",'nghiathanh (2016)'!$A$3,"MA_HT","DGD","MA_QH","DKV")</f>
        <v>0</v>
      </c>
      <c r="BA35" s="88">
        <f ca="1">+GETPIVOTDATA("XNT4",'nghiathanh (2016)'!$A$3,"MA_HT","DGD","MA_QH","TIN")</f>
        <v>0</v>
      </c>
      <c r="BB35" s="50">
        <f ca="1">+GETPIVOTDATA("XNT4",'nghiathanh (2016)'!$A$3,"MA_HT","DGD","MA_QH","SON")</f>
        <v>0</v>
      </c>
      <c r="BC35" s="50">
        <f ca="1">+GETPIVOTDATA("XNT4",'nghiathanh (2016)'!$A$3,"MA_HT","DGD","MA_QH","MNC")</f>
        <v>0</v>
      </c>
      <c r="BD35" s="50">
        <f ca="1">+GETPIVOTDATA("XNT4",'nghiathanh (2016)'!$A$3,"MA_HT","DGD","MA_QH","PNK")</f>
        <v>0</v>
      </c>
      <c r="BE35" s="80">
        <f ca="1">+GETPIVOTDATA("XNT4",'nghiathanh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+GETPIVOTDATA("XNT4",'nghiathanh (2016)'!$A$3,"MA_HT","DTT","MA_QH","LUC")</f>
        <v>0</v>
      </c>
      <c r="H36" s="50">
        <f ca="1">+GETPIVOTDATA("XNT4",'nghiathanh (2016)'!$A$3,"MA_HT","DTT","MA_QH","LUK")</f>
        <v>0</v>
      </c>
      <c r="I36" s="50">
        <f ca="1">+GETPIVOTDATA("XNT4",'nghiathanh (2016)'!$A$3,"MA_HT","DTT","MA_QH","LUN")</f>
        <v>0</v>
      </c>
      <c r="J36" s="50">
        <f ca="1">+GETPIVOTDATA("XNT4",'nghiathanh (2016)'!$A$3,"MA_HT","DTT","MA_QH","HNK")</f>
        <v>0</v>
      </c>
      <c r="K36" s="50">
        <f ca="1">+GETPIVOTDATA("XNT4",'nghiathanh (2016)'!$A$3,"MA_HT","DTT","MA_QH","CLN")</f>
        <v>0</v>
      </c>
      <c r="L36" s="50">
        <f ca="1">+GETPIVOTDATA("XNT4",'nghiathanh (2016)'!$A$3,"MA_HT","DTT","MA_QH","RSX")</f>
        <v>0</v>
      </c>
      <c r="M36" s="50">
        <f ca="1">+GETPIVOTDATA("XNT4",'nghiathanh (2016)'!$A$3,"MA_HT","DTT","MA_QH","RPH")</f>
        <v>0</v>
      </c>
      <c r="N36" s="50">
        <f ca="1">+GETPIVOTDATA("XNT4",'nghiathanh (2016)'!$A$3,"MA_HT","DTT","MA_QH","RDD")</f>
        <v>0</v>
      </c>
      <c r="O36" s="50">
        <f ca="1">+GETPIVOTDATA("XNT4",'nghiathanh (2016)'!$A$3,"MA_HT","DTT","MA_QH","NTS")</f>
        <v>0</v>
      </c>
      <c r="P36" s="50">
        <f ca="1">+GETPIVOTDATA("XNT4",'nghiathanh (2016)'!$A$3,"MA_HT","DTT","MA_QH","LMU")</f>
        <v>0</v>
      </c>
      <c r="Q36" s="50">
        <f ca="1">+GETPIVOTDATA("XNT4",'nghiathanh (2016)'!$A$3,"MA_HT","DTT","MA_QH","NKH")</f>
        <v>0</v>
      </c>
      <c r="R36" s="48">
        <f ca="1" t="shared" si="20"/>
        <v>0</v>
      </c>
      <c r="S36" s="50">
        <f ca="1">+GETPIVOTDATA("XNT4",'nghiathanh (2016)'!$A$3,"MA_HT","DTT","MA_QH","CQP")</f>
        <v>0</v>
      </c>
      <c r="T36" s="50">
        <f ca="1">+GETPIVOTDATA("XNT4",'nghiathanh (2016)'!$A$3,"MA_HT","DTT","MA_QH","CAN")</f>
        <v>0</v>
      </c>
      <c r="U36" s="50">
        <f ca="1">+GETPIVOTDATA("XNT4",'nghiathanh (2016)'!$A$3,"MA_HT","DTT","MA_QH","SKK")</f>
        <v>0</v>
      </c>
      <c r="V36" s="50">
        <f ca="1">+GETPIVOTDATA("XNT4",'nghiathanh (2016)'!$A$3,"MA_HT","DTT","MA_QH","SKT")</f>
        <v>0</v>
      </c>
      <c r="W36" s="50">
        <f ca="1">+GETPIVOTDATA("XNT4",'nghiathanh (2016)'!$A$3,"MA_HT","DTT","MA_QH","SKN")</f>
        <v>0</v>
      </c>
      <c r="X36" s="50">
        <f ca="1">+GETPIVOTDATA("XNT4",'nghiathanh (2016)'!$A$3,"MA_HT","DTT","MA_QH","TMD")</f>
        <v>0</v>
      </c>
      <c r="Y36" s="50">
        <f ca="1">+GETPIVOTDATA("XNT4",'nghiathanh (2016)'!$A$3,"MA_HT","DTT","MA_QH","SKC")</f>
        <v>0</v>
      </c>
      <c r="Z36" s="50">
        <f ca="1">+GETPIVOTDATA("XNT4",'nghiathanh (2016)'!$A$3,"MA_HT","DTT","MA_QH","SKS")</f>
        <v>0</v>
      </c>
      <c r="AA36" s="52">
        <f ca="1">+SUM(AB36:AH36,AJ36:AM36)</f>
        <v>0</v>
      </c>
      <c r="AB36" s="50">
        <f ca="1">+GETPIVOTDATA("XNT4",'nghiathanh (2016)'!$A$3,"MA_HT","DTT","MA_QH","DGT")</f>
        <v>0</v>
      </c>
      <c r="AC36" s="50">
        <f ca="1">+GETPIVOTDATA("XNT4",'nghiathanh (2016)'!$A$3,"MA_HT","DTT","MA_QH","DTL")</f>
        <v>0</v>
      </c>
      <c r="AD36" s="50">
        <f ca="1">+GETPIVOTDATA("XNT4",'nghiathanh (2016)'!$A$3,"MA_HT","DTT","MA_QH","DNL")</f>
        <v>0</v>
      </c>
      <c r="AE36" s="50">
        <f ca="1">+GETPIVOTDATA("XNT4",'nghiathanh (2016)'!$A$3,"MA_HT","DTT","MA_QH","DBV")</f>
        <v>0</v>
      </c>
      <c r="AF36" s="50">
        <f ca="1">+GETPIVOTDATA("XNT4",'nghiathanh (2016)'!$A$3,"MA_HT","DTT","MA_QH","DVH")</f>
        <v>0</v>
      </c>
      <c r="AG36" s="50">
        <f ca="1">+GETPIVOTDATA("XNT4",'nghiathanh (2016)'!$A$3,"MA_HT","DTT","MA_QH","DYT")</f>
        <v>0</v>
      </c>
      <c r="AH36" s="50">
        <f ca="1">+GETPIVOTDATA("XNT4",'nghiathanh (2016)'!$A$3,"MA_HT","DTT","MA_QH","DGD")</f>
        <v>0</v>
      </c>
      <c r="AI36" s="49" t="e">
        <f ca="1">$D36-$BF36</f>
        <v>#REF!</v>
      </c>
      <c r="AJ36" s="50">
        <f ca="1">+GETPIVOTDATA("XNT4",'nghiathanh (2016)'!$A$3,"MA_HT","DTT","MA_QH","NCK")</f>
        <v>0</v>
      </c>
      <c r="AK36" s="50">
        <f ca="1">+GETPIVOTDATA("XNT4",'nghiathanh (2016)'!$A$3,"MA_HT","DTT","MA_QH","DXH")</f>
        <v>0</v>
      </c>
      <c r="AL36" s="50">
        <f ca="1">+GETPIVOTDATA("XNT4",'nghiathanh (2016)'!$A$3,"MA_HT","DTT","MA_QH","DCH")</f>
        <v>0</v>
      </c>
      <c r="AM36" s="50">
        <f ca="1">+GETPIVOTDATA("XNT4",'nghiathanh (2016)'!$A$3,"MA_HT","DTT","MA_QH","DKG")</f>
        <v>0</v>
      </c>
      <c r="AN36" s="50">
        <f ca="1">+GETPIVOTDATA("XNT4",'nghiathanh (2016)'!$A$3,"MA_HT","DTT","MA_QH","DDT")</f>
        <v>0</v>
      </c>
      <c r="AO36" s="50">
        <f ca="1">+GETPIVOTDATA("XNT4",'nghiathanh (2016)'!$A$3,"MA_HT","DTT","MA_QH","DDL")</f>
        <v>0</v>
      </c>
      <c r="AP36" s="50">
        <f ca="1">+GETPIVOTDATA("XNT4",'nghiathanh (2016)'!$A$3,"MA_HT","DTT","MA_QH","DRA")</f>
        <v>0</v>
      </c>
      <c r="AQ36" s="50">
        <f ca="1">+GETPIVOTDATA("XNT4",'nghiathanh (2016)'!$A$3,"MA_HT","DTT","MA_QH","ONT")</f>
        <v>0</v>
      </c>
      <c r="AR36" s="50">
        <f ca="1">+GETPIVOTDATA("XNT4",'nghiathanh (2016)'!$A$3,"MA_HT","DTT","MA_QH","ODT")</f>
        <v>0</v>
      </c>
      <c r="AS36" s="50">
        <f ca="1">+GETPIVOTDATA("XNT4",'nghiathanh (2016)'!$A$3,"MA_HT","DTT","MA_QH","TSC")</f>
        <v>0</v>
      </c>
      <c r="AT36" s="50">
        <f ca="1">+GETPIVOTDATA("XNT4",'nghiathanh (2016)'!$A$3,"MA_HT","DTT","MA_QH","DTS")</f>
        <v>0</v>
      </c>
      <c r="AU36" s="50">
        <f ca="1">+GETPIVOTDATA("XNT4",'nghiathanh (2016)'!$A$3,"MA_HT","DTT","MA_QH","DNG")</f>
        <v>0</v>
      </c>
      <c r="AV36" s="50">
        <f ca="1">+GETPIVOTDATA("XNT4",'nghiathanh (2016)'!$A$3,"MA_HT","DTT","MA_QH","TON")</f>
        <v>0</v>
      </c>
      <c r="AW36" s="50">
        <f ca="1">+GETPIVOTDATA("XNT4",'nghiathanh (2016)'!$A$3,"MA_HT","DTT","MA_QH","NTD")</f>
        <v>0</v>
      </c>
      <c r="AX36" s="50">
        <f ca="1">+GETPIVOTDATA("XNT4",'nghiathanh (2016)'!$A$3,"MA_HT","DTT","MA_QH","SKX")</f>
        <v>0</v>
      </c>
      <c r="AY36" s="50">
        <f ca="1">+GETPIVOTDATA("XNT4",'nghiathanh (2016)'!$A$3,"MA_HT","DTT","MA_QH","DSH")</f>
        <v>0</v>
      </c>
      <c r="AZ36" s="50">
        <f ca="1">+GETPIVOTDATA("XNT4",'nghiathanh (2016)'!$A$3,"MA_HT","DTT","MA_QH","DKV")</f>
        <v>0</v>
      </c>
      <c r="BA36" s="88">
        <f ca="1">+GETPIVOTDATA("XNT4",'nghiathanh (2016)'!$A$3,"MA_HT","DTT","MA_QH","TIN")</f>
        <v>0</v>
      </c>
      <c r="BB36" s="50">
        <f ca="1">+GETPIVOTDATA("XNT4",'nghiathanh (2016)'!$A$3,"MA_HT","DTT","MA_QH","SON")</f>
        <v>0</v>
      </c>
      <c r="BC36" s="50">
        <f ca="1">+GETPIVOTDATA("XNT4",'nghiathanh (2016)'!$A$3,"MA_HT","DTT","MA_QH","MNC")</f>
        <v>0</v>
      </c>
      <c r="BD36" s="50">
        <f ca="1">+GETPIVOTDATA("XNT4",'nghiathanh (2016)'!$A$3,"MA_HT","DTT","MA_QH","PNK")</f>
        <v>0</v>
      </c>
      <c r="BE36" s="80">
        <f ca="1">+GETPIVOTDATA("XNT4",'nghiathanh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+GETPIVOTDATA("XNT4",'nghiathanh (2016)'!$A$3,"MA_HT","NCK","MA_QH","LUC")</f>
        <v>0</v>
      </c>
      <c r="H37" s="50">
        <f ca="1">+GETPIVOTDATA("XNT4",'nghiathanh (2016)'!$A$3,"MA_HT","NCK","MA_QH","LUK")</f>
        <v>0</v>
      </c>
      <c r="I37" s="50">
        <f ca="1">+GETPIVOTDATA("XNT4",'nghiathanh (2016)'!$A$3,"MA_HT","NCK","MA_QH","LUN")</f>
        <v>0</v>
      </c>
      <c r="J37" s="50">
        <f ca="1">+GETPIVOTDATA("XNT4",'nghiathanh (2016)'!$A$3,"MA_HT","NCK","MA_QH","HNK")</f>
        <v>0</v>
      </c>
      <c r="K37" s="50">
        <f ca="1">+GETPIVOTDATA("XNT4",'nghiathanh (2016)'!$A$3,"MA_HT","NCK","MA_QH","CLN")</f>
        <v>0</v>
      </c>
      <c r="L37" s="50">
        <f ca="1">+GETPIVOTDATA("XNT4",'nghiathanh (2016)'!$A$3,"MA_HT","NCK","MA_QH","RSX")</f>
        <v>0</v>
      </c>
      <c r="M37" s="50">
        <f ca="1">+GETPIVOTDATA("XNT4",'nghiathanh (2016)'!$A$3,"MA_HT","NCK","MA_QH","RPH")</f>
        <v>0</v>
      </c>
      <c r="N37" s="50">
        <f ca="1">+GETPIVOTDATA("XNT4",'nghiathanh (2016)'!$A$3,"MA_HT","NCK","MA_QH","RDD")</f>
        <v>0</v>
      </c>
      <c r="O37" s="50">
        <f ca="1">+GETPIVOTDATA("XNT4",'nghiathanh (2016)'!$A$3,"MA_HT","NCK","MA_QH","NTS")</f>
        <v>0</v>
      </c>
      <c r="P37" s="50">
        <f ca="1">+GETPIVOTDATA("XNT4",'nghiathanh (2016)'!$A$3,"MA_HT","NCK","MA_QH","LMU")</f>
        <v>0</v>
      </c>
      <c r="Q37" s="50">
        <f ca="1">+GETPIVOTDATA("XNT4",'nghiathanh (2016)'!$A$3,"MA_HT","NCK","MA_QH","NKH")</f>
        <v>0</v>
      </c>
      <c r="R37" s="48">
        <f ca="1" t="shared" si="20"/>
        <v>0</v>
      </c>
      <c r="S37" s="50">
        <f ca="1">+GETPIVOTDATA("XNT4",'nghiathanh (2016)'!$A$3,"MA_HT","NCK","MA_QH","CQP")</f>
        <v>0</v>
      </c>
      <c r="T37" s="50">
        <f ca="1">+GETPIVOTDATA("XNT4",'nghiathanh (2016)'!$A$3,"MA_HT","NCK","MA_QH","CAN")</f>
        <v>0</v>
      </c>
      <c r="U37" s="50">
        <f ca="1">+GETPIVOTDATA("XNT4",'nghiathanh (2016)'!$A$3,"MA_HT","NCK","MA_QH","SKK")</f>
        <v>0</v>
      </c>
      <c r="V37" s="50">
        <f ca="1">+GETPIVOTDATA("XNT4",'nghiathanh (2016)'!$A$3,"MA_HT","NCK","MA_QH","SKT")</f>
        <v>0</v>
      </c>
      <c r="W37" s="50">
        <f ca="1">+GETPIVOTDATA("XNT4",'nghiathanh (2016)'!$A$3,"MA_HT","NCK","MA_QH","SKN")</f>
        <v>0</v>
      </c>
      <c r="X37" s="50">
        <f ca="1">+GETPIVOTDATA("XNT4",'nghiathanh (2016)'!$A$3,"MA_HT","NCK","MA_QH","TMD")</f>
        <v>0</v>
      </c>
      <c r="Y37" s="50">
        <f ca="1">+GETPIVOTDATA("XNT4",'nghiathanh (2016)'!$A$3,"MA_HT","NCK","MA_QH","SKC")</f>
        <v>0</v>
      </c>
      <c r="Z37" s="50">
        <f ca="1">+GETPIVOTDATA("XNT4",'nghiathanh (2016)'!$A$3,"MA_HT","NCK","MA_QH","SKS")</f>
        <v>0</v>
      </c>
      <c r="AA37" s="52">
        <f ca="1">+SUM(AB37:AI37,AK37:AM37)</f>
        <v>0</v>
      </c>
      <c r="AB37" s="50">
        <f ca="1">+GETPIVOTDATA("XNT4",'nghiathanh (2016)'!$A$3,"MA_HT","NCK","MA_QH","DGT")</f>
        <v>0</v>
      </c>
      <c r="AC37" s="50">
        <f ca="1">+GETPIVOTDATA("XNT4",'nghiathanh (2016)'!$A$3,"MA_HT","NCK","MA_QH","DTL")</f>
        <v>0</v>
      </c>
      <c r="AD37" s="50">
        <f ca="1">+GETPIVOTDATA("XNT4",'nghiathanh (2016)'!$A$3,"MA_HT","NCK","MA_QH","DNL")</f>
        <v>0</v>
      </c>
      <c r="AE37" s="50">
        <f ca="1">+GETPIVOTDATA("XNT4",'nghiathanh (2016)'!$A$3,"MA_HT","NCK","MA_QH","DBV")</f>
        <v>0</v>
      </c>
      <c r="AF37" s="50">
        <f ca="1">+GETPIVOTDATA("XNT4",'nghiathanh (2016)'!$A$3,"MA_HT","NCK","MA_QH","DVH")</f>
        <v>0</v>
      </c>
      <c r="AG37" s="50">
        <f ca="1">+GETPIVOTDATA("XNT4",'nghiathanh (2016)'!$A$3,"MA_HT","NCK","MA_QH","DYT")</f>
        <v>0</v>
      </c>
      <c r="AH37" s="50">
        <f ca="1">+GETPIVOTDATA("XNT4",'nghiathanh (2016)'!$A$3,"MA_HT","NCK","MA_QH","DGD")</f>
        <v>0</v>
      </c>
      <c r="AI37" s="50">
        <f ca="1">+GETPIVOTDATA("XNT4",'nghiathanh (2016)'!$A$3,"MA_HT","NCK","MA_QH","DTT")</f>
        <v>0</v>
      </c>
      <c r="AJ37" s="49" t="e">
        <f ca="1">$D37-$BF37</f>
        <v>#REF!</v>
      </c>
      <c r="AK37" s="50">
        <f ca="1">+GETPIVOTDATA("XNT4",'nghiathanh (2016)'!$A$3,"MA_HT","NCK","MA_QH","DXH")</f>
        <v>0</v>
      </c>
      <c r="AL37" s="50">
        <f ca="1">+GETPIVOTDATA("XNT4",'nghiathanh (2016)'!$A$3,"MA_HT","NCK","MA_QH","DCH")</f>
        <v>0</v>
      </c>
      <c r="AM37" s="50">
        <f ca="1">+GETPIVOTDATA("XNT4",'nghiathanh (2016)'!$A$3,"MA_HT","NCK","MA_QH","DKG")</f>
        <v>0</v>
      </c>
      <c r="AN37" s="50">
        <f ca="1">+GETPIVOTDATA("XNT4",'nghiathanh (2016)'!$A$3,"MA_HT","NCK","MA_QH","DDT")</f>
        <v>0</v>
      </c>
      <c r="AO37" s="50">
        <f ca="1">+GETPIVOTDATA("XNT4",'nghiathanh (2016)'!$A$3,"MA_HT","NCK","MA_QH","DDL")</f>
        <v>0</v>
      </c>
      <c r="AP37" s="50">
        <f ca="1">+GETPIVOTDATA("XNT4",'nghiathanh (2016)'!$A$3,"MA_HT","NCK","MA_QH","DRA")</f>
        <v>0</v>
      </c>
      <c r="AQ37" s="50">
        <f ca="1">+GETPIVOTDATA("XNT4",'nghiathanh (2016)'!$A$3,"MA_HT","NCK","MA_QH","ONT")</f>
        <v>0</v>
      </c>
      <c r="AR37" s="50">
        <f ca="1">+GETPIVOTDATA("XNT4",'nghiathanh (2016)'!$A$3,"MA_HT","NCK","MA_QH","ODT")</f>
        <v>0</v>
      </c>
      <c r="AS37" s="50">
        <f ca="1">+GETPIVOTDATA("XNT4",'nghiathanh (2016)'!$A$3,"MA_HT","NCK","MA_QH","TSC")</f>
        <v>0</v>
      </c>
      <c r="AT37" s="50">
        <f ca="1">+GETPIVOTDATA("XNT4",'nghiathanh (2016)'!$A$3,"MA_HT","NCK","MA_QH","DTS")</f>
        <v>0</v>
      </c>
      <c r="AU37" s="50">
        <f ca="1">+GETPIVOTDATA("XNT4",'nghiathanh (2016)'!$A$3,"MA_HT","NCK","MA_QH","DNG")</f>
        <v>0</v>
      </c>
      <c r="AV37" s="50">
        <f ca="1">+GETPIVOTDATA("XNT4",'nghiathanh (2016)'!$A$3,"MA_HT","NCK","MA_QH","TON")</f>
        <v>0</v>
      </c>
      <c r="AW37" s="50">
        <f ca="1">+GETPIVOTDATA("XNT4",'nghiathanh (2016)'!$A$3,"MA_HT","NCK","MA_QH","NTD")</f>
        <v>0</v>
      </c>
      <c r="AX37" s="50">
        <f ca="1">+GETPIVOTDATA("XNT4",'nghiathanh (2016)'!$A$3,"MA_HT","NCK","MA_QH","SKX")</f>
        <v>0</v>
      </c>
      <c r="AY37" s="50">
        <f ca="1">+GETPIVOTDATA("XNT4",'nghiathanh (2016)'!$A$3,"MA_HT","NCK","MA_QH","DSH")</f>
        <v>0</v>
      </c>
      <c r="AZ37" s="50">
        <f ca="1">+GETPIVOTDATA("XNT4",'nghiathanh (2016)'!$A$3,"MA_HT","NCK","MA_QH","DKV")</f>
        <v>0</v>
      </c>
      <c r="BA37" s="88">
        <f ca="1">+GETPIVOTDATA("XNT4",'nghiathanh (2016)'!$A$3,"MA_HT","NCK","MA_QH","TIN")</f>
        <v>0</v>
      </c>
      <c r="BB37" s="50">
        <f ca="1">+GETPIVOTDATA("XNT4",'nghiathanh (2016)'!$A$3,"MA_HT","NCK","MA_QH","SON")</f>
        <v>0</v>
      </c>
      <c r="BC37" s="50">
        <f ca="1">+GETPIVOTDATA("XNT4",'nghiathanh (2016)'!$A$3,"MA_HT","NCK","MA_QH","MNC")</f>
        <v>0</v>
      </c>
      <c r="BD37" s="50">
        <f ca="1">+GETPIVOTDATA("XNT4",'nghiathanh (2016)'!$A$3,"MA_HT","NCK","MA_QH","PNK")</f>
        <v>0</v>
      </c>
      <c r="BE37" s="80">
        <f ca="1">+GETPIVOTDATA("XNT4",'nghiathanh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+GETPIVOTDATA("XNT4",'nghiathanh (2016)'!$A$3,"MA_HT","DXH","MA_QH","LUC")</f>
        <v>0</v>
      </c>
      <c r="H38" s="50">
        <f ca="1">+GETPIVOTDATA("XNT4",'nghiathanh (2016)'!$A$3,"MA_HT","DXH","MA_QH","LUK")</f>
        <v>0</v>
      </c>
      <c r="I38" s="50">
        <f ca="1">+GETPIVOTDATA("XNT4",'nghiathanh (2016)'!$A$3,"MA_HT","DXH","MA_QH","LUN")</f>
        <v>0</v>
      </c>
      <c r="J38" s="50">
        <f ca="1">+GETPIVOTDATA("XNT4",'nghiathanh (2016)'!$A$3,"MA_HT","DXH","MA_QH","HNK")</f>
        <v>0</v>
      </c>
      <c r="K38" s="50">
        <f ca="1">+GETPIVOTDATA("XNT4",'nghiathanh (2016)'!$A$3,"MA_HT","DXH","MA_QH","CLN")</f>
        <v>0</v>
      </c>
      <c r="L38" s="50">
        <f ca="1">+GETPIVOTDATA("XNT4",'nghiathanh (2016)'!$A$3,"MA_HT","DXH","MA_QH","RSX")</f>
        <v>0</v>
      </c>
      <c r="M38" s="50">
        <f ca="1">+GETPIVOTDATA("XNT4",'nghiathanh (2016)'!$A$3,"MA_HT","DXH","MA_QH","RPH")</f>
        <v>0</v>
      </c>
      <c r="N38" s="50">
        <f ca="1">+GETPIVOTDATA("XNT4",'nghiathanh (2016)'!$A$3,"MA_HT","DXH","MA_QH","RDD")</f>
        <v>0</v>
      </c>
      <c r="O38" s="50">
        <f ca="1">+GETPIVOTDATA("XNT4",'nghiathanh (2016)'!$A$3,"MA_HT","DXH","MA_QH","NTS")</f>
        <v>0</v>
      </c>
      <c r="P38" s="50">
        <f ca="1">+GETPIVOTDATA("XNT4",'nghiathanh (2016)'!$A$3,"MA_HT","DXH","MA_QH","LMU")</f>
        <v>0</v>
      </c>
      <c r="Q38" s="50">
        <f ca="1">+GETPIVOTDATA("XNT4",'nghiathanh (2016)'!$A$3,"MA_HT","DXH","MA_QH","NKH")</f>
        <v>0</v>
      </c>
      <c r="R38" s="48">
        <f ca="1" t="shared" si="20"/>
        <v>0</v>
      </c>
      <c r="S38" s="50">
        <f ca="1">+GETPIVOTDATA("XNT4",'nghiathanh (2016)'!$A$3,"MA_HT","DXH","MA_QH","CQP")</f>
        <v>0</v>
      </c>
      <c r="T38" s="50">
        <f ca="1">+GETPIVOTDATA("XNT4",'nghiathanh (2016)'!$A$3,"MA_HT","DXH","MA_QH","CAN")</f>
        <v>0</v>
      </c>
      <c r="U38" s="50">
        <f ca="1">+GETPIVOTDATA("XNT4",'nghiathanh (2016)'!$A$3,"MA_HT","DXH","MA_QH","SKK")</f>
        <v>0</v>
      </c>
      <c r="V38" s="50">
        <f ca="1">+GETPIVOTDATA("XNT4",'nghiathanh (2016)'!$A$3,"MA_HT","DXH","MA_QH","SKT")</f>
        <v>0</v>
      </c>
      <c r="W38" s="50">
        <f ca="1">+GETPIVOTDATA("XNT4",'nghiathanh (2016)'!$A$3,"MA_HT","DXH","MA_QH","SKN")</f>
        <v>0</v>
      </c>
      <c r="X38" s="50">
        <f ca="1">+GETPIVOTDATA("XNT4",'nghiathanh (2016)'!$A$3,"MA_HT","DXH","MA_QH","TMD")</f>
        <v>0</v>
      </c>
      <c r="Y38" s="50">
        <f ca="1">+GETPIVOTDATA("XNT4",'nghiathanh (2016)'!$A$3,"MA_HT","DXH","MA_QH","SKC")</f>
        <v>0</v>
      </c>
      <c r="Z38" s="50">
        <f ca="1">+GETPIVOTDATA("XNT4",'nghiathanh (2016)'!$A$3,"MA_HT","DXH","MA_QH","SKS")</f>
        <v>0</v>
      </c>
      <c r="AA38" s="52">
        <f ca="1">+SUM(AB38:AJ38,AL38:AM38)</f>
        <v>0</v>
      </c>
      <c r="AB38" s="50">
        <f ca="1">+GETPIVOTDATA("XNT4",'nghiathanh (2016)'!$A$3,"MA_HT","DXH","MA_QH","DGT")</f>
        <v>0</v>
      </c>
      <c r="AC38" s="50">
        <f ca="1">+GETPIVOTDATA("XNT4",'nghiathanh (2016)'!$A$3,"MA_HT","DXH","MA_QH","DTL")</f>
        <v>0</v>
      </c>
      <c r="AD38" s="50">
        <f ca="1">+GETPIVOTDATA("XNT4",'nghiathanh (2016)'!$A$3,"MA_HT","DXH","MA_QH","DNL")</f>
        <v>0</v>
      </c>
      <c r="AE38" s="50">
        <f ca="1">+GETPIVOTDATA("XNT4",'nghiathanh (2016)'!$A$3,"MA_HT","DXH","MA_QH","DBV")</f>
        <v>0</v>
      </c>
      <c r="AF38" s="50">
        <f ca="1">+GETPIVOTDATA("XNT4",'nghiathanh (2016)'!$A$3,"MA_HT","DXH","MA_QH","DVH")</f>
        <v>0</v>
      </c>
      <c r="AG38" s="50">
        <f ca="1">+GETPIVOTDATA("XNT4",'nghiathanh (2016)'!$A$3,"MA_HT","DXH","MA_QH","DYT")</f>
        <v>0</v>
      </c>
      <c r="AH38" s="50">
        <f ca="1">+GETPIVOTDATA("XNT4",'nghiathanh (2016)'!$A$3,"MA_HT","DXH","MA_QH","DGD")</f>
        <v>0</v>
      </c>
      <c r="AI38" s="50">
        <f ca="1">+GETPIVOTDATA("XNT4",'nghiathanh (2016)'!$A$3,"MA_HT","DXH","MA_QH","DTT")</f>
        <v>0</v>
      </c>
      <c r="AJ38" s="50">
        <f ca="1">+GETPIVOTDATA("XNT4",'nghiathanh (2016)'!$A$3,"MA_HT","DXH","MA_QH","NCK")</f>
        <v>0</v>
      </c>
      <c r="AK38" s="49" t="e">
        <f ca="1">$D38-$BF38</f>
        <v>#REF!</v>
      </c>
      <c r="AL38" s="50">
        <f ca="1">+GETPIVOTDATA("XNT4",'nghiathanh (2016)'!$A$3,"MA_HT","DXH","MA_QH","DCH")</f>
        <v>0</v>
      </c>
      <c r="AM38" s="50">
        <f ca="1">+GETPIVOTDATA("XNT4",'nghiathanh (2016)'!$A$3,"MA_HT","DXH","MA_QH","DKG")</f>
        <v>0</v>
      </c>
      <c r="AN38" s="50">
        <f ca="1">+GETPIVOTDATA("XNT4",'nghiathanh (2016)'!$A$3,"MA_HT","DXH","MA_QH","DDT")</f>
        <v>0</v>
      </c>
      <c r="AO38" s="50">
        <f ca="1">+GETPIVOTDATA("XNT4",'nghiathanh (2016)'!$A$3,"MA_HT","DXH","MA_QH","DDL")</f>
        <v>0</v>
      </c>
      <c r="AP38" s="50">
        <f ca="1">+GETPIVOTDATA("XNT4",'nghiathanh (2016)'!$A$3,"MA_HT","DXH","MA_QH","DRA")</f>
        <v>0</v>
      </c>
      <c r="AQ38" s="50">
        <f ca="1">+GETPIVOTDATA("XNT4",'nghiathanh (2016)'!$A$3,"MA_HT","DXH","MA_QH","ONT")</f>
        <v>0</v>
      </c>
      <c r="AR38" s="50">
        <f ca="1">+GETPIVOTDATA("XNT4",'nghiathanh (2016)'!$A$3,"MA_HT","DXH","MA_QH","ODT")</f>
        <v>0</v>
      </c>
      <c r="AS38" s="50">
        <f ca="1">+GETPIVOTDATA("XNT4",'nghiathanh (2016)'!$A$3,"MA_HT","DXH","MA_QH","TSC")</f>
        <v>0</v>
      </c>
      <c r="AT38" s="50">
        <f ca="1">+GETPIVOTDATA("XNT4",'nghiathanh (2016)'!$A$3,"MA_HT","DXH","MA_QH","DTS")</f>
        <v>0</v>
      </c>
      <c r="AU38" s="50">
        <f ca="1">+GETPIVOTDATA("XNT4",'nghiathanh (2016)'!$A$3,"MA_HT","DXH","MA_QH","DNG")</f>
        <v>0</v>
      </c>
      <c r="AV38" s="50">
        <f ca="1">+GETPIVOTDATA("XNT4",'nghiathanh (2016)'!$A$3,"MA_HT","DXH","MA_QH","TON")</f>
        <v>0</v>
      </c>
      <c r="AW38" s="50">
        <f ca="1">+GETPIVOTDATA("XNT4",'nghiathanh (2016)'!$A$3,"MA_HT","DXH","MA_QH","NTD")</f>
        <v>0</v>
      </c>
      <c r="AX38" s="50">
        <f ca="1">+GETPIVOTDATA("XNT4",'nghiathanh (2016)'!$A$3,"MA_HT","DXH","MA_QH","SKX")</f>
        <v>0</v>
      </c>
      <c r="AY38" s="50">
        <f ca="1">+GETPIVOTDATA("XNT4",'nghiathanh (2016)'!$A$3,"MA_HT","DXH","MA_QH","DSH")</f>
        <v>0</v>
      </c>
      <c r="AZ38" s="50">
        <f ca="1">+GETPIVOTDATA("XNT4",'nghiathanh (2016)'!$A$3,"MA_HT","DXH","MA_QH","DKV")</f>
        <v>0</v>
      </c>
      <c r="BA38" s="88">
        <f ca="1">+GETPIVOTDATA("XNT4",'nghiathanh (2016)'!$A$3,"MA_HT","DXH","MA_QH","TIN")</f>
        <v>0</v>
      </c>
      <c r="BB38" s="50">
        <f ca="1">+GETPIVOTDATA("XNT4",'nghiathanh (2016)'!$A$3,"MA_HT","DXH","MA_QH","SON")</f>
        <v>0</v>
      </c>
      <c r="BC38" s="50">
        <f ca="1">+GETPIVOTDATA("XNT4",'nghiathanh (2016)'!$A$3,"MA_HT","DXH","MA_QH","MNC")</f>
        <v>0</v>
      </c>
      <c r="BD38" s="50">
        <f ca="1">+GETPIVOTDATA("XNT4",'nghiathanh (2016)'!$A$3,"MA_HT","DXH","MA_QH","PNK")</f>
        <v>0</v>
      </c>
      <c r="BE38" s="80">
        <f ca="1">+GETPIVOTDATA("XNT4",'nghiathanh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+GETPIVOTDATA("XNT4",'nghiathanh (2016)'!$A$3,"MA_HT","DCH","MA_QH","LUC")</f>
        <v>0</v>
      </c>
      <c r="H39" s="50">
        <f ca="1">+GETPIVOTDATA("XNT4",'nghiathanh (2016)'!$A$3,"MA_HT","DCH","MA_QH","LUK")</f>
        <v>0</v>
      </c>
      <c r="I39" s="50">
        <f ca="1">+GETPIVOTDATA("XNT4",'nghiathanh (2016)'!$A$3,"MA_HT","DCH","MA_QH","LUN")</f>
        <v>0</v>
      </c>
      <c r="J39" s="50">
        <f ca="1">+GETPIVOTDATA("XNT4",'nghiathanh (2016)'!$A$3,"MA_HT","DCH","MA_QH","HNK")</f>
        <v>0</v>
      </c>
      <c r="K39" s="50">
        <f ca="1">+GETPIVOTDATA("XNT4",'nghiathanh (2016)'!$A$3,"MA_HT","DCH","MA_QH","CLN")</f>
        <v>0</v>
      </c>
      <c r="L39" s="50">
        <f ca="1">+GETPIVOTDATA("XNT4",'nghiathanh (2016)'!$A$3,"MA_HT","DCH","MA_QH","RSX")</f>
        <v>0</v>
      </c>
      <c r="M39" s="50">
        <f ca="1">+GETPIVOTDATA("XNT4",'nghiathanh (2016)'!$A$3,"MA_HT","DCH","MA_QH","RPH")</f>
        <v>0</v>
      </c>
      <c r="N39" s="50">
        <f ca="1">+GETPIVOTDATA("XNT4",'nghiathanh (2016)'!$A$3,"MA_HT","DCH","MA_QH","RDD")</f>
        <v>0</v>
      </c>
      <c r="O39" s="50">
        <f ca="1">+GETPIVOTDATA("XNT4",'nghiathanh (2016)'!$A$3,"MA_HT","DCH","MA_QH","NTS")</f>
        <v>0</v>
      </c>
      <c r="P39" s="50">
        <f ca="1">+GETPIVOTDATA("XNT4",'nghiathanh (2016)'!$A$3,"MA_HT","DCH","MA_QH","LMU")</f>
        <v>0</v>
      </c>
      <c r="Q39" s="50">
        <f ca="1">+GETPIVOTDATA("XNT4",'nghiathanh (2016)'!$A$3,"MA_HT","DCH","MA_QH","NKH")</f>
        <v>0</v>
      </c>
      <c r="R39" s="48">
        <f ca="1" t="shared" si="20"/>
        <v>0</v>
      </c>
      <c r="S39" s="50">
        <f ca="1">+GETPIVOTDATA("XNT4",'nghiathanh (2016)'!$A$3,"MA_HT","DCH","MA_QH","CQP")</f>
        <v>0</v>
      </c>
      <c r="T39" s="50">
        <f ca="1">+GETPIVOTDATA("XNT4",'nghiathanh (2016)'!$A$3,"MA_HT","DCH","MA_QH","CAN")</f>
        <v>0</v>
      </c>
      <c r="U39" s="50">
        <f ca="1">+GETPIVOTDATA("XNT4",'nghiathanh (2016)'!$A$3,"MA_HT","DCH","MA_QH","SKK")</f>
        <v>0</v>
      </c>
      <c r="V39" s="50">
        <f ca="1">+GETPIVOTDATA("XNT4",'nghiathanh (2016)'!$A$3,"MA_HT","DCH","MA_QH","SKT")</f>
        <v>0</v>
      </c>
      <c r="W39" s="50">
        <f ca="1">+GETPIVOTDATA("XNT4",'nghiathanh (2016)'!$A$3,"MA_HT","DCH","MA_QH","SKN")</f>
        <v>0</v>
      </c>
      <c r="X39" s="50">
        <f ca="1">+GETPIVOTDATA("XNT4",'nghiathanh (2016)'!$A$3,"MA_HT","DCH","MA_QH","TMD")</f>
        <v>0</v>
      </c>
      <c r="Y39" s="50">
        <f ca="1">+GETPIVOTDATA("XNT4",'nghiathanh (2016)'!$A$3,"MA_HT","DCH","MA_QH","SKC")</f>
        <v>0</v>
      </c>
      <c r="Z39" s="50">
        <f ca="1">+GETPIVOTDATA("XNT4",'nghiathanh (2016)'!$A$3,"MA_HT","DCH","MA_QH","SKS")</f>
        <v>0</v>
      </c>
      <c r="AA39" s="52">
        <f ca="1">+SUM(AB39:AK39,AM39)</f>
        <v>0</v>
      </c>
      <c r="AB39" s="50">
        <f ca="1">+GETPIVOTDATA("XNT4",'nghiathanh (2016)'!$A$3,"MA_HT","DCH","MA_QH","DGT")</f>
        <v>0</v>
      </c>
      <c r="AC39" s="50">
        <f ca="1">+GETPIVOTDATA("XNT4",'nghiathanh (2016)'!$A$3,"MA_HT","DCH","MA_QH","DTL")</f>
        <v>0</v>
      </c>
      <c r="AD39" s="50">
        <f ca="1">+GETPIVOTDATA("XNT4",'nghiathanh (2016)'!$A$3,"MA_HT","DCH","MA_QH","DNL")</f>
        <v>0</v>
      </c>
      <c r="AE39" s="50">
        <f ca="1">+GETPIVOTDATA("XNT4",'nghiathanh (2016)'!$A$3,"MA_HT","DCH","MA_QH","DBV")</f>
        <v>0</v>
      </c>
      <c r="AF39" s="50">
        <f ca="1">+GETPIVOTDATA("XNT4",'nghiathanh (2016)'!$A$3,"MA_HT","DCH","MA_QH","DVH")</f>
        <v>0</v>
      </c>
      <c r="AG39" s="50">
        <f ca="1">+GETPIVOTDATA("XNT4",'nghiathanh (2016)'!$A$3,"MA_HT","DCH","MA_QH","DYT")</f>
        <v>0</v>
      </c>
      <c r="AH39" s="50">
        <f ca="1">+GETPIVOTDATA("XNT4",'nghiathanh (2016)'!$A$3,"MA_HT","DCH","MA_QH","DGD")</f>
        <v>0</v>
      </c>
      <c r="AI39" s="50">
        <f ca="1">+GETPIVOTDATA("XNT4",'nghiathanh (2016)'!$A$3,"MA_HT","DCH","MA_QH","DTT")</f>
        <v>0</v>
      </c>
      <c r="AJ39" s="50">
        <f ca="1">+GETPIVOTDATA("XNT4",'nghiathanh (2016)'!$A$3,"MA_HT","DCH","MA_QH","NCK")</f>
        <v>0</v>
      </c>
      <c r="AK39" s="50">
        <f ca="1">+GETPIVOTDATA("XNT4",'nghiathanh (2016)'!$A$3,"MA_HT","DCH","MA_QH","DXH")</f>
        <v>0</v>
      </c>
      <c r="AL39" s="49" t="e">
        <f ca="1">$D39-$BF39</f>
        <v>#REF!</v>
      </c>
      <c r="AM39" s="50">
        <f ca="1">+GETPIVOTDATA("XNT4",'nghiathanh (2016)'!$A$3,"MA_HT","DXH","MA_QH","DKG")</f>
        <v>0</v>
      </c>
      <c r="AN39" s="50">
        <f ca="1">+GETPIVOTDATA("XNT4",'nghiathanh (2016)'!$A$3,"MA_HT","DCH","MA_QH","DDT")</f>
        <v>0</v>
      </c>
      <c r="AO39" s="50">
        <f ca="1">+GETPIVOTDATA("XNT4",'nghiathanh (2016)'!$A$3,"MA_HT","DCH","MA_QH","DDL")</f>
        <v>0</v>
      </c>
      <c r="AP39" s="50">
        <f ca="1">+GETPIVOTDATA("XNT4",'nghiathanh (2016)'!$A$3,"MA_HT","DCH","MA_QH","DRA")</f>
        <v>0</v>
      </c>
      <c r="AQ39" s="50">
        <f ca="1">+GETPIVOTDATA("XNT4",'nghiathanh (2016)'!$A$3,"MA_HT","DCH","MA_QH","ONT")</f>
        <v>0</v>
      </c>
      <c r="AR39" s="50">
        <f ca="1">+GETPIVOTDATA("XNT4",'nghiathanh (2016)'!$A$3,"MA_HT","DCH","MA_QH","ODT")</f>
        <v>0</v>
      </c>
      <c r="AS39" s="50">
        <f ca="1">+GETPIVOTDATA("XNT4",'nghiathanh (2016)'!$A$3,"MA_HT","DCH","MA_QH","TSC")</f>
        <v>0</v>
      </c>
      <c r="AT39" s="50">
        <f ca="1">+GETPIVOTDATA("XNT4",'nghiathanh (2016)'!$A$3,"MA_HT","DCH","MA_QH","DTS")</f>
        <v>0</v>
      </c>
      <c r="AU39" s="50">
        <f ca="1">+GETPIVOTDATA("XNT4",'nghiathanh (2016)'!$A$3,"MA_HT","DCH","MA_QH","DNG")</f>
        <v>0</v>
      </c>
      <c r="AV39" s="50">
        <f ca="1">+GETPIVOTDATA("XNT4",'nghiathanh (2016)'!$A$3,"MA_HT","DCH","MA_QH","TON")</f>
        <v>0</v>
      </c>
      <c r="AW39" s="50">
        <f ca="1">+GETPIVOTDATA("XNT4",'nghiathanh (2016)'!$A$3,"MA_HT","DCH","MA_QH","NTD")</f>
        <v>0</v>
      </c>
      <c r="AX39" s="50">
        <f ca="1">+GETPIVOTDATA("XNT4",'nghiathanh (2016)'!$A$3,"MA_HT","DCH","MA_QH","SKX")</f>
        <v>0</v>
      </c>
      <c r="AY39" s="50">
        <f ca="1">+GETPIVOTDATA("XNT4",'nghiathanh (2016)'!$A$3,"MA_HT","DCH","MA_QH","DSH")</f>
        <v>0</v>
      </c>
      <c r="AZ39" s="50">
        <f ca="1">+GETPIVOTDATA("XNT4",'nghiathanh (2016)'!$A$3,"MA_HT","DCH","MA_QH","DKV")</f>
        <v>0</v>
      </c>
      <c r="BA39" s="88">
        <f ca="1">+GETPIVOTDATA("XNT4",'nghiathanh (2016)'!$A$3,"MA_HT","DCH","MA_QH","TIN")</f>
        <v>0</v>
      </c>
      <c r="BB39" s="50">
        <f ca="1">+GETPIVOTDATA("XNT4",'nghiathanh (2016)'!$A$3,"MA_HT","DCH","MA_QH","SON")</f>
        <v>0</v>
      </c>
      <c r="BC39" s="50">
        <f ca="1">+GETPIVOTDATA("XNT4",'nghiathanh (2016)'!$A$3,"MA_HT","DCH","MA_QH","MNC")</f>
        <v>0</v>
      </c>
      <c r="BD39" s="50">
        <f ca="1">+GETPIVOTDATA("XNT4",'nghiathanh (2016)'!$A$3,"MA_HT","DCH","MA_QH","PNK")</f>
        <v>0</v>
      </c>
      <c r="BE39" s="80">
        <f ca="1">+GETPIVOTDATA("XNT4",'nghiathanh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+GETPIVOTDATA("XNT4",'nghiathanh (2016)'!$A$3,"MA_HT","DKG","MA_QH","LUC")</f>
        <v>0</v>
      </c>
      <c r="H40" s="50">
        <f ca="1">+GETPIVOTDATA("XNT4",'nghiathanh (2016)'!$A$3,"MA_HT","DKG","MA_QH","LUK")</f>
        <v>0</v>
      </c>
      <c r="I40" s="50">
        <f ca="1">+GETPIVOTDATA("XNT4",'nghiathanh (2016)'!$A$3,"MA_HT","DKG","MA_QH","LUN")</f>
        <v>0</v>
      </c>
      <c r="J40" s="50">
        <f ca="1">+GETPIVOTDATA("XNT4",'nghiathanh (2016)'!$A$3,"MA_HT","DKG","MA_QH","HNK")</f>
        <v>0</v>
      </c>
      <c r="K40" s="50">
        <f ca="1">+GETPIVOTDATA("XNT4",'nghiathanh (2016)'!$A$3,"MA_HT","DKG","MA_QH","CLN")</f>
        <v>0</v>
      </c>
      <c r="L40" s="50">
        <f ca="1">+GETPIVOTDATA("XNT4",'nghiathanh (2016)'!$A$3,"MA_HT","DKG","MA_QH","RSX")</f>
        <v>0</v>
      </c>
      <c r="M40" s="50">
        <f ca="1">+GETPIVOTDATA("XNT4",'nghiathanh (2016)'!$A$3,"MA_HT","DKG","MA_QH","RPH")</f>
        <v>0</v>
      </c>
      <c r="N40" s="50">
        <f ca="1">+GETPIVOTDATA("XNT4",'nghiathanh (2016)'!$A$3,"MA_HT","DKG","MA_QH","RDD")</f>
        <v>0</v>
      </c>
      <c r="O40" s="50">
        <f ca="1">+GETPIVOTDATA("XNT4",'nghiathanh (2016)'!$A$3,"MA_HT","DKG","MA_QH","NTS")</f>
        <v>0</v>
      </c>
      <c r="P40" s="50">
        <f ca="1">+GETPIVOTDATA("XNT4",'nghiathanh (2016)'!$A$3,"MA_HT","DKG","MA_QH","LMU")</f>
        <v>0</v>
      </c>
      <c r="Q40" s="50">
        <f ca="1">+GETPIVOTDATA("XNT4",'nghiathanh (2016)'!$A$3,"MA_HT","DKG","MA_QH","NKH")</f>
        <v>0</v>
      </c>
      <c r="R40" s="48">
        <f ca="1" t="shared" si="20"/>
        <v>0</v>
      </c>
      <c r="S40" s="50">
        <f ca="1">+GETPIVOTDATA("XNT4",'nghiathanh (2016)'!$A$3,"MA_HT","DKG","MA_QH","CQP")</f>
        <v>0</v>
      </c>
      <c r="T40" s="50">
        <f ca="1">+GETPIVOTDATA("XNT4",'nghiathanh (2016)'!$A$3,"MA_HT","DKG","MA_QH","CAN")</f>
        <v>0</v>
      </c>
      <c r="U40" s="50">
        <f ca="1">+GETPIVOTDATA("XNT4",'nghiathanh (2016)'!$A$3,"MA_HT","DKG","MA_QH","SKK")</f>
        <v>0</v>
      </c>
      <c r="V40" s="50">
        <f ca="1">+GETPIVOTDATA("XNT4",'nghiathanh (2016)'!$A$3,"MA_HT","DKG","MA_QH","SKT")</f>
        <v>0</v>
      </c>
      <c r="W40" s="50">
        <f ca="1">+GETPIVOTDATA("XNT4",'nghiathanh (2016)'!$A$3,"MA_HT","DKG","MA_QH","SKN")</f>
        <v>0</v>
      </c>
      <c r="X40" s="50">
        <f ca="1">+GETPIVOTDATA("XNT4",'nghiathanh (2016)'!$A$3,"MA_HT","DKG","MA_QH","TMD")</f>
        <v>0</v>
      </c>
      <c r="Y40" s="50">
        <f ca="1">+GETPIVOTDATA("XNT4",'nghiathanh (2016)'!$A$3,"MA_HT","DKG","MA_QH","SKC")</f>
        <v>0</v>
      </c>
      <c r="Z40" s="50">
        <f ca="1">+GETPIVOTDATA("XNT4",'nghiathanh (2016)'!$A$3,"MA_HT","DKG","MA_QH","SKS")</f>
        <v>0</v>
      </c>
      <c r="AA40" s="52">
        <f ca="1">+SUM(AB40:AL40)</f>
        <v>0</v>
      </c>
      <c r="AB40" s="50">
        <f ca="1">+GETPIVOTDATA("XNT4",'nghiathanh (2016)'!$A$3,"MA_HT","DKG","MA_QH","DGT")</f>
        <v>0</v>
      </c>
      <c r="AC40" s="50">
        <f ca="1">+GETPIVOTDATA("XNT4",'nghiathanh (2016)'!$A$3,"MA_HT","DKG","MA_QH","DTL")</f>
        <v>0</v>
      </c>
      <c r="AD40" s="50">
        <f ca="1">+GETPIVOTDATA("XNT4",'nghiathanh (2016)'!$A$3,"MA_HT","DKG","MA_QH","DNL")</f>
        <v>0</v>
      </c>
      <c r="AE40" s="50">
        <f ca="1">+GETPIVOTDATA("XNT4",'nghiathanh (2016)'!$A$3,"MA_HT","DKG","MA_QH","DBV")</f>
        <v>0</v>
      </c>
      <c r="AF40" s="50">
        <f ca="1">+GETPIVOTDATA("XNT4",'nghiathanh (2016)'!$A$3,"MA_HT","DKG","MA_QH","DVH")</f>
        <v>0</v>
      </c>
      <c r="AG40" s="50">
        <f ca="1">+GETPIVOTDATA("XNT4",'nghiathanh (2016)'!$A$3,"MA_HT","DKG","MA_QH","DYT")</f>
        <v>0</v>
      </c>
      <c r="AH40" s="50">
        <f ca="1">+GETPIVOTDATA("XNT4",'nghiathanh (2016)'!$A$3,"MA_HT","DKG","MA_QH","DGD")</f>
        <v>0</v>
      </c>
      <c r="AI40" s="50">
        <f ca="1">+GETPIVOTDATA("XNT4",'nghiathanh (2016)'!$A$3,"MA_HT","DKG","MA_QH","DTT")</f>
        <v>0</v>
      </c>
      <c r="AJ40" s="50">
        <f ca="1">+GETPIVOTDATA("XNT4",'nghiathanh (2016)'!$A$3,"MA_HT","DKG","MA_QH","NCK")</f>
        <v>0</v>
      </c>
      <c r="AK40" s="50">
        <f ca="1">+GETPIVOTDATA("XNT4",'nghiathanh (2016)'!$A$3,"MA_HT","DKG","MA_QH","DXH")</f>
        <v>0</v>
      </c>
      <c r="AL40" s="60">
        <f ca="1">+GETPIVOTDATA("XNT4",'nghiathanh (2016)'!$A$3,"MA_HT","DDT","MA_QH","DKG")</f>
        <v>0</v>
      </c>
      <c r="AM40" s="49" t="e">
        <f ca="1">$D40-$BF40</f>
        <v>#REF!</v>
      </c>
      <c r="AN40" s="50">
        <f ca="1">+GETPIVOTDATA("XNT4",'nghiathanh (2016)'!$A$3,"MA_HT","DKG","MA_QH","DDT")</f>
        <v>0</v>
      </c>
      <c r="AO40" s="50">
        <f ca="1">+GETPIVOTDATA("XNT4",'nghiathanh (2016)'!$A$3,"MA_HT","DKG","MA_QH","DDL")</f>
        <v>0</v>
      </c>
      <c r="AP40" s="50">
        <f ca="1">+GETPIVOTDATA("XNT4",'nghiathanh (2016)'!$A$3,"MA_HT","DKG","MA_QH","DRA")</f>
        <v>0</v>
      </c>
      <c r="AQ40" s="50">
        <f ca="1">+GETPIVOTDATA("XNT4",'nghiathanh (2016)'!$A$3,"MA_HT","DKG","MA_QH","ONT")</f>
        <v>0</v>
      </c>
      <c r="AR40" s="50">
        <f ca="1">+GETPIVOTDATA("XNT4",'nghiathanh (2016)'!$A$3,"MA_HT","DKG","MA_QH","ODT")</f>
        <v>0</v>
      </c>
      <c r="AS40" s="50">
        <f ca="1">+GETPIVOTDATA("XNT4",'nghiathanh (2016)'!$A$3,"MA_HT","DKG","MA_QH","TSC")</f>
        <v>0</v>
      </c>
      <c r="AT40" s="50">
        <f ca="1">+GETPIVOTDATA("XNT4",'nghiathanh (2016)'!$A$3,"MA_HT","DKG","MA_QH","DTS")</f>
        <v>0</v>
      </c>
      <c r="AU40" s="50">
        <f ca="1">+GETPIVOTDATA("XNT4",'nghiathanh (2016)'!$A$3,"MA_HT","DKG","MA_QH","DNG")</f>
        <v>0</v>
      </c>
      <c r="AV40" s="50">
        <f ca="1">+GETPIVOTDATA("XNT4",'nghiathanh (2016)'!$A$3,"MA_HT","DKG","MA_QH","TON")</f>
        <v>0</v>
      </c>
      <c r="AW40" s="50">
        <f ca="1">+GETPIVOTDATA("XNT4",'nghiathanh (2016)'!$A$3,"MA_HT","DKG","MA_QH","NTD")</f>
        <v>0</v>
      </c>
      <c r="AX40" s="50">
        <f ca="1">+GETPIVOTDATA("XNT4",'nghiathanh (2016)'!$A$3,"MA_HT","DKG","MA_QH","SKX")</f>
        <v>0</v>
      </c>
      <c r="AY40" s="50">
        <f ca="1">+GETPIVOTDATA("XNT4",'nghiathanh (2016)'!$A$3,"MA_HT","DKG","MA_QH","DSH")</f>
        <v>0</v>
      </c>
      <c r="AZ40" s="50">
        <f ca="1">+GETPIVOTDATA("XNT4",'nghiathanh (2016)'!$A$3,"MA_HT","DKG","MA_QH","DKV")</f>
        <v>0</v>
      </c>
      <c r="BA40" s="88">
        <f ca="1">+GETPIVOTDATA("XNT4",'nghiathanh (2016)'!$A$3,"MA_HT","DKG","MA_QH","TIN")</f>
        <v>0</v>
      </c>
      <c r="BB40" s="50">
        <f ca="1">+GETPIVOTDATA("XNT4",'nghiathanh (2016)'!$A$3,"MA_HT","DKG","MA_QH","SON")</f>
        <v>0</v>
      </c>
      <c r="BC40" s="50">
        <f ca="1">+GETPIVOTDATA("XNT4",'nghiathanh (2016)'!$A$3,"MA_HT","DKG","MA_QH","MNC")</f>
        <v>0</v>
      </c>
      <c r="BD40" s="50">
        <f ca="1">+GETPIVOTDATA("XNT4",'nghiathanh (2016)'!$A$3,"MA_HT","DKG","MA_QH","PNK")</f>
        <v>0</v>
      </c>
      <c r="BE40" s="80">
        <f ca="1">+GETPIVOTDATA("XNT4",'nghiathanh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+GETPIVOTDATA("XNT4",'nghiathanh (2016)'!$A$3,"MA_HT","DDT","MA_QH","LUC")</f>
        <v>0</v>
      </c>
      <c r="H41" s="60">
        <f ca="1">+GETPIVOTDATA("XNT4",'nghiathanh (2016)'!$A$3,"MA_HT","DDT","MA_QH","LUK")</f>
        <v>0</v>
      </c>
      <c r="I41" s="60">
        <f ca="1">+GETPIVOTDATA("XNT4",'nghiathanh (2016)'!$A$3,"MA_HT","DDT","MA_QH","LUN")</f>
        <v>0</v>
      </c>
      <c r="J41" s="60">
        <f ca="1">+GETPIVOTDATA("XNT4",'nghiathanh (2016)'!$A$3,"MA_HT","DDT","MA_QH","HNK")</f>
        <v>0</v>
      </c>
      <c r="K41" s="60">
        <f ca="1">+GETPIVOTDATA("XNT4",'nghiathanh (2016)'!$A$3,"MA_HT","DDT","MA_QH","CLN")</f>
        <v>0</v>
      </c>
      <c r="L41" s="60">
        <f ca="1">+GETPIVOTDATA("XNT4",'nghiathanh (2016)'!$A$3,"MA_HT","DDT","MA_QH","RSX")</f>
        <v>0</v>
      </c>
      <c r="M41" s="60">
        <f ca="1">+GETPIVOTDATA("XNT4",'nghiathanh (2016)'!$A$3,"MA_HT","DDT","MA_QH","RPH")</f>
        <v>0</v>
      </c>
      <c r="N41" s="60">
        <f ca="1">+GETPIVOTDATA("XNT4",'nghiathanh (2016)'!$A$3,"MA_HT","DDT","MA_QH","RDD")</f>
        <v>0</v>
      </c>
      <c r="O41" s="60">
        <f ca="1">+GETPIVOTDATA("XNT4",'nghiathanh (2016)'!$A$3,"MA_HT","DDT","MA_QH","NTS")</f>
        <v>0</v>
      </c>
      <c r="P41" s="60">
        <f ca="1">+GETPIVOTDATA("XNT4",'nghiathanh (2016)'!$A$3,"MA_HT","DDT","MA_QH","LMU")</f>
        <v>0</v>
      </c>
      <c r="Q41" s="60">
        <f ca="1">+GETPIVOTDATA("XNT4",'nghiathanh (2016)'!$A$3,"MA_HT","DDT","MA_QH","NKH")</f>
        <v>0</v>
      </c>
      <c r="R41" s="78">
        <f ca="1">SUM(S41:AA41,AO41:BD41)</f>
        <v>0</v>
      </c>
      <c r="S41" s="60">
        <f ca="1">+GETPIVOTDATA("XNT4",'nghiathanh (2016)'!$A$3,"MA_HT","DDT","MA_QH","CQP")</f>
        <v>0</v>
      </c>
      <c r="T41" s="60">
        <f ca="1">+GETPIVOTDATA("XNT4",'nghiathanh (2016)'!$A$3,"MA_HT","DDT","MA_QH","CAN")</f>
        <v>0</v>
      </c>
      <c r="U41" s="60">
        <f ca="1">+GETPIVOTDATA("XNT4",'nghiathanh (2016)'!$A$3,"MA_HT","DDT","MA_QH","SKK")</f>
        <v>0</v>
      </c>
      <c r="V41" s="60">
        <f ca="1">+GETPIVOTDATA("XNT4",'nghiathanh (2016)'!$A$3,"MA_HT","DDT","MA_QH","SKT")</f>
        <v>0</v>
      </c>
      <c r="W41" s="60">
        <f ca="1">+GETPIVOTDATA("XNT4",'nghiathanh (2016)'!$A$3,"MA_HT","DDT","MA_QH","SKN")</f>
        <v>0</v>
      </c>
      <c r="X41" s="60">
        <f ca="1">+GETPIVOTDATA("XNT4",'nghiathanh (2016)'!$A$3,"MA_HT","DDT","MA_QH","TMD")</f>
        <v>0</v>
      </c>
      <c r="Y41" s="60">
        <f ca="1">+GETPIVOTDATA("XNT4",'nghiathanh (2016)'!$A$3,"MA_HT","DDT","MA_QH","SKC")</f>
        <v>0</v>
      </c>
      <c r="Z41" s="60">
        <f ca="1">+GETPIVOTDATA("XNT4",'nghiathanh (2016)'!$A$3,"MA_HT","DDT","MA_QH","SKS")</f>
        <v>0</v>
      </c>
      <c r="AA41" s="59">
        <f ca="1" t="shared" ref="AA41:AA58" si="21">+SUM(AB41:AM41)</f>
        <v>0</v>
      </c>
      <c r="AB41" s="60">
        <f ca="1">+GETPIVOTDATA("XNT4",'nghiathanh (2016)'!$A$3,"MA_HT","DDT","MA_QH","DGT")</f>
        <v>0</v>
      </c>
      <c r="AC41" s="60">
        <f ca="1">+GETPIVOTDATA("XNT4",'nghiathanh (2016)'!$A$3,"MA_HT","DDT","MA_QH","DTL")</f>
        <v>0</v>
      </c>
      <c r="AD41" s="60">
        <f ca="1">+GETPIVOTDATA("XNT4",'nghiathanh (2016)'!$A$3,"MA_HT","DDT","MA_QH","DNL")</f>
        <v>0</v>
      </c>
      <c r="AE41" s="60">
        <f ca="1">+GETPIVOTDATA("XNT4",'nghiathanh (2016)'!$A$3,"MA_HT","DDT","MA_QH","DBV")</f>
        <v>0</v>
      </c>
      <c r="AF41" s="60">
        <f ca="1">+GETPIVOTDATA("XNT4",'nghiathanh (2016)'!$A$3,"MA_HT","DDT","MA_QH","DVH")</f>
        <v>0</v>
      </c>
      <c r="AG41" s="60">
        <f ca="1">+GETPIVOTDATA("XNT4",'nghiathanh (2016)'!$A$3,"MA_HT","DDT","MA_QH","DYT")</f>
        <v>0</v>
      </c>
      <c r="AH41" s="60">
        <f ca="1">+GETPIVOTDATA("XNT4",'nghiathanh (2016)'!$A$3,"MA_HT","DDT","MA_QH","DGD")</f>
        <v>0</v>
      </c>
      <c r="AI41" s="60">
        <f ca="1">+GETPIVOTDATA("XNT4",'nghiathanh (2016)'!$A$3,"MA_HT","DDT","MA_QH","DTT")</f>
        <v>0</v>
      </c>
      <c r="AJ41" s="60">
        <f ca="1">+GETPIVOTDATA("XNT4",'nghiathanh (2016)'!$A$3,"MA_HT","DDT","MA_QH","NCK")</f>
        <v>0</v>
      </c>
      <c r="AK41" s="60">
        <f ca="1">+GETPIVOTDATA("XNT4",'nghiathanh (2016)'!$A$3,"MA_HT","DDT","MA_QH","DXH")</f>
        <v>0</v>
      </c>
      <c r="AL41" s="60">
        <f ca="1">+GETPIVOTDATA("XNT4",'nghiathanh (2016)'!$A$3,"MA_HT","DDT","MA_QH","DCH")</f>
        <v>0</v>
      </c>
      <c r="AM41" s="60">
        <f ca="1">+GETPIVOTDATA("XNT4",'nghiathanh (2016)'!$A$3,"MA_HT","DDT","MA_QH","DKG")</f>
        <v>0</v>
      </c>
      <c r="AN41" s="81" t="e">
        <f ca="1">$D41-$BF41</f>
        <v>#REF!</v>
      </c>
      <c r="AO41" s="60">
        <f ca="1">+GETPIVOTDATA("XNT4",'nghiathanh (2016)'!$A$3,"MA_HT","DDT","MA_QH","DDL")</f>
        <v>0</v>
      </c>
      <c r="AP41" s="60">
        <f ca="1">+GETPIVOTDATA("XNT4",'nghiathanh (2016)'!$A$3,"MA_HT","DDT","MA_QH","DRA")</f>
        <v>0</v>
      </c>
      <c r="AQ41" s="60">
        <f ca="1">+GETPIVOTDATA("XNT4",'nghiathanh (2016)'!$A$3,"MA_HT","DDT","MA_QH","ONT")</f>
        <v>0</v>
      </c>
      <c r="AR41" s="60">
        <f ca="1">+GETPIVOTDATA("XNT4",'nghiathanh (2016)'!$A$3,"MA_HT","DDT","MA_QH","ODT")</f>
        <v>0</v>
      </c>
      <c r="AS41" s="60">
        <f ca="1">+GETPIVOTDATA("XNT4",'nghiathanh (2016)'!$A$3,"MA_HT","DDT","MA_QH","TSC")</f>
        <v>0</v>
      </c>
      <c r="AT41" s="60">
        <f ca="1">+GETPIVOTDATA("XNT4",'nghiathanh (2016)'!$A$3,"MA_HT","DDT","MA_QH","DTS")</f>
        <v>0</v>
      </c>
      <c r="AU41" s="60">
        <f ca="1">+GETPIVOTDATA("XNT4",'nghiathanh (2016)'!$A$3,"MA_HT","DDT","MA_QH","DNG")</f>
        <v>0</v>
      </c>
      <c r="AV41" s="60">
        <f ca="1">+GETPIVOTDATA("XNT4",'nghiathanh (2016)'!$A$3,"MA_HT","DDT","MA_QH","TON")</f>
        <v>0</v>
      </c>
      <c r="AW41" s="60">
        <f ca="1">+GETPIVOTDATA("XNT4",'nghiathanh (2016)'!$A$3,"MA_HT","DDT","MA_QH","NTD")</f>
        <v>0</v>
      </c>
      <c r="AX41" s="60">
        <f ca="1">+GETPIVOTDATA("XNT4",'nghiathanh (2016)'!$A$3,"MA_HT","DDT","MA_QH","SKX")</f>
        <v>0</v>
      </c>
      <c r="AY41" s="60">
        <f ca="1">+GETPIVOTDATA("XNT4",'nghiathanh (2016)'!$A$3,"MA_HT","DDT","MA_QH","DSH")</f>
        <v>0</v>
      </c>
      <c r="AZ41" s="60">
        <f ca="1">+GETPIVOTDATA("XNT4",'nghiathanh (2016)'!$A$3,"MA_HT","DDT","MA_QH","DKV")</f>
        <v>0</v>
      </c>
      <c r="BA41" s="90">
        <f ca="1">+GETPIVOTDATA("XNT4",'nghiathanh (2016)'!$A$3,"MA_HT","DDT","MA_QH","TIN")</f>
        <v>0</v>
      </c>
      <c r="BB41" s="91">
        <f ca="1">+GETPIVOTDATA("XNT4",'nghiathanh (2016)'!$A$3,"MA_HT","DDT","MA_QH","SON")</f>
        <v>0</v>
      </c>
      <c r="BC41" s="91">
        <f ca="1">+GETPIVOTDATA("XNT4",'nghiathanh (2016)'!$A$3,"MA_HT","DDT","MA_QH","MNC")</f>
        <v>0</v>
      </c>
      <c r="BD41" s="60">
        <f ca="1">+GETPIVOTDATA("XNT4",'nghiathanh (2016)'!$A$3,"MA_HT","DDT","MA_QH","PNK")</f>
        <v>0</v>
      </c>
      <c r="BE41" s="111">
        <f ca="1">+GETPIVOTDATA("XNT4",'nghiathanh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+GETPIVOTDATA("XNT4",'nghiathanh (2016)'!$A$3,"MA_HT","DDL","MA_QH","LUC")</f>
        <v>0</v>
      </c>
      <c r="H42" s="22">
        <f ca="1">+GETPIVOTDATA("XNT4",'nghiathanh (2016)'!$A$3,"MA_HT","DDL","MA_QH","LUK")</f>
        <v>0</v>
      </c>
      <c r="I42" s="22">
        <f ca="1">+GETPIVOTDATA("XNT4",'nghiathanh (2016)'!$A$3,"MA_HT","DDL","MA_QH","LUN")</f>
        <v>0</v>
      </c>
      <c r="J42" s="22">
        <f ca="1">+GETPIVOTDATA("XNT4",'nghiathanh (2016)'!$A$3,"MA_HT","DDL","MA_QH","HNK")</f>
        <v>0</v>
      </c>
      <c r="K42" s="22">
        <f ca="1">+GETPIVOTDATA("XNT4",'nghiathanh (2016)'!$A$3,"MA_HT","DDL","MA_QH","CLN")</f>
        <v>0</v>
      </c>
      <c r="L42" s="22">
        <f ca="1">+GETPIVOTDATA("XNT4",'nghiathanh (2016)'!$A$3,"MA_HT","DDL","MA_QH","RSX")</f>
        <v>0</v>
      </c>
      <c r="M42" s="22">
        <f ca="1">+GETPIVOTDATA("XNT4",'nghiathanh (2016)'!$A$3,"MA_HT","DDL","MA_QH","RPH")</f>
        <v>0</v>
      </c>
      <c r="N42" s="22">
        <f ca="1">+GETPIVOTDATA("XNT4",'nghiathanh (2016)'!$A$3,"MA_HT","DDL","MA_QH","RDD")</f>
        <v>0</v>
      </c>
      <c r="O42" s="22">
        <f ca="1">+GETPIVOTDATA("XNT4",'nghiathanh (2016)'!$A$3,"MA_HT","DDL","MA_QH","NTS")</f>
        <v>0</v>
      </c>
      <c r="P42" s="22">
        <f ca="1">+GETPIVOTDATA("XNT4",'nghiathanh (2016)'!$A$3,"MA_HT","DDL","MA_QH","LMU")</f>
        <v>0</v>
      </c>
      <c r="Q42" s="22">
        <f ca="1">+GETPIVOTDATA("XNT4",'nghiathanh (2016)'!$A$3,"MA_HT","DDL","MA_QH","NKH")</f>
        <v>0</v>
      </c>
      <c r="R42" s="79">
        <f ca="1">SUM(S42:AA42,AN42,AP42:BD42)</f>
        <v>0</v>
      </c>
      <c r="S42" s="22">
        <f ca="1">+GETPIVOTDATA("XNT4",'nghiathanh (2016)'!$A$3,"MA_HT","DDL","MA_QH","CQP")</f>
        <v>0</v>
      </c>
      <c r="T42" s="22">
        <f ca="1">+GETPIVOTDATA("XNT4",'nghiathanh (2016)'!$A$3,"MA_HT","DDL","MA_QH","CAN")</f>
        <v>0</v>
      </c>
      <c r="U42" s="22">
        <f ca="1">+GETPIVOTDATA("XNT4",'nghiathanh (2016)'!$A$3,"MA_HT","DDL","MA_QH","SKK")</f>
        <v>0</v>
      </c>
      <c r="V42" s="22">
        <f ca="1">+GETPIVOTDATA("XNT4",'nghiathanh (2016)'!$A$3,"MA_HT","DDL","MA_QH","SKT")</f>
        <v>0</v>
      </c>
      <c r="W42" s="22">
        <f ca="1">+GETPIVOTDATA("XNT4",'nghiathanh (2016)'!$A$3,"MA_HT","DDL","MA_QH","SKN")</f>
        <v>0</v>
      </c>
      <c r="X42" s="22">
        <f ca="1">+GETPIVOTDATA("XNT4",'nghiathanh (2016)'!$A$3,"MA_HT","DDL","MA_QH","TMD")</f>
        <v>0</v>
      </c>
      <c r="Y42" s="22">
        <f ca="1">+GETPIVOTDATA("XNT4",'nghiathanh (2016)'!$A$3,"MA_HT","DDL","MA_QH","SKC")</f>
        <v>0</v>
      </c>
      <c r="Z42" s="22">
        <f ca="1">+GETPIVOTDATA("XNT4",'nghiathanh (2016)'!$A$3,"MA_HT","DDL","MA_QH","SKS")</f>
        <v>0</v>
      </c>
      <c r="AA42" s="52">
        <f ca="1" t="shared" si="21"/>
        <v>0</v>
      </c>
      <c r="AB42" s="22">
        <f ca="1">+GETPIVOTDATA("XNT4",'nghiathanh (2016)'!$A$3,"MA_HT","DDL","MA_QH","DGT")</f>
        <v>0</v>
      </c>
      <c r="AC42" s="22">
        <f ca="1">+GETPIVOTDATA("XNT4",'nghiathanh (2016)'!$A$3,"MA_HT","DDL","MA_QH","DTL")</f>
        <v>0</v>
      </c>
      <c r="AD42" s="22">
        <f ca="1">+GETPIVOTDATA("XNT4",'nghiathanh (2016)'!$A$3,"MA_HT","DDL","MA_QH","DNL")</f>
        <v>0</v>
      </c>
      <c r="AE42" s="22">
        <f ca="1">+GETPIVOTDATA("XNT4",'nghiathanh (2016)'!$A$3,"MA_HT","DDL","MA_QH","DBV")</f>
        <v>0</v>
      </c>
      <c r="AF42" s="22">
        <f ca="1">+GETPIVOTDATA("XNT4",'nghiathanh (2016)'!$A$3,"MA_HT","DDL","MA_QH","DVH")</f>
        <v>0</v>
      </c>
      <c r="AG42" s="22">
        <f ca="1">+GETPIVOTDATA("XNT4",'nghiathanh (2016)'!$A$3,"MA_HT","DDL","MA_QH","DYT")</f>
        <v>0</v>
      </c>
      <c r="AH42" s="22">
        <f ca="1">+GETPIVOTDATA("XNT4",'nghiathanh (2016)'!$A$3,"MA_HT","DDL","MA_QH","DGD")</f>
        <v>0</v>
      </c>
      <c r="AI42" s="22">
        <f ca="1">+GETPIVOTDATA("XNT4",'nghiathanh (2016)'!$A$3,"MA_HT","DDL","MA_QH","DTT")</f>
        <v>0</v>
      </c>
      <c r="AJ42" s="22">
        <f ca="1">+GETPIVOTDATA("XNT4",'nghiathanh (2016)'!$A$3,"MA_HT","DDL","MA_QH","NCK")</f>
        <v>0</v>
      </c>
      <c r="AK42" s="22">
        <f ca="1">+GETPIVOTDATA("XNT4",'nghiathanh (2016)'!$A$3,"MA_HT","DDL","MA_QH","DXH")</f>
        <v>0</v>
      </c>
      <c r="AL42" s="22">
        <f ca="1">+GETPIVOTDATA("XNT4",'nghiathanh (2016)'!$A$3,"MA_HT","DDL","MA_QH","DCH")</f>
        <v>0</v>
      </c>
      <c r="AM42" s="22">
        <f ca="1">+GETPIVOTDATA("XNT4",'nghiathanh (2016)'!$A$3,"MA_HT","DDL","MA_QH","DKG")</f>
        <v>0</v>
      </c>
      <c r="AN42" s="22">
        <f ca="1">+GETPIVOTDATA("XNT4",'nghiathanh (2016)'!$A$3,"MA_HT","DDL","MA_QH","DDT")</f>
        <v>0</v>
      </c>
      <c r="AO42" s="43" t="e">
        <f ca="1">$D42-$BF42</f>
        <v>#REF!</v>
      </c>
      <c r="AP42" s="22">
        <f ca="1">+GETPIVOTDATA("XNT4",'nghiathanh (2016)'!$A$3,"MA_HT","DDL","MA_QH","DRA")</f>
        <v>0</v>
      </c>
      <c r="AQ42" s="22">
        <f ca="1">+GETPIVOTDATA("XNT4",'nghiathanh (2016)'!$A$3,"MA_HT","DDL","MA_QH","ONT")</f>
        <v>0</v>
      </c>
      <c r="AR42" s="22">
        <f ca="1">+GETPIVOTDATA("XNT4",'nghiathanh (2016)'!$A$3,"MA_HT","DDL","MA_QH","ODT")</f>
        <v>0</v>
      </c>
      <c r="AS42" s="22">
        <f ca="1">+GETPIVOTDATA("XNT4",'nghiathanh (2016)'!$A$3,"MA_HT","DDL","MA_QH","TSC")</f>
        <v>0</v>
      </c>
      <c r="AT42" s="22">
        <f ca="1">+GETPIVOTDATA("XNT4",'nghiathanh (2016)'!$A$3,"MA_HT","DDL","MA_QH","DTS")</f>
        <v>0</v>
      </c>
      <c r="AU42" s="22">
        <f ca="1">+GETPIVOTDATA("XNT4",'nghiathanh (2016)'!$A$3,"MA_HT","DDL","MA_QH","DNG")</f>
        <v>0</v>
      </c>
      <c r="AV42" s="22">
        <f ca="1">+GETPIVOTDATA("XNT4",'nghiathanh (2016)'!$A$3,"MA_HT","DDL","MA_QH","TON")</f>
        <v>0</v>
      </c>
      <c r="AW42" s="22">
        <f ca="1">+GETPIVOTDATA("XNT4",'nghiathanh (2016)'!$A$3,"MA_HT","DDL","MA_QH","NTD")</f>
        <v>0</v>
      </c>
      <c r="AX42" s="22">
        <f ca="1">+GETPIVOTDATA("XNT4",'nghiathanh (2016)'!$A$3,"MA_HT","DDL","MA_QH","SKX")</f>
        <v>0</v>
      </c>
      <c r="AY42" s="22">
        <f ca="1">+GETPIVOTDATA("XNT4",'nghiathanh (2016)'!$A$3,"MA_HT","DDL","MA_QH","DSH")</f>
        <v>0</v>
      </c>
      <c r="AZ42" s="22">
        <f ca="1">+GETPIVOTDATA("XNT4",'nghiathanh (2016)'!$A$3,"MA_HT","DDL","MA_QH","DKV")</f>
        <v>0</v>
      </c>
      <c r="BA42" s="89">
        <f ca="1">+GETPIVOTDATA("XNT4",'nghiathanh (2016)'!$A$3,"MA_HT","DDL","MA_QH","TIN")</f>
        <v>0</v>
      </c>
      <c r="BB42" s="50">
        <f ca="1">+GETPIVOTDATA("XNT4",'nghiathanh (2016)'!$A$3,"MA_HT","DDL","MA_QH","SON")</f>
        <v>0</v>
      </c>
      <c r="BC42" s="50">
        <f ca="1">+GETPIVOTDATA("XNT4",'nghiathanh (2016)'!$A$3,"MA_HT","DDL","MA_QH","MNC")</f>
        <v>0</v>
      </c>
      <c r="BD42" s="22">
        <f ca="1">+GETPIVOTDATA("XNT4",'nghiathanh (2016)'!$A$3,"MA_HT","DDL","MA_QH","PNK")</f>
        <v>0</v>
      </c>
      <c r="BE42" s="71">
        <f ca="1">+GETPIVOTDATA("XNT4",'nghiathanh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+GETPIVOTDATA("XNT4",'nghiathanh (2016)'!$A$3,"MA_HT","DRA","MA_QH","LUC")</f>
        <v>0</v>
      </c>
      <c r="H43" s="22">
        <f ca="1">+GETPIVOTDATA("XNT4",'nghiathanh (2016)'!$A$3,"MA_HT","DRA","MA_QH","LUK")</f>
        <v>0</v>
      </c>
      <c r="I43" s="22">
        <f ca="1">+GETPIVOTDATA("XNT4",'nghiathanh (2016)'!$A$3,"MA_HT","DRA","MA_QH","LUN")</f>
        <v>0</v>
      </c>
      <c r="J43" s="22">
        <f ca="1">+GETPIVOTDATA("XNT4",'nghiathanh (2016)'!$A$3,"MA_HT","DRA","MA_QH","HNK")</f>
        <v>0</v>
      </c>
      <c r="K43" s="22">
        <f ca="1">+GETPIVOTDATA("XNT4",'nghiathanh (2016)'!$A$3,"MA_HT","DRA","MA_QH","CLN")</f>
        <v>0</v>
      </c>
      <c r="L43" s="22">
        <f ca="1">+GETPIVOTDATA("XNT4",'nghiathanh (2016)'!$A$3,"MA_HT","DRA","MA_QH","RSX")</f>
        <v>0</v>
      </c>
      <c r="M43" s="22">
        <f ca="1">+GETPIVOTDATA("XNT4",'nghiathanh (2016)'!$A$3,"MA_HT","DRA","MA_QH","RPH")</f>
        <v>0</v>
      </c>
      <c r="N43" s="22">
        <f ca="1">+GETPIVOTDATA("XNT4",'nghiathanh (2016)'!$A$3,"MA_HT","DRA","MA_QH","RDD")</f>
        <v>0</v>
      </c>
      <c r="O43" s="22">
        <f ca="1">+GETPIVOTDATA("XNT4",'nghiathanh (2016)'!$A$3,"MA_HT","DRA","MA_QH","NTS")</f>
        <v>0</v>
      </c>
      <c r="P43" s="22">
        <f ca="1">+GETPIVOTDATA("XNT4",'nghiathanh (2016)'!$A$3,"MA_HT","DRA","MA_QH","LMU")</f>
        <v>0</v>
      </c>
      <c r="Q43" s="22">
        <f ca="1">+GETPIVOTDATA("XNT4",'nghiathanh (2016)'!$A$3,"MA_HT","DRA","MA_QH","NKH")</f>
        <v>0</v>
      </c>
      <c r="R43" s="79">
        <f ca="1">SUM(S43:AA43,AN43:AO43,AQ43:BD43)</f>
        <v>0</v>
      </c>
      <c r="S43" s="22">
        <f ca="1">+GETPIVOTDATA("XNT4",'nghiathanh (2016)'!$A$3,"MA_HT","DRA","MA_QH","CQP")</f>
        <v>0</v>
      </c>
      <c r="T43" s="22">
        <f ca="1">+GETPIVOTDATA("XNT4",'nghiathanh (2016)'!$A$3,"MA_HT","DRA","MA_QH","CAN")</f>
        <v>0</v>
      </c>
      <c r="U43" s="22">
        <f ca="1">+GETPIVOTDATA("XNT4",'nghiathanh (2016)'!$A$3,"MA_HT","DRA","MA_QH","SKK")</f>
        <v>0</v>
      </c>
      <c r="V43" s="22">
        <f ca="1">+GETPIVOTDATA("XNT4",'nghiathanh (2016)'!$A$3,"MA_HT","DRA","MA_QH","SKT")</f>
        <v>0</v>
      </c>
      <c r="W43" s="22">
        <f ca="1">+GETPIVOTDATA("XNT4",'nghiathanh (2016)'!$A$3,"MA_HT","DRA","MA_QH","SKN")</f>
        <v>0</v>
      </c>
      <c r="X43" s="22">
        <f ca="1">+GETPIVOTDATA("XNT4",'nghiathanh (2016)'!$A$3,"MA_HT","DRA","MA_QH","TMD")</f>
        <v>0</v>
      </c>
      <c r="Y43" s="22">
        <f ca="1">+GETPIVOTDATA("XNT4",'nghiathanh (2016)'!$A$3,"MA_HT","DRA","MA_QH","SKC")</f>
        <v>0</v>
      </c>
      <c r="Z43" s="22">
        <f ca="1">+GETPIVOTDATA("XNT4",'nghiathanh (2016)'!$A$3,"MA_HT","DRA","MA_QH","SKS")</f>
        <v>0</v>
      </c>
      <c r="AA43" s="52">
        <f ca="1" t="shared" si="21"/>
        <v>0</v>
      </c>
      <c r="AB43" s="22">
        <f ca="1">+GETPIVOTDATA("XNT4",'nghiathanh (2016)'!$A$3,"MA_HT","DRA","MA_QH","DGT")</f>
        <v>0</v>
      </c>
      <c r="AC43" s="22">
        <f ca="1">+GETPIVOTDATA("XNT4",'nghiathanh (2016)'!$A$3,"MA_HT","DRA","MA_QH","DTL")</f>
        <v>0</v>
      </c>
      <c r="AD43" s="22">
        <f ca="1">+GETPIVOTDATA("XNT4",'nghiathanh (2016)'!$A$3,"MA_HT","DRA","MA_QH","DNL")</f>
        <v>0</v>
      </c>
      <c r="AE43" s="22">
        <f ca="1">+GETPIVOTDATA("XNT4",'nghiathanh (2016)'!$A$3,"MA_HT","DRA","MA_QH","DBV")</f>
        <v>0</v>
      </c>
      <c r="AF43" s="22">
        <f ca="1">+GETPIVOTDATA("XNT4",'nghiathanh (2016)'!$A$3,"MA_HT","DRA","MA_QH","DVH")</f>
        <v>0</v>
      </c>
      <c r="AG43" s="22">
        <f ca="1">+GETPIVOTDATA("XNT4",'nghiathanh (2016)'!$A$3,"MA_HT","DRA","MA_QH","DYT")</f>
        <v>0</v>
      </c>
      <c r="AH43" s="22">
        <f ca="1">+GETPIVOTDATA("XNT4",'nghiathanh (2016)'!$A$3,"MA_HT","DRA","MA_QH","DGD")</f>
        <v>0</v>
      </c>
      <c r="AI43" s="22">
        <f ca="1">+GETPIVOTDATA("XNT4",'nghiathanh (2016)'!$A$3,"MA_HT","DRA","MA_QH","DTT")</f>
        <v>0</v>
      </c>
      <c r="AJ43" s="22">
        <f ca="1">+GETPIVOTDATA("XNT4",'nghiathanh (2016)'!$A$3,"MA_HT","DRA","MA_QH","NCK")</f>
        <v>0</v>
      </c>
      <c r="AK43" s="22">
        <f ca="1">+GETPIVOTDATA("XNT4",'nghiathanh (2016)'!$A$3,"MA_HT","DRA","MA_QH","DXH")</f>
        <v>0</v>
      </c>
      <c r="AL43" s="22">
        <f ca="1">+GETPIVOTDATA("XNT4",'nghiathanh (2016)'!$A$3,"MA_HT","DRA","MA_QH","DCH")</f>
        <v>0</v>
      </c>
      <c r="AM43" s="22">
        <f ca="1">+GETPIVOTDATA("XNT4",'nghiathanh (2016)'!$A$3,"MA_HT","DRA","MA_QH","DKG")</f>
        <v>0</v>
      </c>
      <c r="AN43" s="22">
        <f ca="1">+GETPIVOTDATA("XNT4",'nghiathanh (2016)'!$A$3,"MA_HT","DRA","MA_QH","DDT")</f>
        <v>0</v>
      </c>
      <c r="AO43" s="22">
        <f ca="1">+GETPIVOTDATA("XNT4",'nghiathanh (2016)'!$A$3,"MA_HT","DRA","MA_QH","DDL")</f>
        <v>0</v>
      </c>
      <c r="AP43" s="43" t="e">
        <f ca="1">$D43-$BF43</f>
        <v>#REF!</v>
      </c>
      <c r="AQ43" s="22">
        <f ca="1">+GETPIVOTDATA("XNT4",'nghiathanh (2016)'!$A$3,"MA_HT","DRA","MA_QH","ONT")</f>
        <v>0</v>
      </c>
      <c r="AR43" s="22">
        <f ca="1">+GETPIVOTDATA("XNT4",'nghiathanh (2016)'!$A$3,"MA_HT","DRA","MA_QH","ODT")</f>
        <v>0</v>
      </c>
      <c r="AS43" s="22">
        <f ca="1">+GETPIVOTDATA("XNT4",'nghiathanh (2016)'!$A$3,"MA_HT","DRA","MA_QH","TSC")</f>
        <v>0</v>
      </c>
      <c r="AT43" s="22">
        <f ca="1">+GETPIVOTDATA("XNT4",'nghiathanh (2016)'!$A$3,"MA_HT","DRA","MA_QH","DTS")</f>
        <v>0</v>
      </c>
      <c r="AU43" s="22">
        <f ca="1">+GETPIVOTDATA("XNT4",'nghiathanh (2016)'!$A$3,"MA_HT","DRA","MA_QH","DNG")</f>
        <v>0</v>
      </c>
      <c r="AV43" s="22">
        <f ca="1">+GETPIVOTDATA("XNT4",'nghiathanh (2016)'!$A$3,"MA_HT","DRA","MA_QH","TON")</f>
        <v>0</v>
      </c>
      <c r="AW43" s="22">
        <f ca="1">+GETPIVOTDATA("XNT4",'nghiathanh (2016)'!$A$3,"MA_HT","DRA","MA_QH","NTD")</f>
        <v>0</v>
      </c>
      <c r="AX43" s="22">
        <f ca="1">+GETPIVOTDATA("XNT4",'nghiathanh (2016)'!$A$3,"MA_HT","DRA","MA_QH","SKX")</f>
        <v>0</v>
      </c>
      <c r="AY43" s="22">
        <f ca="1">+GETPIVOTDATA("XNT4",'nghiathanh (2016)'!$A$3,"MA_HT","DRA","MA_QH","DSH")</f>
        <v>0</v>
      </c>
      <c r="AZ43" s="22">
        <f ca="1">+GETPIVOTDATA("XNT4",'nghiathanh (2016)'!$A$3,"MA_HT","DRA","MA_QH","DKV")</f>
        <v>0</v>
      </c>
      <c r="BA43" s="89">
        <f ca="1">+GETPIVOTDATA("XNT4",'nghiathanh (2016)'!$A$3,"MA_HT","DRA","MA_QH","TIN")</f>
        <v>0</v>
      </c>
      <c r="BB43" s="50">
        <f ca="1">+GETPIVOTDATA("XNT4",'nghiathanh (2016)'!$A$3,"MA_HT","DRA","MA_QH","SON")</f>
        <v>0</v>
      </c>
      <c r="BC43" s="50">
        <f ca="1">+GETPIVOTDATA("XNT4",'nghiathanh (2016)'!$A$3,"MA_HT","DRA","MA_QH","MNC")</f>
        <v>0</v>
      </c>
      <c r="BD43" s="22">
        <f ca="1">+GETPIVOTDATA("XNT4",'nghiathanh (2016)'!$A$3,"MA_HT","DRA","MA_QH","PNK")</f>
        <v>0</v>
      </c>
      <c r="BE43" s="71">
        <f ca="1">+GETPIVOTDATA("XNT4",'nghiathanh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+GETPIVOTDATA("XNT4",'nghiathanh (2016)'!$A$3,"MA_HT","ONT","MA_QH","LUC")</f>
        <v>0</v>
      </c>
      <c r="H44" s="22">
        <f ca="1">+GETPIVOTDATA("XNT4",'nghiathanh (2016)'!$A$3,"MA_HT","ONT","MA_QH","LUK")</f>
        <v>0</v>
      </c>
      <c r="I44" s="22">
        <f ca="1">+GETPIVOTDATA("XNT4",'nghiathanh (2016)'!$A$3,"MA_HT","ONT","MA_QH","LUN")</f>
        <v>0</v>
      </c>
      <c r="J44" s="22">
        <f ca="1">+GETPIVOTDATA("XNT4",'nghiathanh (2016)'!$A$3,"MA_HT","ONT","MA_QH","HNK")</f>
        <v>0</v>
      </c>
      <c r="K44" s="22">
        <f ca="1">+GETPIVOTDATA("XNT4",'nghiathanh (2016)'!$A$3,"MA_HT","ONT","MA_QH","CLN")</f>
        <v>0</v>
      </c>
      <c r="L44" s="22">
        <f ca="1">+GETPIVOTDATA("XNT4",'nghiathanh (2016)'!$A$3,"MA_HT","ONT","MA_QH","RSX")</f>
        <v>0</v>
      </c>
      <c r="M44" s="22">
        <f ca="1">+GETPIVOTDATA("XNT4",'nghiathanh (2016)'!$A$3,"MA_HT","ONT","MA_QH","RPH")</f>
        <v>0</v>
      </c>
      <c r="N44" s="22">
        <f ca="1">+GETPIVOTDATA("XNT4",'nghiathanh (2016)'!$A$3,"MA_HT","ONT","MA_QH","RDD")</f>
        <v>0</v>
      </c>
      <c r="O44" s="22">
        <f ca="1">+GETPIVOTDATA("XNT4",'nghiathanh (2016)'!$A$3,"MA_HT","ONT","MA_QH","NTS")</f>
        <v>0</v>
      </c>
      <c r="P44" s="22">
        <f ca="1">+GETPIVOTDATA("XNT4",'nghiathanh (2016)'!$A$3,"MA_HT","ONT","MA_QH","LMU")</f>
        <v>0</v>
      </c>
      <c r="Q44" s="22">
        <f ca="1">+GETPIVOTDATA("XNT4",'nghiathanh (2016)'!$A$3,"MA_HT","ONT","MA_QH","NKH")</f>
        <v>0</v>
      </c>
      <c r="R44" s="79">
        <f ca="1">SUM(S44:AA44,AN44:AP44,AR44:BD44)</f>
        <v>0</v>
      </c>
      <c r="S44" s="22">
        <f ca="1">+GETPIVOTDATA("XNT4",'nghiathanh (2016)'!$A$3,"MA_HT","ONT","MA_QH","CQP")</f>
        <v>0</v>
      </c>
      <c r="T44" s="22">
        <f ca="1">+GETPIVOTDATA("XNT4",'nghiathanh (2016)'!$A$3,"MA_HT","ONT","MA_QH","CAN")</f>
        <v>0</v>
      </c>
      <c r="U44" s="22">
        <f ca="1">+GETPIVOTDATA("XNT4",'nghiathanh (2016)'!$A$3,"MA_HT","ONT","MA_QH","SKK")</f>
        <v>0</v>
      </c>
      <c r="V44" s="22">
        <f ca="1">+GETPIVOTDATA("XNT4",'nghiathanh (2016)'!$A$3,"MA_HT","ONT","MA_QH","SKT")</f>
        <v>0</v>
      </c>
      <c r="W44" s="22">
        <f ca="1">+GETPIVOTDATA("XNT4",'nghiathanh (2016)'!$A$3,"MA_HT","ONT","MA_QH","SKN")</f>
        <v>0</v>
      </c>
      <c r="X44" s="22">
        <f ca="1">+GETPIVOTDATA("XNT4",'nghiathanh (2016)'!$A$3,"MA_HT","ONT","MA_QH","TMD")</f>
        <v>0</v>
      </c>
      <c r="Y44" s="22">
        <f ca="1">+GETPIVOTDATA("XNT4",'nghiathanh (2016)'!$A$3,"MA_HT","ONT","MA_QH","SKC")</f>
        <v>0</v>
      </c>
      <c r="Z44" s="22">
        <f ca="1">+GETPIVOTDATA("XNT4",'nghiathanh (2016)'!$A$3,"MA_HT","ONT","MA_QH","SKS")</f>
        <v>0</v>
      </c>
      <c r="AA44" s="52">
        <f ca="1" t="shared" si="21"/>
        <v>0</v>
      </c>
      <c r="AB44" s="22">
        <f ca="1">+GETPIVOTDATA("XNT4",'nghiathanh (2016)'!$A$3,"MA_HT","ONT","MA_QH","DGT")</f>
        <v>0</v>
      </c>
      <c r="AC44" s="22">
        <f ca="1">+GETPIVOTDATA("XNT4",'nghiathanh (2016)'!$A$3,"MA_HT","ONT","MA_QH","DTL")</f>
        <v>0</v>
      </c>
      <c r="AD44" s="22">
        <f ca="1">+GETPIVOTDATA("XNT4",'nghiathanh (2016)'!$A$3,"MA_HT","ONT","MA_QH","DNL")</f>
        <v>0</v>
      </c>
      <c r="AE44" s="22">
        <f ca="1">+GETPIVOTDATA("XNT4",'nghiathanh (2016)'!$A$3,"MA_HT","ONT","MA_QH","DBV")</f>
        <v>0</v>
      </c>
      <c r="AF44" s="22">
        <f ca="1">+GETPIVOTDATA("XNT4",'nghiathanh (2016)'!$A$3,"MA_HT","ONT","MA_QH","DVH")</f>
        <v>0</v>
      </c>
      <c r="AG44" s="22">
        <f ca="1">+GETPIVOTDATA("XNT4",'nghiathanh (2016)'!$A$3,"MA_HT","ONT","MA_QH","DYT")</f>
        <v>0</v>
      </c>
      <c r="AH44" s="22">
        <f ca="1">+GETPIVOTDATA("XNT4",'nghiathanh (2016)'!$A$3,"MA_HT","ONT","MA_QH","DGD")</f>
        <v>0</v>
      </c>
      <c r="AI44" s="22">
        <f ca="1">+GETPIVOTDATA("XNT4",'nghiathanh (2016)'!$A$3,"MA_HT","ONT","MA_QH","DTT")</f>
        <v>0</v>
      </c>
      <c r="AJ44" s="22">
        <f ca="1">+GETPIVOTDATA("XNT4",'nghiathanh (2016)'!$A$3,"MA_HT","ONT","MA_QH","NCK")</f>
        <v>0</v>
      </c>
      <c r="AK44" s="22">
        <f ca="1">+GETPIVOTDATA("XNT4",'nghiathanh (2016)'!$A$3,"MA_HT","ONT","MA_QH","DXH")</f>
        <v>0</v>
      </c>
      <c r="AL44" s="22">
        <f ca="1">+GETPIVOTDATA("XNT4",'nghiathanh (2016)'!$A$3,"MA_HT","ONT","MA_QH","DCH")</f>
        <v>0</v>
      </c>
      <c r="AM44" s="22">
        <f ca="1">+GETPIVOTDATA("XNT4",'nghiathanh (2016)'!$A$3,"MA_HT","ONT","MA_QH","DKG")</f>
        <v>0</v>
      </c>
      <c r="AN44" s="22">
        <f ca="1">+GETPIVOTDATA("XNT4",'nghiathanh (2016)'!$A$3,"MA_HT","ONT","MA_QH","DDT")</f>
        <v>0</v>
      </c>
      <c r="AO44" s="22">
        <f ca="1">+GETPIVOTDATA("XNT4",'nghiathanh (2016)'!$A$3,"MA_HT","ONT","MA_QH","DDL")</f>
        <v>0</v>
      </c>
      <c r="AP44" s="22">
        <f ca="1">+GETPIVOTDATA("XNT4",'nghiathanh (2016)'!$A$3,"MA_HT","ONT","MA_QH","DRA")</f>
        <v>0</v>
      </c>
      <c r="AQ44" s="43" t="e">
        <f ca="1">$D44-$BF44</f>
        <v>#REF!</v>
      </c>
      <c r="AR44" s="22">
        <f ca="1">+GETPIVOTDATA("XNT4",'nghiathanh (2016)'!$A$3,"MA_HT","ONT","MA_QH","ODT")</f>
        <v>0</v>
      </c>
      <c r="AS44" s="22">
        <f ca="1">+GETPIVOTDATA("XNT4",'nghiathanh (2016)'!$A$3,"MA_HT","ONT","MA_QH","TSC")</f>
        <v>0</v>
      </c>
      <c r="AT44" s="22">
        <f ca="1">+GETPIVOTDATA("XNT4",'nghiathanh (2016)'!$A$3,"MA_HT","ONT","MA_QH","DTS")</f>
        <v>0</v>
      </c>
      <c r="AU44" s="22">
        <f ca="1">+GETPIVOTDATA("XNT4",'nghiathanh (2016)'!$A$3,"MA_HT","ONT","MA_QH","DNG")</f>
        <v>0</v>
      </c>
      <c r="AV44" s="22">
        <f ca="1">+GETPIVOTDATA("XNT4",'nghiathanh (2016)'!$A$3,"MA_HT","ONT","MA_QH","TON")</f>
        <v>0</v>
      </c>
      <c r="AW44" s="22">
        <f ca="1">+GETPIVOTDATA("XNT4",'nghiathanh (2016)'!$A$3,"MA_HT","ONT","MA_QH","NTD")</f>
        <v>0</v>
      </c>
      <c r="AX44" s="22">
        <f ca="1">+GETPIVOTDATA("XNT4",'nghiathanh (2016)'!$A$3,"MA_HT","ONT","MA_QH","SKX")</f>
        <v>0</v>
      </c>
      <c r="AY44" s="22">
        <f ca="1">+GETPIVOTDATA("XNT4",'nghiathanh (2016)'!$A$3,"MA_HT","ONT","MA_QH","DSH")</f>
        <v>0</v>
      </c>
      <c r="AZ44" s="22">
        <f ca="1">+GETPIVOTDATA("XNT4",'nghiathanh (2016)'!$A$3,"MA_HT","ONT","MA_QH","DKV")</f>
        <v>0</v>
      </c>
      <c r="BA44" s="89">
        <f ca="1">+GETPIVOTDATA("XNT4",'nghiathanh (2016)'!$A$3,"MA_HT","ONT","MA_QH","TIN")</f>
        <v>0</v>
      </c>
      <c r="BB44" s="50">
        <f ca="1">+GETPIVOTDATA("XNT4",'nghiathanh (2016)'!$A$3,"MA_HT","ONT","MA_QH","SON")</f>
        <v>0</v>
      </c>
      <c r="BC44" s="50">
        <f ca="1">+GETPIVOTDATA("XNT4",'nghiathanh (2016)'!$A$3,"MA_HT","ONT","MA_QH","MNC")</f>
        <v>0</v>
      </c>
      <c r="BD44" s="22">
        <f ca="1">+GETPIVOTDATA("XNT4",'nghiathanh (2016)'!$A$3,"MA_HT","ONT","MA_QH","PNK")</f>
        <v>0</v>
      </c>
      <c r="BE44" s="71">
        <f ca="1">+GETPIVOTDATA("XNT4",'nghiathanh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+GETPIVOTDATA("XNT4",'nghiathanh (2016)'!$A$3,"MA_HT","ODT","MA_QH","LUC")</f>
        <v>0</v>
      </c>
      <c r="H45" s="67">
        <f ca="1">+GETPIVOTDATA("XNT4",'nghiathanh (2016)'!$A$3,"MA_HT","ODT","MA_QH","LUK")</f>
        <v>0</v>
      </c>
      <c r="I45" s="67">
        <f ca="1">+GETPIVOTDATA("XNT4",'nghiathanh (2016)'!$A$3,"MA_HT","ODT","MA_QH","LUN")</f>
        <v>0</v>
      </c>
      <c r="J45" s="67">
        <f ca="1">+GETPIVOTDATA("XNT4",'nghiathanh (2016)'!$A$3,"MA_HT","ODT","MA_QH","HNK")</f>
        <v>0</v>
      </c>
      <c r="K45" s="67">
        <f ca="1">+GETPIVOTDATA("XNT4",'nghiathanh (2016)'!$A$3,"MA_HT","ODT","MA_QH","CLN")</f>
        <v>0</v>
      </c>
      <c r="L45" s="67">
        <f ca="1">+GETPIVOTDATA("XNT4",'nghiathanh (2016)'!$A$3,"MA_HT","ODT","MA_QH","RSX")</f>
        <v>0</v>
      </c>
      <c r="M45" s="67">
        <f ca="1">+GETPIVOTDATA("XNT4",'nghiathanh (2016)'!$A$3,"MA_HT","ODT","MA_QH","RPH")</f>
        <v>0</v>
      </c>
      <c r="N45" s="67">
        <f ca="1">+GETPIVOTDATA("XNT4",'nghiathanh (2016)'!$A$3,"MA_HT","ODT","MA_QH","RDD")</f>
        <v>0</v>
      </c>
      <c r="O45" s="67">
        <f ca="1">+GETPIVOTDATA("XNT4",'nghiathanh (2016)'!$A$3,"MA_HT","ODT","MA_QH","NTS")</f>
        <v>0</v>
      </c>
      <c r="P45" s="67">
        <f ca="1">+GETPIVOTDATA("XNT4",'nghiathanh (2016)'!$A$3,"MA_HT","ODT","MA_QH","LMU")</f>
        <v>0</v>
      </c>
      <c r="Q45" s="67">
        <f ca="1">+GETPIVOTDATA("XNT4",'nghiathanh (2016)'!$A$3,"MA_HT","ODT","MA_QH","NKH")</f>
        <v>0</v>
      </c>
      <c r="R45" s="79">
        <f ca="1">SUM(S45:AA45,AN45:AQ45,AS45:BD45)</f>
        <v>0</v>
      </c>
      <c r="S45" s="67">
        <f ca="1">+GETPIVOTDATA("XNT4",'nghiathanh (2016)'!$A$3,"MA_HT","ODT","MA_QH","CQP")</f>
        <v>0</v>
      </c>
      <c r="T45" s="67">
        <f ca="1">+GETPIVOTDATA("XNT4",'nghiathanh (2016)'!$A$3,"MA_HT","ODT","MA_QH","CAN")</f>
        <v>0</v>
      </c>
      <c r="U45" s="67">
        <f ca="1">+GETPIVOTDATA("XNT4",'nghiathanh (2016)'!$A$3,"MA_HT","ODT","MA_QH","SKK")</f>
        <v>0</v>
      </c>
      <c r="V45" s="67">
        <f ca="1">+GETPIVOTDATA("XNT4",'nghiathanh (2016)'!$A$3,"MA_HT","ODT","MA_QH","SKT")</f>
        <v>0</v>
      </c>
      <c r="W45" s="67">
        <f ca="1">+GETPIVOTDATA("XNT4",'nghiathanh (2016)'!$A$3,"MA_HT","ODT","MA_QH","SKN")</f>
        <v>0</v>
      </c>
      <c r="X45" s="67">
        <f ca="1">+GETPIVOTDATA("XNT4",'nghiathanh (2016)'!$A$3,"MA_HT","ODT","MA_QH","TMD")</f>
        <v>0</v>
      </c>
      <c r="Y45" s="67">
        <f ca="1">+GETPIVOTDATA("XNT4",'nghiathanh (2016)'!$A$3,"MA_HT","ODT","MA_QH","SKC")</f>
        <v>0</v>
      </c>
      <c r="Z45" s="67">
        <f ca="1">+GETPIVOTDATA("XNT4",'nghiathanh (2016)'!$A$3,"MA_HT","ODT","MA_QH","SKS")</f>
        <v>0</v>
      </c>
      <c r="AA45" s="66">
        <f ca="1" t="shared" si="21"/>
        <v>0</v>
      </c>
      <c r="AB45" s="67">
        <f ca="1">+GETPIVOTDATA("XNT4",'nghiathanh (2016)'!$A$3,"MA_HT","ODT","MA_QH","DGT")</f>
        <v>0</v>
      </c>
      <c r="AC45" s="67">
        <f ca="1">+GETPIVOTDATA("XNT4",'nghiathanh (2016)'!$A$3,"MA_HT","ODT","MA_QH","DTL")</f>
        <v>0</v>
      </c>
      <c r="AD45" s="67">
        <f ca="1">+GETPIVOTDATA("XNT4",'nghiathanh (2016)'!$A$3,"MA_HT","ODT","MA_QH","DNL")</f>
        <v>0</v>
      </c>
      <c r="AE45" s="67">
        <f ca="1">+GETPIVOTDATA("XNT4",'nghiathanh (2016)'!$A$3,"MA_HT","ODT","MA_QH","DBV")</f>
        <v>0</v>
      </c>
      <c r="AF45" s="67">
        <f ca="1">+GETPIVOTDATA("XNT4",'nghiathanh (2016)'!$A$3,"MA_HT","ODT","MA_QH","DVH")</f>
        <v>0</v>
      </c>
      <c r="AG45" s="67">
        <f ca="1">+GETPIVOTDATA("XNT4",'nghiathanh (2016)'!$A$3,"MA_HT","ODT","MA_QH","DYT")</f>
        <v>0</v>
      </c>
      <c r="AH45" s="67">
        <f ca="1">+GETPIVOTDATA("XNT4",'nghiathanh (2016)'!$A$3,"MA_HT","ODT","MA_QH","DGD")</f>
        <v>0</v>
      </c>
      <c r="AI45" s="67">
        <f ca="1">+GETPIVOTDATA("XNT4",'nghiathanh (2016)'!$A$3,"MA_HT","ODT","MA_QH","DTT")</f>
        <v>0</v>
      </c>
      <c r="AJ45" s="67">
        <f ca="1">+GETPIVOTDATA("XNT4",'nghiathanh (2016)'!$A$3,"MA_HT","ODT","MA_QH","NCK")</f>
        <v>0</v>
      </c>
      <c r="AK45" s="67">
        <f ca="1">+GETPIVOTDATA("XNT4",'nghiathanh (2016)'!$A$3,"MA_HT","ODT","MA_QH","DXH")</f>
        <v>0</v>
      </c>
      <c r="AL45" s="67">
        <f ca="1">+GETPIVOTDATA("XNT4",'nghiathanh (2016)'!$A$3,"MA_HT","ODT","MA_QH","DCH")</f>
        <v>0</v>
      </c>
      <c r="AM45" s="67">
        <f ca="1">+GETPIVOTDATA("XNT4",'nghiathanh (2016)'!$A$3,"MA_HT","ODT","MA_QH","DKG")</f>
        <v>0</v>
      </c>
      <c r="AN45" s="67">
        <f ca="1">+GETPIVOTDATA("XNT4",'nghiathanh (2016)'!$A$3,"MA_HT","ODT","MA_QH","DDT")</f>
        <v>0</v>
      </c>
      <c r="AO45" s="67">
        <f ca="1">+GETPIVOTDATA("XNT4",'nghiathanh (2016)'!$A$3,"MA_HT","ODT","MA_QH","DDL")</f>
        <v>0</v>
      </c>
      <c r="AP45" s="67">
        <f ca="1">+GETPIVOTDATA("XNT4",'nghiathanh (2016)'!$A$3,"MA_HT","ODT","MA_QH","DRA")</f>
        <v>0</v>
      </c>
      <c r="AQ45" s="67">
        <f ca="1">+GETPIVOTDATA("XNT4",'nghiathanh (2016)'!$A$3,"MA_HT","ODT","MA_QH","ONT")</f>
        <v>0</v>
      </c>
      <c r="AR45" s="82" t="e">
        <f ca="1">$D45-$BF45</f>
        <v>#REF!</v>
      </c>
      <c r="AS45" s="67">
        <f ca="1">+GETPIVOTDATA("XNT4",'nghiathanh (2016)'!$A$3,"MA_HT","ODT","MA_QH","TSC")</f>
        <v>0</v>
      </c>
      <c r="AT45" s="67">
        <f ca="1">+GETPIVOTDATA("XNT4",'nghiathanh (2016)'!$A$3,"MA_HT","ODT","MA_QH","DTS")</f>
        <v>0</v>
      </c>
      <c r="AU45" s="67">
        <f ca="1">+GETPIVOTDATA("XNT4",'nghiathanh (2016)'!$A$3,"MA_HT","ODT","MA_QH","DNG")</f>
        <v>0</v>
      </c>
      <c r="AV45" s="67">
        <f ca="1">+GETPIVOTDATA("XNT4",'nghiathanh (2016)'!$A$3,"MA_HT","ODT","MA_QH","TON")</f>
        <v>0</v>
      </c>
      <c r="AW45" s="67">
        <f ca="1">+GETPIVOTDATA("XNT4",'nghiathanh (2016)'!$A$3,"MA_HT","ODT","MA_QH","NTD")</f>
        <v>0</v>
      </c>
      <c r="AX45" s="67">
        <f ca="1">+GETPIVOTDATA("XNT4",'nghiathanh (2016)'!$A$3,"MA_HT","ODT","MA_QH","SKX")</f>
        <v>0</v>
      </c>
      <c r="AY45" s="67">
        <f ca="1">+GETPIVOTDATA("XNT4",'nghiathanh (2016)'!$A$3,"MA_HT","ODT","MA_QH","DSH")</f>
        <v>0</v>
      </c>
      <c r="AZ45" s="67">
        <f ca="1">+GETPIVOTDATA("XNT4",'nghiathanh (2016)'!$A$3,"MA_HT","ODT","MA_QH","DKV")</f>
        <v>0</v>
      </c>
      <c r="BA45" s="92">
        <f ca="1">+GETPIVOTDATA("XNT4",'nghiathanh (2016)'!$A$3,"MA_HT","ODT","MA_QH","TIN")</f>
        <v>0</v>
      </c>
      <c r="BB45" s="93">
        <f ca="1">+GETPIVOTDATA("XNT4",'nghiathanh (2016)'!$A$3,"MA_HT","ODT","MA_QH","SON")</f>
        <v>0</v>
      </c>
      <c r="BC45" s="93">
        <f ca="1">+GETPIVOTDATA("XNT4",'nghiathanh (2016)'!$A$3,"MA_HT","ODT","MA_QH","MNC")</f>
        <v>0</v>
      </c>
      <c r="BD45" s="67">
        <f ca="1">+GETPIVOTDATA("XNT4",'nghiathanh (2016)'!$A$3,"MA_HT","ODT","MA_QH","PNK")</f>
        <v>0</v>
      </c>
      <c r="BE45" s="116">
        <f ca="1">+GETPIVOTDATA("XNT4",'nghiathanh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+GETPIVOTDATA("XNT4",'nghiathanh (2016)'!$A$3,"MA_HT","TSC","MA_QH","LUC")</f>
        <v>0</v>
      </c>
      <c r="H46" s="22">
        <f ca="1">+GETPIVOTDATA("XNT4",'nghiathanh (2016)'!$A$3,"MA_HT","TSC","MA_QH","LUK")</f>
        <v>0</v>
      </c>
      <c r="I46" s="22">
        <f ca="1">+GETPIVOTDATA("XNT4",'nghiathanh (2016)'!$A$3,"MA_HT","TSC","MA_QH","LUN")</f>
        <v>0</v>
      </c>
      <c r="J46" s="22">
        <f ca="1">+GETPIVOTDATA("XNT4",'nghiathanh (2016)'!$A$3,"MA_HT","TSC","MA_QH","HNK")</f>
        <v>0</v>
      </c>
      <c r="K46" s="22">
        <f ca="1">+GETPIVOTDATA("XNT4",'nghiathanh (2016)'!$A$3,"MA_HT","TSC","MA_QH","CLN")</f>
        <v>0</v>
      </c>
      <c r="L46" s="22">
        <f ca="1">+GETPIVOTDATA("XNT4",'nghiathanh (2016)'!$A$3,"MA_HT","TSC","MA_QH","RSX")</f>
        <v>0</v>
      </c>
      <c r="M46" s="22">
        <f ca="1">+GETPIVOTDATA("XNT4",'nghiathanh (2016)'!$A$3,"MA_HT","TSC","MA_QH","RPH")</f>
        <v>0</v>
      </c>
      <c r="N46" s="22">
        <f ca="1">+GETPIVOTDATA("XNT4",'nghiathanh (2016)'!$A$3,"MA_HT","TSC","MA_QH","RDD")</f>
        <v>0</v>
      </c>
      <c r="O46" s="22">
        <f ca="1">+GETPIVOTDATA("XNT4",'nghiathanh (2016)'!$A$3,"MA_HT","TSC","MA_QH","NTS")</f>
        <v>0</v>
      </c>
      <c r="P46" s="22">
        <f ca="1">+GETPIVOTDATA("XNT4",'nghiathanh (2016)'!$A$3,"MA_HT","TSC","MA_QH","LMU")</f>
        <v>0</v>
      </c>
      <c r="Q46" s="22">
        <f ca="1">+GETPIVOTDATA("XNT4",'nghiathanh (2016)'!$A$3,"MA_HT","TSC","MA_QH","NKH")</f>
        <v>0</v>
      </c>
      <c r="R46" s="48">
        <f ca="1">SUM(S46:AA46,AN46:AR46,AT46:BD46)</f>
        <v>0</v>
      </c>
      <c r="S46" s="22">
        <f ca="1">+GETPIVOTDATA("XNT4",'nghiathanh (2016)'!$A$3,"MA_HT","TSC","MA_QH","CQP")</f>
        <v>0</v>
      </c>
      <c r="T46" s="22">
        <f ca="1">+GETPIVOTDATA("XNT4",'nghiathanh (2016)'!$A$3,"MA_HT","TSC","MA_QH","CAN")</f>
        <v>0</v>
      </c>
      <c r="U46" s="22">
        <f ca="1">+GETPIVOTDATA("XNT4",'nghiathanh (2016)'!$A$3,"MA_HT","TSC","MA_QH","SKK")</f>
        <v>0</v>
      </c>
      <c r="V46" s="22">
        <f ca="1">+GETPIVOTDATA("XNT4",'nghiathanh (2016)'!$A$3,"MA_HT","TSC","MA_QH","SKT")</f>
        <v>0</v>
      </c>
      <c r="W46" s="22">
        <f ca="1">+GETPIVOTDATA("XNT4",'nghiathanh (2016)'!$A$3,"MA_HT","TSC","MA_QH","SKN")</f>
        <v>0</v>
      </c>
      <c r="X46" s="22">
        <f ca="1">+GETPIVOTDATA("XNT4",'nghiathanh (2016)'!$A$3,"MA_HT","TSC","MA_QH","TMD")</f>
        <v>0</v>
      </c>
      <c r="Y46" s="22">
        <f ca="1">+GETPIVOTDATA("XNT4",'nghiathanh (2016)'!$A$3,"MA_HT","TSC","MA_QH","SKC")</f>
        <v>0</v>
      </c>
      <c r="Z46" s="22">
        <f ca="1">+GETPIVOTDATA("XNT4",'nghiathanh (2016)'!$A$3,"MA_HT","TSC","MA_QH","SKS")</f>
        <v>0</v>
      </c>
      <c r="AA46" s="52">
        <f ca="1" t="shared" si="21"/>
        <v>0</v>
      </c>
      <c r="AB46" s="22">
        <f ca="1">+GETPIVOTDATA("XNT4",'nghiathanh (2016)'!$A$3,"MA_HT","TSC","MA_QH","DGT")</f>
        <v>0</v>
      </c>
      <c r="AC46" s="22">
        <f ca="1">+GETPIVOTDATA("XNT4",'nghiathanh (2016)'!$A$3,"MA_HT","TSC","MA_QH","DTL")</f>
        <v>0</v>
      </c>
      <c r="AD46" s="22">
        <f ca="1">+GETPIVOTDATA("XNT4",'nghiathanh (2016)'!$A$3,"MA_HT","TSC","MA_QH","DNL")</f>
        <v>0</v>
      </c>
      <c r="AE46" s="22">
        <f ca="1">+GETPIVOTDATA("XNT4",'nghiathanh (2016)'!$A$3,"MA_HT","TSC","MA_QH","DBV")</f>
        <v>0</v>
      </c>
      <c r="AF46" s="22">
        <f ca="1">+GETPIVOTDATA("XNT4",'nghiathanh (2016)'!$A$3,"MA_HT","TSC","MA_QH","DVH")</f>
        <v>0</v>
      </c>
      <c r="AG46" s="22">
        <f ca="1">+GETPIVOTDATA("XNT4",'nghiathanh (2016)'!$A$3,"MA_HT","TSC","MA_QH","DYT")</f>
        <v>0</v>
      </c>
      <c r="AH46" s="22">
        <f ca="1">+GETPIVOTDATA("XNT4",'nghiathanh (2016)'!$A$3,"MA_HT","TSC","MA_QH","DGD")</f>
        <v>0</v>
      </c>
      <c r="AI46" s="22">
        <f ca="1">+GETPIVOTDATA("XNT4",'nghiathanh (2016)'!$A$3,"MA_HT","TSC","MA_QH","DTT")</f>
        <v>0</v>
      </c>
      <c r="AJ46" s="22">
        <f ca="1">+GETPIVOTDATA("XNT4",'nghiathanh (2016)'!$A$3,"MA_HT","TSC","MA_QH","NCK")</f>
        <v>0</v>
      </c>
      <c r="AK46" s="22">
        <f ca="1">+GETPIVOTDATA("XNT4",'nghiathanh (2016)'!$A$3,"MA_HT","TSC","MA_QH","DXH")</f>
        <v>0</v>
      </c>
      <c r="AL46" s="22">
        <f ca="1">+GETPIVOTDATA("XNT4",'nghiathanh (2016)'!$A$3,"MA_HT","TSC","MA_QH","DCH")</f>
        <v>0</v>
      </c>
      <c r="AM46" s="22">
        <f ca="1">+GETPIVOTDATA("XNT4",'nghiathanh (2016)'!$A$3,"MA_HT","TSC","MA_QH","DKG")</f>
        <v>0</v>
      </c>
      <c r="AN46" s="22">
        <f ca="1">+GETPIVOTDATA("XNT4",'nghiathanh (2016)'!$A$3,"MA_HT","TSC","MA_QH","DDT")</f>
        <v>0</v>
      </c>
      <c r="AO46" s="22">
        <f ca="1">+GETPIVOTDATA("XNT4",'nghiathanh (2016)'!$A$3,"MA_HT","TSC","MA_QH","DDL")</f>
        <v>0</v>
      </c>
      <c r="AP46" s="22">
        <f ca="1">+GETPIVOTDATA("XNT4",'nghiathanh (2016)'!$A$3,"MA_HT","TSC","MA_QH","DRA")</f>
        <v>0</v>
      </c>
      <c r="AQ46" s="22">
        <f ca="1">+GETPIVOTDATA("XNT4",'nghiathanh (2016)'!$A$3,"MA_HT","TSC","MA_QH","ONT")</f>
        <v>0</v>
      </c>
      <c r="AR46" s="22">
        <f ca="1">+GETPIVOTDATA("XNT4",'nghiathanh (2016)'!$A$3,"MA_HT","TSC","MA_QH","ODT")</f>
        <v>0</v>
      </c>
      <c r="AS46" s="43" t="e">
        <f ca="1">$D46-$BF46</f>
        <v>#REF!</v>
      </c>
      <c r="AT46" s="22">
        <f ca="1">+GETPIVOTDATA("XNT4",'nghiathanh (2016)'!$A$3,"MA_HT","TSC","MA_QH","DTS")</f>
        <v>0</v>
      </c>
      <c r="AU46" s="22">
        <f ca="1">+GETPIVOTDATA("XNT4",'nghiathanh (2016)'!$A$3,"MA_HT","TSC","MA_QH","DNG")</f>
        <v>0</v>
      </c>
      <c r="AV46" s="22">
        <f ca="1">+GETPIVOTDATA("XNT4",'nghiathanh (2016)'!$A$3,"MA_HT","TSC","MA_QH","TON")</f>
        <v>0</v>
      </c>
      <c r="AW46" s="22">
        <f ca="1">+GETPIVOTDATA("XNT4",'nghiathanh (2016)'!$A$3,"MA_HT","TSC","MA_QH","NTD")</f>
        <v>0</v>
      </c>
      <c r="AX46" s="22">
        <f ca="1">+GETPIVOTDATA("XNT4",'nghiathanh (2016)'!$A$3,"MA_HT","TSC","MA_QH","SKX")</f>
        <v>0</v>
      </c>
      <c r="AY46" s="22">
        <f ca="1">+GETPIVOTDATA("XNT4",'nghiathanh (2016)'!$A$3,"MA_HT","TSC","MA_QH","DSH")</f>
        <v>0</v>
      </c>
      <c r="AZ46" s="22">
        <f ca="1">+GETPIVOTDATA("XNT4",'nghiathanh (2016)'!$A$3,"MA_HT","TSC","MA_QH","DKV")</f>
        <v>0</v>
      </c>
      <c r="BA46" s="89">
        <f ca="1">+GETPIVOTDATA("XNT4",'nghiathanh (2016)'!$A$3,"MA_HT","TSC","MA_QH","TIN")</f>
        <v>0</v>
      </c>
      <c r="BB46" s="50">
        <f ca="1">+GETPIVOTDATA("XNT4",'nghiathanh (2016)'!$A$3,"MA_HT","TSC","MA_QH","SON")</f>
        <v>0</v>
      </c>
      <c r="BC46" s="50">
        <f ca="1">+GETPIVOTDATA("XNT4",'nghiathanh (2016)'!$A$3,"MA_HT","TSC","MA_QH","MNC")</f>
        <v>0</v>
      </c>
      <c r="BD46" s="22">
        <f ca="1">+GETPIVOTDATA("XNT4",'nghiathanh (2016)'!$A$3,"MA_HT","TSC","MA_QH","PNK")</f>
        <v>0</v>
      </c>
      <c r="BE46" s="71">
        <f ca="1">+GETPIVOTDATA("XNT4",'nghiathanh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+GETPIVOTDATA("XNT4",'nghiathanh (2016)'!$A$3,"MA_HT","DTS","MA_QH","LUC")</f>
        <v>0</v>
      </c>
      <c r="H47" s="60">
        <f ca="1">+GETPIVOTDATA("XNT4",'nghiathanh (2016)'!$A$3,"MA_HT","DTS","MA_QH","LUK")</f>
        <v>0</v>
      </c>
      <c r="I47" s="60">
        <f ca="1">+GETPIVOTDATA("XNT4",'nghiathanh (2016)'!$A$3,"MA_HT","DTS","MA_QH","LUN")</f>
        <v>0</v>
      </c>
      <c r="J47" s="60">
        <f ca="1">+GETPIVOTDATA("XNT4",'nghiathanh (2016)'!$A$3,"MA_HT","DTS","MA_QH","HNK")</f>
        <v>0</v>
      </c>
      <c r="K47" s="60">
        <f ca="1">+GETPIVOTDATA("XNT4",'nghiathanh (2016)'!$A$3,"MA_HT","DTS","MA_QH","CLN")</f>
        <v>0</v>
      </c>
      <c r="L47" s="60">
        <f ca="1">+GETPIVOTDATA("XNT4",'nghiathanh (2016)'!$A$3,"MA_HT","DTS","MA_QH","RSX")</f>
        <v>0</v>
      </c>
      <c r="M47" s="60">
        <f ca="1">+GETPIVOTDATA("XNT4",'nghiathanh (2016)'!$A$3,"MA_HT","DTS","MA_QH","RPH")</f>
        <v>0</v>
      </c>
      <c r="N47" s="60">
        <f ca="1">+GETPIVOTDATA("XNT4",'nghiathanh (2016)'!$A$3,"MA_HT","DTS","MA_QH","RDD")</f>
        <v>0</v>
      </c>
      <c r="O47" s="60">
        <f ca="1">+GETPIVOTDATA("XNT4",'nghiathanh (2016)'!$A$3,"MA_HT","DTS","MA_QH","NTS")</f>
        <v>0</v>
      </c>
      <c r="P47" s="60">
        <f ca="1">+GETPIVOTDATA("XNT4",'nghiathanh (2016)'!$A$3,"MA_HT","DTS","MA_QH","LMU")</f>
        <v>0</v>
      </c>
      <c r="Q47" s="60">
        <f ca="1">+GETPIVOTDATA("XNT4",'nghiathanh (2016)'!$A$3,"MA_HT","DTS","MA_QH","NKH")</f>
        <v>0</v>
      </c>
      <c r="R47" s="78">
        <f ca="1">SUM(S47:AA47,AN47:AS47,AU47:BD47)</f>
        <v>0</v>
      </c>
      <c r="S47" s="60">
        <f ca="1">+GETPIVOTDATA("XNT4",'nghiathanh (2016)'!$A$3,"MA_HT","DTS","MA_QH","CQP")</f>
        <v>0</v>
      </c>
      <c r="T47" s="60">
        <f ca="1">+GETPIVOTDATA("XNT4",'nghiathanh (2016)'!$A$3,"MA_HT","DTS","MA_QH","CAN")</f>
        <v>0</v>
      </c>
      <c r="U47" s="60">
        <f ca="1">+GETPIVOTDATA("XNT4",'nghiathanh (2016)'!$A$3,"MA_HT","DTS","MA_QH","SKK")</f>
        <v>0</v>
      </c>
      <c r="V47" s="60">
        <f ca="1">+GETPIVOTDATA("XNT4",'nghiathanh (2016)'!$A$3,"MA_HT","DTS","MA_QH","SKT")</f>
        <v>0</v>
      </c>
      <c r="W47" s="60">
        <f ca="1">+GETPIVOTDATA("XNT4",'nghiathanh (2016)'!$A$3,"MA_HT","DTS","MA_QH","SKN")</f>
        <v>0</v>
      </c>
      <c r="X47" s="60">
        <f ca="1">+GETPIVOTDATA("XNT4",'nghiathanh (2016)'!$A$3,"MA_HT","DTS","MA_QH","TMD")</f>
        <v>0</v>
      </c>
      <c r="Y47" s="60">
        <f ca="1">+GETPIVOTDATA("XNT4",'nghiathanh (2016)'!$A$3,"MA_HT","DTS","MA_QH","SKC")</f>
        <v>0</v>
      </c>
      <c r="Z47" s="60">
        <f ca="1">+GETPIVOTDATA("XNT4",'nghiathanh (2016)'!$A$3,"MA_HT","DTS","MA_QH","SKS")</f>
        <v>0</v>
      </c>
      <c r="AA47" s="59">
        <f ca="1" t="shared" si="21"/>
        <v>0</v>
      </c>
      <c r="AB47" s="60">
        <f ca="1">+GETPIVOTDATA("XNT4",'nghiathanh (2016)'!$A$3,"MA_HT","DTS","MA_QH","DGT")</f>
        <v>0</v>
      </c>
      <c r="AC47" s="60">
        <f ca="1">+GETPIVOTDATA("XNT4",'nghiathanh (2016)'!$A$3,"MA_HT","DTS","MA_QH","DTL")</f>
        <v>0</v>
      </c>
      <c r="AD47" s="60">
        <f ca="1">+GETPIVOTDATA("XNT4",'nghiathanh (2016)'!$A$3,"MA_HT","DTS","MA_QH","DNL")</f>
        <v>0</v>
      </c>
      <c r="AE47" s="60">
        <f ca="1">+GETPIVOTDATA("XNT4",'nghiathanh (2016)'!$A$3,"MA_HT","DTS","MA_QH","DBV")</f>
        <v>0</v>
      </c>
      <c r="AF47" s="60">
        <f ca="1">+GETPIVOTDATA("XNT4",'nghiathanh (2016)'!$A$3,"MA_HT","DTS","MA_QH","DVH")</f>
        <v>0</v>
      </c>
      <c r="AG47" s="60">
        <f ca="1">+GETPIVOTDATA("XNT4",'nghiathanh (2016)'!$A$3,"MA_HT","DTS","MA_QH","DYT")</f>
        <v>0</v>
      </c>
      <c r="AH47" s="60">
        <f ca="1">+GETPIVOTDATA("XNT4",'nghiathanh (2016)'!$A$3,"MA_HT","DTS","MA_QH","DGD")</f>
        <v>0</v>
      </c>
      <c r="AI47" s="60">
        <f ca="1">+GETPIVOTDATA("XNT4",'nghiathanh (2016)'!$A$3,"MA_HT","DTS","MA_QH","DTT")</f>
        <v>0</v>
      </c>
      <c r="AJ47" s="60">
        <f ca="1">+GETPIVOTDATA("XNT4",'nghiathanh (2016)'!$A$3,"MA_HT","DTS","MA_QH","NCK")</f>
        <v>0</v>
      </c>
      <c r="AK47" s="60">
        <f ca="1">+GETPIVOTDATA("XNT4",'nghiathanh (2016)'!$A$3,"MA_HT","DTS","MA_QH","DXH")</f>
        <v>0</v>
      </c>
      <c r="AL47" s="60">
        <f ca="1">+GETPIVOTDATA("XNT4",'nghiathanh (2016)'!$A$3,"MA_HT","DTS","MA_QH","DCH")</f>
        <v>0</v>
      </c>
      <c r="AM47" s="60">
        <f ca="1">+GETPIVOTDATA("XNT4",'nghiathanh (2016)'!$A$3,"MA_HT","DTS","MA_QH","DKG")</f>
        <v>0</v>
      </c>
      <c r="AN47" s="60">
        <f ca="1">+GETPIVOTDATA("XNT4",'nghiathanh (2016)'!$A$3,"MA_HT","DTS","MA_QH","DDT")</f>
        <v>0</v>
      </c>
      <c r="AO47" s="60">
        <f ca="1">+GETPIVOTDATA("XNT4",'nghiathanh (2016)'!$A$3,"MA_HT","DTS","MA_QH","DDL")</f>
        <v>0</v>
      </c>
      <c r="AP47" s="60">
        <f ca="1">+GETPIVOTDATA("XNT4",'nghiathanh (2016)'!$A$3,"MA_HT","DTS","MA_QH","DRA")</f>
        <v>0</v>
      </c>
      <c r="AQ47" s="60">
        <f ca="1">+GETPIVOTDATA("XNT4",'nghiathanh (2016)'!$A$3,"MA_HT","DTS","MA_QH","ONT")</f>
        <v>0</v>
      </c>
      <c r="AR47" s="60">
        <f ca="1">+GETPIVOTDATA("XNT4",'nghiathanh (2016)'!$A$3,"MA_HT","DTS","MA_QH","ODT")</f>
        <v>0</v>
      </c>
      <c r="AS47" s="60">
        <f ca="1">+GETPIVOTDATA("XNT4",'nghiathanh (2016)'!$A$3,"MA_HT","DTS","MA_QH","TSC")</f>
        <v>0</v>
      </c>
      <c r="AT47" s="81" t="e">
        <f ca="1">$D47-$BF47</f>
        <v>#REF!</v>
      </c>
      <c r="AU47" s="60">
        <f ca="1">+GETPIVOTDATA("XNT4",'nghiathanh (2016)'!$A$3,"MA_HT","DTS","MA_QH","DNG")</f>
        <v>0</v>
      </c>
      <c r="AV47" s="60">
        <f ca="1">+GETPIVOTDATA("XNT4",'nghiathanh (2016)'!$A$3,"MA_HT","DTS","MA_QH","TON")</f>
        <v>0</v>
      </c>
      <c r="AW47" s="60">
        <f ca="1">+GETPIVOTDATA("XNT4",'nghiathanh (2016)'!$A$3,"MA_HT","DTS","MA_QH","NTD")</f>
        <v>0</v>
      </c>
      <c r="AX47" s="60">
        <f ca="1">+GETPIVOTDATA("XNT4",'nghiathanh (2016)'!$A$3,"MA_HT","DTS","MA_QH","SKX")</f>
        <v>0</v>
      </c>
      <c r="AY47" s="60">
        <f ca="1">+GETPIVOTDATA("XNT4",'nghiathanh (2016)'!$A$3,"MA_HT","DTS","MA_QH","DSH")</f>
        <v>0</v>
      </c>
      <c r="AZ47" s="60">
        <f ca="1">+GETPIVOTDATA("XNT4",'nghiathanh (2016)'!$A$3,"MA_HT","DTS","MA_QH","DKV")</f>
        <v>0</v>
      </c>
      <c r="BA47" s="90">
        <f ca="1">+GETPIVOTDATA("XNT4",'nghiathanh (2016)'!$A$3,"MA_HT","DTS","MA_QH","TIN")</f>
        <v>0</v>
      </c>
      <c r="BB47" s="91">
        <f ca="1">+GETPIVOTDATA("XNT4",'nghiathanh (2016)'!$A$3,"MA_HT","DTS","MA_QH","SON")</f>
        <v>0</v>
      </c>
      <c r="BC47" s="91">
        <f ca="1">+GETPIVOTDATA("XNT4",'nghiathanh (2016)'!$A$3,"MA_HT","DTS","MA_QH","MNC")</f>
        <v>0</v>
      </c>
      <c r="BD47" s="60">
        <f ca="1">+GETPIVOTDATA("XNT4",'nghiathanh (2016)'!$A$3,"MA_HT","DTS","MA_QH","PNK")</f>
        <v>0</v>
      </c>
      <c r="BE47" s="111">
        <f ca="1">+GETPIVOTDATA("XNT4",'nghiathanh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+GETPIVOTDATA("XNT4",'nghiathanh (2016)'!$A$3,"MA_HT","DNG","MA_QH","LUC")</f>
        <v>0</v>
      </c>
      <c r="H48" s="22">
        <f ca="1">+GETPIVOTDATA("XNT4",'nghiathanh (2016)'!$A$3,"MA_HT","DNG","MA_QH","LUK")</f>
        <v>0</v>
      </c>
      <c r="I48" s="22">
        <f ca="1">+GETPIVOTDATA("XNT4",'nghiathanh (2016)'!$A$3,"MA_HT","DNG","MA_QH","LUN")</f>
        <v>0</v>
      </c>
      <c r="J48" s="22">
        <f ca="1">+GETPIVOTDATA("XNT4",'nghiathanh (2016)'!$A$3,"MA_HT","DNG","MA_QH","HNK")</f>
        <v>0</v>
      </c>
      <c r="K48" s="22">
        <f ca="1">+GETPIVOTDATA("XNT4",'nghiathanh (2016)'!$A$3,"MA_HT","DNG","MA_QH","CLN")</f>
        <v>0</v>
      </c>
      <c r="L48" s="22">
        <f ca="1">+GETPIVOTDATA("XNT4",'nghiathanh (2016)'!$A$3,"MA_HT","DNG","MA_QH","RSX")</f>
        <v>0</v>
      </c>
      <c r="M48" s="22">
        <f ca="1">+GETPIVOTDATA("XNT4",'nghiathanh (2016)'!$A$3,"MA_HT","DNG","MA_QH","RPH")</f>
        <v>0</v>
      </c>
      <c r="N48" s="22">
        <f ca="1">+GETPIVOTDATA("XNT4",'nghiathanh (2016)'!$A$3,"MA_HT","DNG","MA_QH","RDD")</f>
        <v>0</v>
      </c>
      <c r="O48" s="22">
        <f ca="1">+GETPIVOTDATA("XNT4",'nghiathanh (2016)'!$A$3,"MA_HT","DNG","MA_QH","NTS")</f>
        <v>0</v>
      </c>
      <c r="P48" s="22">
        <f ca="1">+GETPIVOTDATA("XNT4",'nghiathanh (2016)'!$A$3,"MA_HT","DNG","MA_QH","LMU")</f>
        <v>0</v>
      </c>
      <c r="Q48" s="22">
        <f ca="1">+GETPIVOTDATA("XNT4",'nghiathanh (2016)'!$A$3,"MA_HT","DNG","MA_QH","NKH")</f>
        <v>0</v>
      </c>
      <c r="R48" s="79">
        <f ca="1">SUM(S48:AA48,AN48:AT48,AV48:BD48)</f>
        <v>0</v>
      </c>
      <c r="S48" s="22">
        <f ca="1">+GETPIVOTDATA("XNT4",'nghiathanh (2016)'!$A$3,"MA_HT","DNG","MA_QH","CQP")</f>
        <v>0</v>
      </c>
      <c r="T48" s="22">
        <f ca="1">+GETPIVOTDATA("XNT4",'nghiathanh (2016)'!$A$3,"MA_HT","DNG","MA_QH","CAN")</f>
        <v>0</v>
      </c>
      <c r="U48" s="22">
        <f ca="1">+GETPIVOTDATA("XNT4",'nghiathanh (2016)'!$A$3,"MA_HT","DNG","MA_QH","SKK")</f>
        <v>0</v>
      </c>
      <c r="V48" s="22">
        <f ca="1">+GETPIVOTDATA("XNT4",'nghiathanh (2016)'!$A$3,"MA_HT","DNG","MA_QH","SKT")</f>
        <v>0</v>
      </c>
      <c r="W48" s="22">
        <f ca="1">+GETPIVOTDATA("XNT4",'nghiathanh (2016)'!$A$3,"MA_HT","DNG","MA_QH","SKN")</f>
        <v>0</v>
      </c>
      <c r="X48" s="22">
        <f ca="1">+GETPIVOTDATA("XNT4",'nghiathanh (2016)'!$A$3,"MA_HT","DNG","MA_QH","TMD")</f>
        <v>0</v>
      </c>
      <c r="Y48" s="22">
        <f ca="1">+GETPIVOTDATA("XNT4",'nghiathanh (2016)'!$A$3,"MA_HT","DNG","MA_QH","SKC")</f>
        <v>0</v>
      </c>
      <c r="Z48" s="22">
        <f ca="1">+GETPIVOTDATA("XNT4",'nghiathanh (2016)'!$A$3,"MA_HT","DNG","MA_QH","SKS")</f>
        <v>0</v>
      </c>
      <c r="AA48" s="52">
        <f ca="1" t="shared" si="21"/>
        <v>0</v>
      </c>
      <c r="AB48" s="22">
        <f ca="1">+GETPIVOTDATA("XNT4",'nghiathanh (2016)'!$A$3,"MA_HT","DNG","MA_QH","DGT")</f>
        <v>0</v>
      </c>
      <c r="AC48" s="22">
        <f ca="1">+GETPIVOTDATA("XNT4",'nghiathanh (2016)'!$A$3,"MA_HT","DNG","MA_QH","DTL")</f>
        <v>0</v>
      </c>
      <c r="AD48" s="22">
        <f ca="1">+GETPIVOTDATA("XNT4",'nghiathanh (2016)'!$A$3,"MA_HT","DNG","MA_QH","DNL")</f>
        <v>0</v>
      </c>
      <c r="AE48" s="22">
        <f ca="1">+GETPIVOTDATA("XNT4",'nghiathanh (2016)'!$A$3,"MA_HT","DNG","MA_QH","DBV")</f>
        <v>0</v>
      </c>
      <c r="AF48" s="22">
        <f ca="1">+GETPIVOTDATA("XNT4",'nghiathanh (2016)'!$A$3,"MA_HT","DNG","MA_QH","DVH")</f>
        <v>0</v>
      </c>
      <c r="AG48" s="22">
        <f ca="1">+GETPIVOTDATA("XNT4",'nghiathanh (2016)'!$A$3,"MA_HT","DNG","MA_QH","DYT")</f>
        <v>0</v>
      </c>
      <c r="AH48" s="22">
        <f ca="1">+GETPIVOTDATA("XNT4",'nghiathanh (2016)'!$A$3,"MA_HT","DNG","MA_QH","DGD")</f>
        <v>0</v>
      </c>
      <c r="AI48" s="22">
        <f ca="1">+GETPIVOTDATA("XNT4",'nghiathanh (2016)'!$A$3,"MA_HT","DNG","MA_QH","DTT")</f>
        <v>0</v>
      </c>
      <c r="AJ48" s="22">
        <f ca="1">+GETPIVOTDATA("XNT4",'nghiathanh (2016)'!$A$3,"MA_HT","DNG","MA_QH","NCK")</f>
        <v>0</v>
      </c>
      <c r="AK48" s="22">
        <f ca="1">+GETPIVOTDATA("XNT4",'nghiathanh (2016)'!$A$3,"MA_HT","DNG","MA_QH","DXH")</f>
        <v>0</v>
      </c>
      <c r="AL48" s="22">
        <f ca="1">+GETPIVOTDATA("XNT4",'nghiathanh (2016)'!$A$3,"MA_HT","DNG","MA_QH","DCH")</f>
        <v>0</v>
      </c>
      <c r="AM48" s="22">
        <f ca="1">+GETPIVOTDATA("XNT4",'nghiathanh (2016)'!$A$3,"MA_HT","DNG","MA_QH","DKG")</f>
        <v>0</v>
      </c>
      <c r="AN48" s="22">
        <f ca="1">+GETPIVOTDATA("XNT4",'nghiathanh (2016)'!$A$3,"MA_HT","DNG","MA_QH","DDT")</f>
        <v>0</v>
      </c>
      <c r="AO48" s="22">
        <f ca="1">+GETPIVOTDATA("XNT4",'nghiathanh (2016)'!$A$3,"MA_HT","DNG","MA_QH","DDL")</f>
        <v>0</v>
      </c>
      <c r="AP48" s="22">
        <f ca="1">+GETPIVOTDATA("XNT4",'nghiathanh (2016)'!$A$3,"MA_HT","DNG","MA_QH","DRA")</f>
        <v>0</v>
      </c>
      <c r="AQ48" s="22">
        <f ca="1">+GETPIVOTDATA("XNT4",'nghiathanh (2016)'!$A$3,"MA_HT","DNG","MA_QH","ONT")</f>
        <v>0</v>
      </c>
      <c r="AR48" s="22">
        <f ca="1">+GETPIVOTDATA("XNT4",'nghiathanh (2016)'!$A$3,"MA_HT","DNG","MA_QH","ODT")</f>
        <v>0</v>
      </c>
      <c r="AS48" s="22">
        <f ca="1">+GETPIVOTDATA("XNT4",'nghiathanh (2016)'!$A$3,"MA_HT","DNG","MA_QH","TSC")</f>
        <v>0</v>
      </c>
      <c r="AT48" s="22">
        <f ca="1">+GETPIVOTDATA("XNT4",'nghiathanh (2016)'!$A$3,"MA_HT","DNG","MA_QH","DTS")</f>
        <v>0</v>
      </c>
      <c r="AU48" s="43" t="e">
        <f ca="1">$D48-$BF48</f>
        <v>#REF!</v>
      </c>
      <c r="AV48" s="22">
        <f ca="1">+GETPIVOTDATA("XNT4",'nghiathanh (2016)'!$A$3,"MA_HT","DNG","MA_QH","TON")</f>
        <v>0</v>
      </c>
      <c r="AW48" s="22">
        <f ca="1">+GETPIVOTDATA("XNT4",'nghiathanh (2016)'!$A$3,"MA_HT","DNG","MA_QH","NTD")</f>
        <v>0</v>
      </c>
      <c r="AX48" s="22">
        <f ca="1">+GETPIVOTDATA("XNT4",'nghiathanh (2016)'!$A$3,"MA_HT","DNG","MA_QH","SKX")</f>
        <v>0</v>
      </c>
      <c r="AY48" s="22">
        <f ca="1">+GETPIVOTDATA("XNT4",'nghiathanh (2016)'!$A$3,"MA_HT","DNG","MA_QH","DSH")</f>
        <v>0</v>
      </c>
      <c r="AZ48" s="22">
        <f ca="1">+GETPIVOTDATA("XNT4",'nghiathanh (2016)'!$A$3,"MA_HT","DNG","MA_QH","DKV")</f>
        <v>0</v>
      </c>
      <c r="BA48" s="89">
        <f ca="1">+GETPIVOTDATA("XNT4",'nghiathanh (2016)'!$A$3,"MA_HT","DNG","MA_QH","TIN")</f>
        <v>0</v>
      </c>
      <c r="BB48" s="50">
        <f ca="1">+GETPIVOTDATA("XNT4",'nghiathanh (2016)'!$A$3,"MA_HT","DNG","MA_QH","SON")</f>
        <v>0</v>
      </c>
      <c r="BC48" s="50">
        <f ca="1">+GETPIVOTDATA("XNT4",'nghiathanh (2016)'!$A$3,"MA_HT","DNG","MA_QH","MNC")</f>
        <v>0</v>
      </c>
      <c r="BD48" s="22">
        <f ca="1">+GETPIVOTDATA("XNT4",'nghiathanh (2016)'!$A$3,"MA_HT","DNG","MA_QH","PNK")</f>
        <v>0</v>
      </c>
      <c r="BE48" s="71">
        <f ca="1">+GETPIVOTDATA("XNT4",'nghiathanh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+GETPIVOTDATA("XNT4",'nghiathanh (2016)'!$A$3,"MA_HT","TON","MA_QH","LUC")</f>
        <v>0</v>
      </c>
      <c r="H49" s="22">
        <f ca="1">+GETPIVOTDATA("XNT4",'nghiathanh (2016)'!$A$3,"MA_HT","TON","MA_QH","LUK")</f>
        <v>0</v>
      </c>
      <c r="I49" s="22">
        <f ca="1">+GETPIVOTDATA("XNT4",'nghiathanh (2016)'!$A$3,"MA_HT","TON","MA_QH","LUN")</f>
        <v>0</v>
      </c>
      <c r="J49" s="22">
        <f ca="1">+GETPIVOTDATA("XNT4",'nghiathanh (2016)'!$A$3,"MA_HT","TON","MA_QH","HNK")</f>
        <v>0</v>
      </c>
      <c r="K49" s="22">
        <f ca="1">+GETPIVOTDATA("XNT4",'nghiathanh (2016)'!$A$3,"MA_HT","TON","MA_QH","CLN")</f>
        <v>0</v>
      </c>
      <c r="L49" s="22">
        <f ca="1">+GETPIVOTDATA("XNT4",'nghiathanh (2016)'!$A$3,"MA_HT","TON","MA_QH","RSX")</f>
        <v>0</v>
      </c>
      <c r="M49" s="22">
        <f ca="1">+GETPIVOTDATA("XNT4",'nghiathanh (2016)'!$A$3,"MA_HT","TON","MA_QH","RPH")</f>
        <v>0</v>
      </c>
      <c r="N49" s="22">
        <f ca="1">+GETPIVOTDATA("XNT4",'nghiathanh (2016)'!$A$3,"MA_HT","TON","MA_QH","RDD")</f>
        <v>0</v>
      </c>
      <c r="O49" s="22">
        <f ca="1">+GETPIVOTDATA("XNT4",'nghiathanh (2016)'!$A$3,"MA_HT","TON","MA_QH","NTS")</f>
        <v>0</v>
      </c>
      <c r="P49" s="22">
        <f ca="1">+GETPIVOTDATA("XNT4",'nghiathanh (2016)'!$A$3,"MA_HT","TON","MA_QH","LMU")</f>
        <v>0</v>
      </c>
      <c r="Q49" s="22">
        <f ca="1">+GETPIVOTDATA("XNT4",'nghiathanh (2016)'!$A$3,"MA_HT","TON","MA_QH","NKH")</f>
        <v>0</v>
      </c>
      <c r="R49" s="79">
        <f ca="1">SUM(S49:AA49,AN49:AU49,AW49:BD49)</f>
        <v>0</v>
      </c>
      <c r="S49" s="22">
        <f ca="1">+GETPIVOTDATA("XNT4",'nghiathanh (2016)'!$A$3,"MA_HT","TON","MA_QH","CQP")</f>
        <v>0</v>
      </c>
      <c r="T49" s="22">
        <f ca="1">+GETPIVOTDATA("XNT4",'nghiathanh (2016)'!$A$3,"MA_HT","TON","MA_QH","CAN")</f>
        <v>0</v>
      </c>
      <c r="U49" s="22">
        <f ca="1">+GETPIVOTDATA("XNT4",'nghiathanh (2016)'!$A$3,"MA_HT","TON","MA_QH","SKK")</f>
        <v>0</v>
      </c>
      <c r="V49" s="22">
        <f ca="1">+GETPIVOTDATA("XNT4",'nghiathanh (2016)'!$A$3,"MA_HT","TON","MA_QH","SKT")</f>
        <v>0</v>
      </c>
      <c r="W49" s="22">
        <f ca="1">+GETPIVOTDATA("XNT4",'nghiathanh (2016)'!$A$3,"MA_HT","TON","MA_QH","SKN")</f>
        <v>0</v>
      </c>
      <c r="X49" s="22">
        <f ca="1">+GETPIVOTDATA("XNT4",'nghiathanh (2016)'!$A$3,"MA_HT","TON","MA_QH","TMD")</f>
        <v>0</v>
      </c>
      <c r="Y49" s="22">
        <f ca="1">+GETPIVOTDATA("XNT4",'nghiathanh (2016)'!$A$3,"MA_HT","TON","MA_QH","SKC")</f>
        <v>0</v>
      </c>
      <c r="Z49" s="22">
        <f ca="1">+GETPIVOTDATA("XNT4",'nghiathanh (2016)'!$A$3,"MA_HT","TON","MA_QH","SKS")</f>
        <v>0</v>
      </c>
      <c r="AA49" s="52">
        <f ca="1" t="shared" si="21"/>
        <v>0</v>
      </c>
      <c r="AB49" s="22">
        <f ca="1">+GETPIVOTDATA("XNT4",'nghiathanh (2016)'!$A$3,"MA_HT","TON","MA_QH","DGT")</f>
        <v>0</v>
      </c>
      <c r="AC49" s="22">
        <f ca="1">+GETPIVOTDATA("XNT4",'nghiathanh (2016)'!$A$3,"MA_HT","TON","MA_QH","DTL")</f>
        <v>0</v>
      </c>
      <c r="AD49" s="22">
        <f ca="1">+GETPIVOTDATA("XNT4",'nghiathanh (2016)'!$A$3,"MA_HT","TON","MA_QH","DNL")</f>
        <v>0</v>
      </c>
      <c r="AE49" s="22">
        <f ca="1">+GETPIVOTDATA("XNT4",'nghiathanh (2016)'!$A$3,"MA_HT","TON","MA_QH","DBV")</f>
        <v>0</v>
      </c>
      <c r="AF49" s="22">
        <f ca="1">+GETPIVOTDATA("XNT4",'nghiathanh (2016)'!$A$3,"MA_HT","TON","MA_QH","DVH")</f>
        <v>0</v>
      </c>
      <c r="AG49" s="22">
        <f ca="1">+GETPIVOTDATA("XNT4",'nghiathanh (2016)'!$A$3,"MA_HT","TON","MA_QH","DYT")</f>
        <v>0</v>
      </c>
      <c r="AH49" s="22">
        <f ca="1">+GETPIVOTDATA("XNT4",'nghiathanh (2016)'!$A$3,"MA_HT","TON","MA_QH","DGD")</f>
        <v>0</v>
      </c>
      <c r="AI49" s="22">
        <f ca="1">+GETPIVOTDATA("XNT4",'nghiathanh (2016)'!$A$3,"MA_HT","TON","MA_QH","DTT")</f>
        <v>0</v>
      </c>
      <c r="AJ49" s="22">
        <f ca="1">+GETPIVOTDATA("XNT4",'nghiathanh (2016)'!$A$3,"MA_HT","TON","MA_QH","NCK")</f>
        <v>0</v>
      </c>
      <c r="AK49" s="22">
        <f ca="1">+GETPIVOTDATA("XNT4",'nghiathanh (2016)'!$A$3,"MA_HT","TON","MA_QH","DXH")</f>
        <v>0</v>
      </c>
      <c r="AL49" s="22">
        <f ca="1">+GETPIVOTDATA("XNT4",'nghiathanh (2016)'!$A$3,"MA_HT","TON","MA_QH","DCH")</f>
        <v>0</v>
      </c>
      <c r="AM49" s="22">
        <f ca="1">+GETPIVOTDATA("XNT4",'nghiathanh (2016)'!$A$3,"MA_HT","TON","MA_QH","DKG")</f>
        <v>0</v>
      </c>
      <c r="AN49" s="22">
        <f ca="1">+GETPIVOTDATA("XNT4",'nghiathanh (2016)'!$A$3,"MA_HT","TON","MA_QH","DDT")</f>
        <v>0</v>
      </c>
      <c r="AO49" s="22">
        <f ca="1">+GETPIVOTDATA("XNT4",'nghiathanh (2016)'!$A$3,"MA_HT","TON","MA_QH","DDL")</f>
        <v>0</v>
      </c>
      <c r="AP49" s="22">
        <f ca="1">+GETPIVOTDATA("XNT4",'nghiathanh (2016)'!$A$3,"MA_HT","TON","MA_QH","DRA")</f>
        <v>0</v>
      </c>
      <c r="AQ49" s="22">
        <f ca="1">+GETPIVOTDATA("XNT4",'nghiathanh (2016)'!$A$3,"MA_HT","TON","MA_QH","ONT")</f>
        <v>0</v>
      </c>
      <c r="AR49" s="22">
        <f ca="1">+GETPIVOTDATA("XNT4",'nghiathanh (2016)'!$A$3,"MA_HT","TON","MA_QH","ODT")</f>
        <v>0</v>
      </c>
      <c r="AS49" s="22">
        <f ca="1">+GETPIVOTDATA("XNT4",'nghiathanh (2016)'!$A$3,"MA_HT","TON","MA_QH","TSC")</f>
        <v>0</v>
      </c>
      <c r="AT49" s="22">
        <f ca="1">+GETPIVOTDATA("XNT4",'nghiathanh (2016)'!$A$3,"MA_HT","TON","MA_QH","DTS")</f>
        <v>0</v>
      </c>
      <c r="AU49" s="22">
        <f ca="1">+GETPIVOTDATA("XNT4",'nghiathanh (2016)'!$A$3,"MA_HT","TON","MA_QH","DNG")</f>
        <v>0</v>
      </c>
      <c r="AV49" s="43" t="e">
        <f ca="1">$D49-$BF49</f>
        <v>#REF!</v>
      </c>
      <c r="AW49" s="22">
        <f ca="1">+GETPIVOTDATA("XNT4",'nghiathanh (2016)'!$A$3,"MA_HT","TON","MA_QH","NTD")</f>
        <v>0</v>
      </c>
      <c r="AX49" s="22">
        <f ca="1">+GETPIVOTDATA("XNT4",'nghiathanh (2016)'!$A$3,"MA_HT","TON","MA_QH","SKX")</f>
        <v>0</v>
      </c>
      <c r="AY49" s="22">
        <f ca="1">+GETPIVOTDATA("XNT4",'nghiathanh (2016)'!$A$3,"MA_HT","TON","MA_QH","DSH")</f>
        <v>0</v>
      </c>
      <c r="AZ49" s="22">
        <f ca="1">+GETPIVOTDATA("XNT4",'nghiathanh (2016)'!$A$3,"MA_HT","TON","MA_QH","DKV")</f>
        <v>0</v>
      </c>
      <c r="BA49" s="89">
        <f ca="1">+GETPIVOTDATA("XNT4",'nghiathanh (2016)'!$A$3,"MA_HT","TON","MA_QH","TIN")</f>
        <v>0</v>
      </c>
      <c r="BB49" s="50">
        <f ca="1">+GETPIVOTDATA("XNT4",'nghiathanh (2016)'!$A$3,"MA_HT","TON","MA_QH","SON")</f>
        <v>0</v>
      </c>
      <c r="BC49" s="50">
        <f ca="1">+GETPIVOTDATA("XNT4",'nghiathanh (2016)'!$A$3,"MA_HT","TON","MA_QH","MNC")</f>
        <v>0</v>
      </c>
      <c r="BD49" s="22">
        <f ca="1">+GETPIVOTDATA("XNT4",'nghiathanh (2016)'!$A$3,"MA_HT","TON","MA_QH","PNK")</f>
        <v>0</v>
      </c>
      <c r="BE49" s="71">
        <f ca="1">+GETPIVOTDATA("XNT4",'nghiathanh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+GETPIVOTDATA("XNT4",'nghiathanh (2016)'!$A$3,"MA_HT","NTD","MA_QH","LUC")</f>
        <v>0</v>
      </c>
      <c r="H50" s="22">
        <f ca="1">+GETPIVOTDATA("XNT4",'nghiathanh (2016)'!$A$3,"MA_HT","NTD","MA_QH","LUK")</f>
        <v>0</v>
      </c>
      <c r="I50" s="22">
        <f ca="1">+GETPIVOTDATA("XNT4",'nghiathanh (2016)'!$A$3,"MA_HT","NTD","MA_QH","LUN")</f>
        <v>0</v>
      </c>
      <c r="J50" s="22">
        <f ca="1">+GETPIVOTDATA("XNT4",'nghiathanh (2016)'!$A$3,"MA_HT","NTD","MA_QH","HNK")</f>
        <v>0</v>
      </c>
      <c r="K50" s="22">
        <f ca="1">+GETPIVOTDATA("XNT4",'nghiathanh (2016)'!$A$3,"MA_HT","NTD","MA_QH","CLN")</f>
        <v>0</v>
      </c>
      <c r="L50" s="22">
        <f ca="1">+GETPIVOTDATA("XNT4",'nghiathanh (2016)'!$A$3,"MA_HT","NTD","MA_QH","RSX")</f>
        <v>0</v>
      </c>
      <c r="M50" s="22">
        <f ca="1">+GETPIVOTDATA("XNT4",'nghiathanh (2016)'!$A$3,"MA_HT","NTD","MA_QH","RPH")</f>
        <v>0</v>
      </c>
      <c r="N50" s="22">
        <f ca="1">+GETPIVOTDATA("XNT4",'nghiathanh (2016)'!$A$3,"MA_HT","NTD","MA_QH","RDD")</f>
        <v>0</v>
      </c>
      <c r="O50" s="22">
        <f ca="1">+GETPIVOTDATA("XNT4",'nghiathanh (2016)'!$A$3,"MA_HT","NTD","MA_QH","NTS")</f>
        <v>0</v>
      </c>
      <c r="P50" s="22">
        <f ca="1">+GETPIVOTDATA("XNT4",'nghiathanh (2016)'!$A$3,"MA_HT","NTD","MA_QH","LMU")</f>
        <v>0</v>
      </c>
      <c r="Q50" s="22">
        <f ca="1">+GETPIVOTDATA("XNT4",'nghiathanh (2016)'!$A$3,"MA_HT","NTD","MA_QH","NKH")</f>
        <v>0</v>
      </c>
      <c r="R50" s="79">
        <f ca="1">SUM(S50:AA50,AN50:AV50,AX50:BD50)</f>
        <v>0</v>
      </c>
      <c r="S50" s="22">
        <f ca="1">+GETPIVOTDATA("XNT4",'nghiathanh (2016)'!$A$3,"MA_HT","NTD","MA_QH","CQP")</f>
        <v>0</v>
      </c>
      <c r="T50" s="22">
        <f ca="1">+GETPIVOTDATA("XNT4",'nghiathanh (2016)'!$A$3,"MA_HT","NTD","MA_QH","CAN")</f>
        <v>0</v>
      </c>
      <c r="U50" s="22">
        <f ca="1">+GETPIVOTDATA("XNT4",'nghiathanh (2016)'!$A$3,"MA_HT","NTD","MA_QH","SKK")</f>
        <v>0</v>
      </c>
      <c r="V50" s="22">
        <f ca="1">+GETPIVOTDATA("XNT4",'nghiathanh (2016)'!$A$3,"MA_HT","NTD","MA_QH","SKT")</f>
        <v>0</v>
      </c>
      <c r="W50" s="22">
        <f ca="1">+GETPIVOTDATA("XNT4",'nghiathanh (2016)'!$A$3,"MA_HT","NTD","MA_QH","SKN")</f>
        <v>0</v>
      </c>
      <c r="X50" s="22">
        <f ca="1">+GETPIVOTDATA("XNT4",'nghiathanh (2016)'!$A$3,"MA_HT","NTD","MA_QH","TMD")</f>
        <v>0</v>
      </c>
      <c r="Y50" s="22">
        <f ca="1">+GETPIVOTDATA("XNT4",'nghiathanh (2016)'!$A$3,"MA_HT","NTD","MA_QH","SKC")</f>
        <v>0</v>
      </c>
      <c r="Z50" s="22">
        <f ca="1">+GETPIVOTDATA("XNT4",'nghiathanh (2016)'!$A$3,"MA_HT","NTD","MA_QH","SKS")</f>
        <v>0</v>
      </c>
      <c r="AA50" s="52">
        <f ca="1" t="shared" si="21"/>
        <v>0</v>
      </c>
      <c r="AB50" s="22">
        <f ca="1">+GETPIVOTDATA("XNT4",'nghiathanh (2016)'!$A$3,"MA_HT","NTD","MA_QH","DGT")</f>
        <v>0</v>
      </c>
      <c r="AC50" s="22">
        <f ca="1">+GETPIVOTDATA("XNT4",'nghiathanh (2016)'!$A$3,"MA_HT","NTD","MA_QH","DTL")</f>
        <v>0</v>
      </c>
      <c r="AD50" s="22">
        <f ca="1">+GETPIVOTDATA("XNT4",'nghiathanh (2016)'!$A$3,"MA_HT","NTD","MA_QH","DNL")</f>
        <v>0</v>
      </c>
      <c r="AE50" s="22">
        <f ca="1">+GETPIVOTDATA("XNT4",'nghiathanh (2016)'!$A$3,"MA_HT","NTD","MA_QH","DBV")</f>
        <v>0</v>
      </c>
      <c r="AF50" s="22">
        <f ca="1">+GETPIVOTDATA("XNT4",'nghiathanh (2016)'!$A$3,"MA_HT","NTD","MA_QH","DVH")</f>
        <v>0</v>
      </c>
      <c r="AG50" s="22">
        <f ca="1">+GETPIVOTDATA("XNT4",'nghiathanh (2016)'!$A$3,"MA_HT","NTD","MA_QH","DYT")</f>
        <v>0</v>
      </c>
      <c r="AH50" s="22">
        <f ca="1">+GETPIVOTDATA("XNT4",'nghiathanh (2016)'!$A$3,"MA_HT","NTD","MA_QH","DGD")</f>
        <v>0</v>
      </c>
      <c r="AI50" s="22">
        <f ca="1">+GETPIVOTDATA("XNT4",'nghiathanh (2016)'!$A$3,"MA_HT","NTD","MA_QH","DTT")</f>
        <v>0</v>
      </c>
      <c r="AJ50" s="22">
        <f ca="1">+GETPIVOTDATA("XNT4",'nghiathanh (2016)'!$A$3,"MA_HT","NTD","MA_QH","NCK")</f>
        <v>0</v>
      </c>
      <c r="AK50" s="22">
        <f ca="1">+GETPIVOTDATA("XNT4",'nghiathanh (2016)'!$A$3,"MA_HT","NTD","MA_QH","DXH")</f>
        <v>0</v>
      </c>
      <c r="AL50" s="22">
        <f ca="1">+GETPIVOTDATA("XNT4",'nghiathanh (2016)'!$A$3,"MA_HT","NTD","MA_QH","DCH")</f>
        <v>0</v>
      </c>
      <c r="AM50" s="22">
        <f ca="1">+GETPIVOTDATA("XNT4",'nghiathanh (2016)'!$A$3,"MA_HT","NTD","MA_QH","DKG")</f>
        <v>0</v>
      </c>
      <c r="AN50" s="22">
        <f ca="1">+GETPIVOTDATA("XNT4",'nghiathanh (2016)'!$A$3,"MA_HT","NTD","MA_QH","DDT")</f>
        <v>0</v>
      </c>
      <c r="AO50" s="22">
        <f ca="1">+GETPIVOTDATA("XNT4",'nghiathanh (2016)'!$A$3,"MA_HT","NTD","MA_QH","DDL")</f>
        <v>0</v>
      </c>
      <c r="AP50" s="22">
        <f ca="1">+GETPIVOTDATA("XNT4",'nghiathanh (2016)'!$A$3,"MA_HT","NTD","MA_QH","DRA")</f>
        <v>0</v>
      </c>
      <c r="AQ50" s="22">
        <f ca="1">+GETPIVOTDATA("XNT4",'nghiathanh (2016)'!$A$3,"MA_HT","NTD","MA_QH","ONT")</f>
        <v>0</v>
      </c>
      <c r="AR50" s="22">
        <f ca="1">+GETPIVOTDATA("XNT4",'nghiathanh (2016)'!$A$3,"MA_HT","NTD","MA_QH","ODT")</f>
        <v>0</v>
      </c>
      <c r="AS50" s="22">
        <f ca="1">+GETPIVOTDATA("XNT4",'nghiathanh (2016)'!$A$3,"MA_HT","NTD","MA_QH","TSC")</f>
        <v>0</v>
      </c>
      <c r="AT50" s="22">
        <f ca="1">+GETPIVOTDATA("XNT4",'nghiathanh (2016)'!$A$3,"MA_HT","NTD","MA_QH","DTS")</f>
        <v>0</v>
      </c>
      <c r="AU50" s="22">
        <f ca="1">+GETPIVOTDATA("XNT4",'nghiathanh (2016)'!$A$3,"MA_HT","NTD","MA_QH","DNG")</f>
        <v>0</v>
      </c>
      <c r="AV50" s="22">
        <f ca="1">+GETPIVOTDATA("XNT4",'nghiathanh (2016)'!$A$3,"MA_HT","NTD","MA_QH","TON")</f>
        <v>0</v>
      </c>
      <c r="AW50" s="43" t="e">
        <f ca="1">$D50-$BF50</f>
        <v>#REF!</v>
      </c>
      <c r="AX50" s="22">
        <f ca="1">+GETPIVOTDATA("XNT4",'nghiathanh (2016)'!$A$3,"MA_HT","NTD","MA_QH","SKX")</f>
        <v>0</v>
      </c>
      <c r="AY50" s="22">
        <f ca="1">+GETPIVOTDATA("XNT4",'nghiathanh (2016)'!$A$3,"MA_HT","NTD","MA_QH","DSH")</f>
        <v>0</v>
      </c>
      <c r="AZ50" s="22">
        <f ca="1">+GETPIVOTDATA("XNT4",'nghiathanh (2016)'!$A$3,"MA_HT","NTD","MA_QH","DKV")</f>
        <v>0</v>
      </c>
      <c r="BA50" s="89">
        <f ca="1">+GETPIVOTDATA("XNT4",'nghiathanh (2016)'!$A$3,"MA_HT","NTD","MA_QH","TIN")</f>
        <v>0</v>
      </c>
      <c r="BB50" s="50">
        <f ca="1">+GETPIVOTDATA("XNT4",'nghiathanh (2016)'!$A$3,"MA_HT","NTD","MA_QH","SON")</f>
        <v>0</v>
      </c>
      <c r="BC50" s="50">
        <f ca="1">+GETPIVOTDATA("XNT4",'nghiathanh (2016)'!$A$3,"MA_HT","NTD","MA_QH","MNC")</f>
        <v>0</v>
      </c>
      <c r="BD50" s="22">
        <f ca="1">+GETPIVOTDATA("XNT4",'nghiathanh (2016)'!$A$3,"MA_HT","NTD","MA_QH","PNK")</f>
        <v>0</v>
      </c>
      <c r="BE50" s="71">
        <f ca="1">+GETPIVOTDATA("XNT4",'nghiathanh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+GETPIVOTDATA("XNT4",'nghiathanh (2016)'!$A$3,"MA_HT","SKX","MA_QH","LUC")</f>
        <v>0</v>
      </c>
      <c r="H51" s="22">
        <f ca="1">+GETPIVOTDATA("XNT4",'nghiathanh (2016)'!$A$3,"MA_HT","SKX","MA_QH","LUK")</f>
        <v>0</v>
      </c>
      <c r="I51" s="22">
        <f ca="1">+GETPIVOTDATA("XNT4",'nghiathanh (2016)'!$A$3,"MA_HT","SKX","MA_QH","LUN")</f>
        <v>0</v>
      </c>
      <c r="J51" s="22">
        <f ca="1">+GETPIVOTDATA("XNT4",'nghiathanh (2016)'!$A$3,"MA_HT","SKX","MA_QH","HNK")</f>
        <v>0</v>
      </c>
      <c r="K51" s="22">
        <f ca="1">+GETPIVOTDATA("XNT4",'nghiathanh (2016)'!$A$3,"MA_HT","SKX","MA_QH","CLN")</f>
        <v>0</v>
      </c>
      <c r="L51" s="22">
        <f ca="1">+GETPIVOTDATA("XNT4",'nghiathanh (2016)'!$A$3,"MA_HT","SKX","MA_QH","RSX")</f>
        <v>0</v>
      </c>
      <c r="M51" s="22">
        <f ca="1">+GETPIVOTDATA("XNT4",'nghiathanh (2016)'!$A$3,"MA_HT","SKX","MA_QH","RPH")</f>
        <v>0</v>
      </c>
      <c r="N51" s="22">
        <f ca="1">+GETPIVOTDATA("XNT4",'nghiathanh (2016)'!$A$3,"MA_HT","SKX","MA_QH","RDD")</f>
        <v>0</v>
      </c>
      <c r="O51" s="22">
        <f ca="1">+GETPIVOTDATA("XNT4",'nghiathanh (2016)'!$A$3,"MA_HT","SKX","MA_QH","NTS")</f>
        <v>0</v>
      </c>
      <c r="P51" s="22">
        <f ca="1">+GETPIVOTDATA("XNT4",'nghiathanh (2016)'!$A$3,"MA_HT","SKX","MA_QH","LMU")</f>
        <v>0</v>
      </c>
      <c r="Q51" s="22">
        <f ca="1">+GETPIVOTDATA("XNT4",'nghiathanh (2016)'!$A$3,"MA_HT","SKX","MA_QH","NKH")</f>
        <v>0</v>
      </c>
      <c r="R51" s="79">
        <f ca="1">SUM(S51:AA51,AN51:AW51,AY51:BD51)</f>
        <v>0</v>
      </c>
      <c r="S51" s="22">
        <f ca="1">+GETPIVOTDATA("XNT4",'nghiathanh (2016)'!$A$3,"MA_HT","SKX","MA_QH","CQP")</f>
        <v>0</v>
      </c>
      <c r="T51" s="22">
        <f ca="1">+GETPIVOTDATA("XNT4",'nghiathanh (2016)'!$A$3,"MA_HT","SKX","MA_QH","CAN")</f>
        <v>0</v>
      </c>
      <c r="U51" s="22">
        <f ca="1">+GETPIVOTDATA("XNT4",'nghiathanh (2016)'!$A$3,"MA_HT","SKX","MA_QH","SKK")</f>
        <v>0</v>
      </c>
      <c r="V51" s="22">
        <f ca="1">+GETPIVOTDATA("XNT4",'nghiathanh (2016)'!$A$3,"MA_HT","SKX","MA_QH","SKT")</f>
        <v>0</v>
      </c>
      <c r="W51" s="22">
        <f ca="1">+GETPIVOTDATA("XNT4",'nghiathanh (2016)'!$A$3,"MA_HT","SKX","MA_QH","SKN")</f>
        <v>0</v>
      </c>
      <c r="X51" s="22">
        <f ca="1">+GETPIVOTDATA("XNT4",'nghiathanh (2016)'!$A$3,"MA_HT","SKX","MA_QH","TMD")</f>
        <v>0</v>
      </c>
      <c r="Y51" s="22">
        <f ca="1">+GETPIVOTDATA("XNT4",'nghiathanh (2016)'!$A$3,"MA_HT","SKX","MA_QH","SKC")</f>
        <v>0</v>
      </c>
      <c r="Z51" s="22">
        <f ca="1">+GETPIVOTDATA("XNT4",'nghiathanh (2016)'!$A$3,"MA_HT","SKX","MA_QH","SKS")</f>
        <v>0</v>
      </c>
      <c r="AA51" s="52">
        <f ca="1" t="shared" si="21"/>
        <v>0</v>
      </c>
      <c r="AB51" s="22">
        <f ca="1">+GETPIVOTDATA("XNT4",'nghiathanh (2016)'!$A$3,"MA_HT","SKX","MA_QH","DGT")</f>
        <v>0</v>
      </c>
      <c r="AC51" s="22">
        <f ca="1">+GETPIVOTDATA("XNT4",'nghiathanh (2016)'!$A$3,"MA_HT","SKX","MA_QH","DTL")</f>
        <v>0</v>
      </c>
      <c r="AD51" s="22">
        <f ca="1">+GETPIVOTDATA("XNT4",'nghiathanh (2016)'!$A$3,"MA_HT","SKX","MA_QH","DNL")</f>
        <v>0</v>
      </c>
      <c r="AE51" s="22">
        <f ca="1">+GETPIVOTDATA("XNT4",'nghiathanh (2016)'!$A$3,"MA_HT","SKX","MA_QH","DBV")</f>
        <v>0</v>
      </c>
      <c r="AF51" s="22">
        <f ca="1">+GETPIVOTDATA("XNT4",'nghiathanh (2016)'!$A$3,"MA_HT","SKX","MA_QH","DVH")</f>
        <v>0</v>
      </c>
      <c r="AG51" s="22">
        <f ca="1">+GETPIVOTDATA("XNT4",'nghiathanh (2016)'!$A$3,"MA_HT","SKX","MA_QH","DYT")</f>
        <v>0</v>
      </c>
      <c r="AH51" s="22">
        <f ca="1">+GETPIVOTDATA("XNT4",'nghiathanh (2016)'!$A$3,"MA_HT","SKX","MA_QH","DGD")</f>
        <v>0</v>
      </c>
      <c r="AI51" s="22">
        <f ca="1">+GETPIVOTDATA("XNT4",'nghiathanh (2016)'!$A$3,"MA_HT","SKX","MA_QH","DTT")</f>
        <v>0</v>
      </c>
      <c r="AJ51" s="22">
        <f ca="1">+GETPIVOTDATA("XNT4",'nghiathanh (2016)'!$A$3,"MA_HT","SKX","MA_QH","NCK")</f>
        <v>0</v>
      </c>
      <c r="AK51" s="22">
        <f ca="1">+GETPIVOTDATA("XNT4",'nghiathanh (2016)'!$A$3,"MA_HT","SKX","MA_QH","DXH")</f>
        <v>0</v>
      </c>
      <c r="AL51" s="22">
        <f ca="1">+GETPIVOTDATA("XNT4",'nghiathanh (2016)'!$A$3,"MA_HT","SKX","MA_QH","DCH")</f>
        <v>0</v>
      </c>
      <c r="AM51" s="22">
        <f ca="1">+GETPIVOTDATA("XNT4",'nghiathanh (2016)'!$A$3,"MA_HT","SKX","MA_QH","DKG")</f>
        <v>0</v>
      </c>
      <c r="AN51" s="22">
        <f ca="1">+GETPIVOTDATA("XNT4",'nghiathanh (2016)'!$A$3,"MA_HT","SKX","MA_QH","DDT")</f>
        <v>0</v>
      </c>
      <c r="AO51" s="22">
        <f ca="1">+GETPIVOTDATA("XNT4",'nghiathanh (2016)'!$A$3,"MA_HT","SKX","MA_QH","DDL")</f>
        <v>0</v>
      </c>
      <c r="AP51" s="22">
        <f ca="1">+GETPIVOTDATA("XNT4",'nghiathanh (2016)'!$A$3,"MA_HT","SKX","MA_QH","DRA")</f>
        <v>0</v>
      </c>
      <c r="AQ51" s="22">
        <f ca="1">+GETPIVOTDATA("XNT4",'nghiathanh (2016)'!$A$3,"MA_HT","SKX","MA_QH","ONT")</f>
        <v>0</v>
      </c>
      <c r="AR51" s="22">
        <f ca="1">+GETPIVOTDATA("XNT4",'nghiathanh (2016)'!$A$3,"MA_HT","SKX","MA_QH","ODT")</f>
        <v>0</v>
      </c>
      <c r="AS51" s="22">
        <f ca="1">+GETPIVOTDATA("XNT4",'nghiathanh (2016)'!$A$3,"MA_HT","SKX","MA_QH","TSC")</f>
        <v>0</v>
      </c>
      <c r="AT51" s="22">
        <f ca="1">+GETPIVOTDATA("XNT4",'nghiathanh (2016)'!$A$3,"MA_HT","SKX","MA_QH","DTS")</f>
        <v>0</v>
      </c>
      <c r="AU51" s="22">
        <f ca="1">+GETPIVOTDATA("XNT4",'nghiathanh (2016)'!$A$3,"MA_HT","SKX","MA_QH","DNG")</f>
        <v>0</v>
      </c>
      <c r="AV51" s="22">
        <f ca="1">+GETPIVOTDATA("XNT4",'nghiathanh (2016)'!$A$3,"MA_HT","SKX","MA_QH","TON")</f>
        <v>0</v>
      </c>
      <c r="AW51" s="22">
        <f ca="1">+GETPIVOTDATA("XNT4",'nghiathanh (2016)'!$A$3,"MA_HT","SKX","MA_QH","NTD")</f>
        <v>0</v>
      </c>
      <c r="AX51" s="43" t="e">
        <f ca="1">$D51-$BF51</f>
        <v>#REF!</v>
      </c>
      <c r="AY51" s="22">
        <f ca="1">+GETPIVOTDATA("XNT4",'nghiathanh (2016)'!$A$3,"MA_HT","SKX","MA_QH","DSH")</f>
        <v>0</v>
      </c>
      <c r="AZ51" s="22">
        <f ca="1">+GETPIVOTDATA("XNT4",'nghiathanh (2016)'!$A$3,"MA_HT","SKX","MA_QH","DKV")</f>
        <v>0</v>
      </c>
      <c r="BA51" s="89">
        <f ca="1">+GETPIVOTDATA("XNT4",'nghiathanh (2016)'!$A$3,"MA_HT","SKX","MA_QH","TIN")</f>
        <v>0</v>
      </c>
      <c r="BB51" s="50">
        <f ca="1">+GETPIVOTDATA("XNT4",'nghiathanh (2016)'!$A$3,"MA_HT","SKX","MA_QH","SON")</f>
        <v>0</v>
      </c>
      <c r="BC51" s="50">
        <f ca="1">+GETPIVOTDATA("XNT4",'nghiathanh (2016)'!$A$3,"MA_HT","SKX","MA_QH","MNC")</f>
        <v>0</v>
      </c>
      <c r="BD51" s="22">
        <f ca="1">+GETPIVOTDATA("XNT4",'nghiathanh (2016)'!$A$3,"MA_HT","SKX","MA_QH","PNK")</f>
        <v>0</v>
      </c>
      <c r="BE51" s="71">
        <f ca="1">+GETPIVOTDATA("XNT4",'nghiathanh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+GETPIVOTDATA("XNT4",'nghiathanh (2016)'!$A$3,"MA_HT","DSH","MA_QH","LUC")</f>
        <v>0</v>
      </c>
      <c r="H52" s="22">
        <f ca="1">+GETPIVOTDATA("XNT4",'nghiathanh (2016)'!$A$3,"MA_HT","DSH","MA_QH","LUK")</f>
        <v>0</v>
      </c>
      <c r="I52" s="22">
        <f ca="1">+GETPIVOTDATA("XNT4",'nghiathanh (2016)'!$A$3,"MA_HT","DSH","MA_QH","LUN")</f>
        <v>0</v>
      </c>
      <c r="J52" s="22">
        <f ca="1">+GETPIVOTDATA("XNT4",'nghiathanh (2016)'!$A$3,"MA_HT","DSH","MA_QH","HNK")</f>
        <v>0</v>
      </c>
      <c r="K52" s="22">
        <f ca="1">+GETPIVOTDATA("XNT4",'nghiathanh (2016)'!$A$3,"MA_HT","DSH","MA_QH","CLN")</f>
        <v>0</v>
      </c>
      <c r="L52" s="22">
        <f ca="1">+GETPIVOTDATA("XNT4",'nghiathanh (2016)'!$A$3,"MA_HT","DSH","MA_QH","RSX")</f>
        <v>0</v>
      </c>
      <c r="M52" s="22">
        <f ca="1">+GETPIVOTDATA("XNT4",'nghiathanh (2016)'!$A$3,"MA_HT","DSH","MA_QH","RPH")</f>
        <v>0</v>
      </c>
      <c r="N52" s="22">
        <f ca="1">+GETPIVOTDATA("XNT4",'nghiathanh (2016)'!$A$3,"MA_HT","DSH","MA_QH","RDD")</f>
        <v>0</v>
      </c>
      <c r="O52" s="22">
        <f ca="1">+GETPIVOTDATA("XNT4",'nghiathanh (2016)'!$A$3,"MA_HT","DSH","MA_QH","NTS")</f>
        <v>0</v>
      </c>
      <c r="P52" s="22">
        <f ca="1">+GETPIVOTDATA("XNT4",'nghiathanh (2016)'!$A$3,"MA_HT","DSH","MA_QH","LMU")</f>
        <v>0</v>
      </c>
      <c r="Q52" s="22">
        <f ca="1">+GETPIVOTDATA("XNT4",'nghiathanh (2016)'!$A$3,"MA_HT","DSH","MA_QH","NKH")</f>
        <v>0</v>
      </c>
      <c r="R52" s="79">
        <f ca="1">SUM(S52:AA52,AN52:AX52,AZ52:BD52)</f>
        <v>0</v>
      </c>
      <c r="S52" s="22">
        <f ca="1">+GETPIVOTDATA("XNT4",'nghiathanh (2016)'!$A$3,"MA_HT","DSH","MA_QH","CQP")</f>
        <v>0</v>
      </c>
      <c r="T52" s="22">
        <f ca="1">+GETPIVOTDATA("XNT4",'nghiathanh (2016)'!$A$3,"MA_HT","DSH","MA_QH","CAN")</f>
        <v>0</v>
      </c>
      <c r="U52" s="22">
        <f ca="1">+GETPIVOTDATA("XNT4",'nghiathanh (2016)'!$A$3,"MA_HT","DSH","MA_QH","SKK")</f>
        <v>0</v>
      </c>
      <c r="V52" s="22">
        <f ca="1">+GETPIVOTDATA("XNT4",'nghiathanh (2016)'!$A$3,"MA_HT","DSH","MA_QH","SKT")</f>
        <v>0</v>
      </c>
      <c r="W52" s="22">
        <f ca="1">+GETPIVOTDATA("XNT4",'nghiathanh (2016)'!$A$3,"MA_HT","DSH","MA_QH","SKN")</f>
        <v>0</v>
      </c>
      <c r="X52" s="22">
        <f ca="1">+GETPIVOTDATA("XNT4",'nghiathanh (2016)'!$A$3,"MA_HT","DSH","MA_QH","TMD")</f>
        <v>0</v>
      </c>
      <c r="Y52" s="22">
        <f ca="1">+GETPIVOTDATA("XNT4",'nghiathanh (2016)'!$A$3,"MA_HT","DSH","MA_QH","SKC")</f>
        <v>0</v>
      </c>
      <c r="Z52" s="22">
        <f ca="1">+GETPIVOTDATA("XNT4",'nghiathanh (2016)'!$A$3,"MA_HT","DSH","MA_QH","SKS")</f>
        <v>0</v>
      </c>
      <c r="AA52" s="52">
        <f ca="1" t="shared" si="21"/>
        <v>0</v>
      </c>
      <c r="AB52" s="22">
        <f ca="1">+GETPIVOTDATA("XNT4",'nghiathanh (2016)'!$A$3,"MA_HT","DSH","MA_QH","DGT")</f>
        <v>0</v>
      </c>
      <c r="AC52" s="22">
        <f ca="1">+GETPIVOTDATA("XNT4",'nghiathanh (2016)'!$A$3,"MA_HT","DSH","MA_QH","DTL")</f>
        <v>0</v>
      </c>
      <c r="AD52" s="22">
        <f ca="1">+GETPIVOTDATA("XNT4",'nghiathanh (2016)'!$A$3,"MA_HT","DSH","MA_QH","DNL")</f>
        <v>0</v>
      </c>
      <c r="AE52" s="22">
        <f ca="1">+GETPIVOTDATA("XNT4",'nghiathanh (2016)'!$A$3,"MA_HT","DSH","MA_QH","DBV")</f>
        <v>0</v>
      </c>
      <c r="AF52" s="22">
        <f ca="1">+GETPIVOTDATA("XNT4",'nghiathanh (2016)'!$A$3,"MA_HT","DSH","MA_QH","DVH")</f>
        <v>0</v>
      </c>
      <c r="AG52" s="22">
        <f ca="1">+GETPIVOTDATA("XNT4",'nghiathanh (2016)'!$A$3,"MA_HT","DSH","MA_QH","DYT")</f>
        <v>0</v>
      </c>
      <c r="AH52" s="22">
        <f ca="1">+GETPIVOTDATA("XNT4",'nghiathanh (2016)'!$A$3,"MA_HT","DSH","MA_QH","DGD")</f>
        <v>0</v>
      </c>
      <c r="AI52" s="22">
        <f ca="1">+GETPIVOTDATA("XNT4",'nghiathanh (2016)'!$A$3,"MA_HT","DSH","MA_QH","DTT")</f>
        <v>0</v>
      </c>
      <c r="AJ52" s="22">
        <f ca="1">+GETPIVOTDATA("XNT4",'nghiathanh (2016)'!$A$3,"MA_HT","DSH","MA_QH","NCK")</f>
        <v>0</v>
      </c>
      <c r="AK52" s="22">
        <f ca="1">+GETPIVOTDATA("XNT4",'nghiathanh (2016)'!$A$3,"MA_HT","DSH","MA_QH","DXH")</f>
        <v>0</v>
      </c>
      <c r="AL52" s="22">
        <f ca="1">+GETPIVOTDATA("XNT4",'nghiathanh (2016)'!$A$3,"MA_HT","DSH","MA_QH","DCH")</f>
        <v>0</v>
      </c>
      <c r="AM52" s="22">
        <f ca="1">+GETPIVOTDATA("XNT4",'nghiathanh (2016)'!$A$3,"MA_HT","DSH","MA_QH","DKG")</f>
        <v>0</v>
      </c>
      <c r="AN52" s="22">
        <f ca="1">+GETPIVOTDATA("XNT4",'nghiathanh (2016)'!$A$3,"MA_HT","DSH","MA_QH","DDT")</f>
        <v>0</v>
      </c>
      <c r="AO52" s="22">
        <f ca="1">+GETPIVOTDATA("XNT4",'nghiathanh (2016)'!$A$3,"MA_HT","DSH","MA_QH","DDL")</f>
        <v>0</v>
      </c>
      <c r="AP52" s="22">
        <f ca="1">+GETPIVOTDATA("XNT4",'nghiathanh (2016)'!$A$3,"MA_HT","DSH","MA_QH","DRA")</f>
        <v>0</v>
      </c>
      <c r="AQ52" s="22">
        <f ca="1">+GETPIVOTDATA("XNT4",'nghiathanh (2016)'!$A$3,"MA_HT","DSH","MA_QH","ONT")</f>
        <v>0</v>
      </c>
      <c r="AR52" s="22">
        <f ca="1">+GETPIVOTDATA("XNT4",'nghiathanh (2016)'!$A$3,"MA_HT","DSH","MA_QH","ODT")</f>
        <v>0</v>
      </c>
      <c r="AS52" s="22">
        <f ca="1">+GETPIVOTDATA("XNT4",'nghiathanh (2016)'!$A$3,"MA_HT","DSH","MA_QH","TSC")</f>
        <v>0</v>
      </c>
      <c r="AT52" s="22">
        <f ca="1">+GETPIVOTDATA("XNT4",'nghiathanh (2016)'!$A$3,"MA_HT","DSH","MA_QH","DTS")</f>
        <v>0</v>
      </c>
      <c r="AU52" s="22">
        <f ca="1">+GETPIVOTDATA("XNT4",'nghiathanh (2016)'!$A$3,"MA_HT","DSH","MA_QH","DNG")</f>
        <v>0</v>
      </c>
      <c r="AV52" s="22">
        <f ca="1">+GETPIVOTDATA("XNT4",'nghiathanh (2016)'!$A$3,"MA_HT","DSH","MA_QH","TON")</f>
        <v>0</v>
      </c>
      <c r="AW52" s="22">
        <f ca="1">+GETPIVOTDATA("XNT4",'nghiathanh (2016)'!$A$3,"MA_HT","DSH","MA_QH","NTD")</f>
        <v>0</v>
      </c>
      <c r="AX52" s="22">
        <f ca="1">+GETPIVOTDATA("XNT4",'nghiathanh (2016)'!$A$3,"MA_HT","DSH","MA_QH","SKX")</f>
        <v>0</v>
      </c>
      <c r="AY52" s="43" t="e">
        <f ca="1">$D52-$BF52</f>
        <v>#REF!</v>
      </c>
      <c r="AZ52" s="22">
        <f ca="1">+GETPIVOTDATA("XNT4",'nghiathanh (2016)'!$A$3,"MA_HT","DSH","MA_QH","DKV")</f>
        <v>0</v>
      </c>
      <c r="BA52" s="89">
        <f ca="1">+GETPIVOTDATA("XNT4",'nghiathanh (2016)'!$A$3,"MA_HT","DSH","MA_QH","TIN")</f>
        <v>0</v>
      </c>
      <c r="BB52" s="50">
        <f ca="1">+GETPIVOTDATA("XNT4",'nghiathanh (2016)'!$A$3,"MA_HT","DSH","MA_QH","SON")</f>
        <v>0</v>
      </c>
      <c r="BC52" s="50">
        <f ca="1">+GETPIVOTDATA("XNT4",'nghiathanh (2016)'!$A$3,"MA_HT","DSH","MA_QH","MNC")</f>
        <v>0</v>
      </c>
      <c r="BD52" s="22">
        <f ca="1">+GETPIVOTDATA("XNT4",'nghiathanh (2016)'!$A$3,"MA_HT","DSH","MA_QH","PNK")</f>
        <v>0</v>
      </c>
      <c r="BE52" s="71">
        <f ca="1">+GETPIVOTDATA("XNT4",'nghiathanh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+GETPIVOTDATA("XNT4",'nghiathanh (2016)'!$A$3,"MA_HT","DKV","MA_QH","LUC")</f>
        <v>0</v>
      </c>
      <c r="H53" s="22">
        <f ca="1">+GETPIVOTDATA("XNT4",'nghiathanh (2016)'!$A$3,"MA_HT","DKV","MA_QH","LUK")</f>
        <v>0</v>
      </c>
      <c r="I53" s="22">
        <f ca="1">+GETPIVOTDATA("XNT4",'nghiathanh (2016)'!$A$3,"MA_HT","DKV","MA_QH","LUN")</f>
        <v>0</v>
      </c>
      <c r="J53" s="22">
        <f ca="1">+GETPIVOTDATA("XNT4",'nghiathanh (2016)'!$A$3,"MA_HT","DKV","MA_QH","HNK")</f>
        <v>0</v>
      </c>
      <c r="K53" s="22">
        <f ca="1">+GETPIVOTDATA("XNT4",'nghiathanh (2016)'!$A$3,"MA_HT","DKV","MA_QH","CLN")</f>
        <v>0</v>
      </c>
      <c r="L53" s="22">
        <f ca="1">+GETPIVOTDATA("XNT4",'nghiathanh (2016)'!$A$3,"MA_HT","DKV","MA_QH","RSX")</f>
        <v>0</v>
      </c>
      <c r="M53" s="22">
        <f ca="1">+GETPIVOTDATA("XNT4",'nghiathanh (2016)'!$A$3,"MA_HT","DKV","MA_QH","RPH")</f>
        <v>0</v>
      </c>
      <c r="N53" s="22">
        <f ca="1">+GETPIVOTDATA("XNT4",'nghiathanh (2016)'!$A$3,"MA_HT","DKV","MA_QH","RDD")</f>
        <v>0</v>
      </c>
      <c r="O53" s="22">
        <f ca="1">+GETPIVOTDATA("XNT4",'nghiathanh (2016)'!$A$3,"MA_HT","DKV","MA_QH","NTS")</f>
        <v>0</v>
      </c>
      <c r="P53" s="22">
        <f ca="1">+GETPIVOTDATA("XNT4",'nghiathanh (2016)'!$A$3,"MA_HT","DKV","MA_QH","LMU")</f>
        <v>0</v>
      </c>
      <c r="Q53" s="22">
        <f ca="1">+GETPIVOTDATA("XNT4",'nghiathanh (2016)'!$A$3,"MA_HT","DKV","MA_QH","NKH")</f>
        <v>0</v>
      </c>
      <c r="R53" s="79">
        <f ca="1">SUM(S53:AA53,AN53:AY53,BB53:BD53)</f>
        <v>0</v>
      </c>
      <c r="S53" s="22">
        <f ca="1">+GETPIVOTDATA("XNT4",'nghiathanh (2016)'!$A$3,"MA_HT","DKV","MA_QH","CQP")</f>
        <v>0</v>
      </c>
      <c r="T53" s="22">
        <f ca="1">+GETPIVOTDATA("XNT4",'nghiathanh (2016)'!$A$3,"MA_HT","DKV","MA_QH","CAN")</f>
        <v>0</v>
      </c>
      <c r="U53" s="22">
        <f ca="1">+GETPIVOTDATA("XNT4",'nghiathanh (2016)'!$A$3,"MA_HT","DKV","MA_QH","SKK")</f>
        <v>0</v>
      </c>
      <c r="V53" s="22">
        <f ca="1">+GETPIVOTDATA("XNT4",'nghiathanh (2016)'!$A$3,"MA_HT","DKV","MA_QH","SKT")</f>
        <v>0</v>
      </c>
      <c r="W53" s="22">
        <f ca="1">+GETPIVOTDATA("XNT4",'nghiathanh (2016)'!$A$3,"MA_HT","DKV","MA_QH","SKN")</f>
        <v>0</v>
      </c>
      <c r="X53" s="22">
        <f ca="1">+GETPIVOTDATA("XNT4",'nghiathanh (2016)'!$A$3,"MA_HT","DKV","MA_QH","TMD")</f>
        <v>0</v>
      </c>
      <c r="Y53" s="22">
        <f ca="1">+GETPIVOTDATA("XNT4",'nghiathanh (2016)'!$A$3,"MA_HT","DKV","MA_QH","SKC")</f>
        <v>0</v>
      </c>
      <c r="Z53" s="22">
        <f ca="1">+GETPIVOTDATA("XNT4",'nghiathanh (2016)'!$A$3,"MA_HT","DKV","MA_QH","SKS")</f>
        <v>0</v>
      </c>
      <c r="AA53" s="52">
        <f ca="1" t="shared" si="21"/>
        <v>0</v>
      </c>
      <c r="AB53" s="22">
        <f ca="1">+GETPIVOTDATA("XNT4",'nghiathanh (2016)'!$A$3,"MA_HT","DKV","MA_QH","DGT")</f>
        <v>0</v>
      </c>
      <c r="AC53" s="22">
        <f ca="1">+GETPIVOTDATA("XNT4",'nghiathanh (2016)'!$A$3,"MA_HT","DKV","MA_QH","DTL")</f>
        <v>0</v>
      </c>
      <c r="AD53" s="22">
        <f ca="1">+GETPIVOTDATA("XNT4",'nghiathanh (2016)'!$A$3,"MA_HT","DKV","MA_QH","DNL")</f>
        <v>0</v>
      </c>
      <c r="AE53" s="22">
        <f ca="1">+GETPIVOTDATA("XNT4",'nghiathanh (2016)'!$A$3,"MA_HT","DKV","MA_QH","DBV")</f>
        <v>0</v>
      </c>
      <c r="AF53" s="22">
        <f ca="1">+GETPIVOTDATA("XNT4",'nghiathanh (2016)'!$A$3,"MA_HT","DKV","MA_QH","DVH")</f>
        <v>0</v>
      </c>
      <c r="AG53" s="22">
        <f ca="1">+GETPIVOTDATA("XNT4",'nghiathanh (2016)'!$A$3,"MA_HT","DKV","MA_QH","DYT")</f>
        <v>0</v>
      </c>
      <c r="AH53" s="22">
        <f ca="1">+GETPIVOTDATA("XNT4",'nghiathanh (2016)'!$A$3,"MA_HT","DKV","MA_QH","DGD")</f>
        <v>0</v>
      </c>
      <c r="AI53" s="22">
        <f ca="1">+GETPIVOTDATA("XNT4",'nghiathanh (2016)'!$A$3,"MA_HT","DKV","MA_QH","DTT")</f>
        <v>0</v>
      </c>
      <c r="AJ53" s="22">
        <f ca="1">+GETPIVOTDATA("XNT4",'nghiathanh (2016)'!$A$3,"MA_HT","DKV","MA_QH","NCK")</f>
        <v>0</v>
      </c>
      <c r="AK53" s="22">
        <f ca="1">+GETPIVOTDATA("XNT4",'nghiathanh (2016)'!$A$3,"MA_HT","DKV","MA_QH","DXH")</f>
        <v>0</v>
      </c>
      <c r="AL53" s="22">
        <f ca="1">+GETPIVOTDATA("XNT4",'nghiathanh (2016)'!$A$3,"MA_HT","DKV","MA_QH","DCH")</f>
        <v>0</v>
      </c>
      <c r="AM53" s="22">
        <f ca="1">+GETPIVOTDATA("XNT4",'nghiathanh (2016)'!$A$3,"MA_HT","DKV","MA_QH","DKG")</f>
        <v>0</v>
      </c>
      <c r="AN53" s="22">
        <f ca="1">+GETPIVOTDATA("XNT4",'nghiathanh (2016)'!$A$3,"MA_HT","DKV","MA_QH","DDT")</f>
        <v>0</v>
      </c>
      <c r="AO53" s="22">
        <f ca="1">+GETPIVOTDATA("XNT4",'nghiathanh (2016)'!$A$3,"MA_HT","DKV","MA_QH","DDL")</f>
        <v>0</v>
      </c>
      <c r="AP53" s="22">
        <f ca="1">+GETPIVOTDATA("XNT4",'nghiathanh (2016)'!$A$3,"MA_HT","DKV","MA_QH","DRA")</f>
        <v>0</v>
      </c>
      <c r="AQ53" s="22">
        <f ca="1">+GETPIVOTDATA("XNT4",'nghiathanh (2016)'!$A$3,"MA_HT","DKV","MA_QH","ONT")</f>
        <v>0</v>
      </c>
      <c r="AR53" s="22">
        <f ca="1">+GETPIVOTDATA("XNT4",'nghiathanh (2016)'!$A$3,"MA_HT","DKV","MA_QH","ODT")</f>
        <v>0</v>
      </c>
      <c r="AS53" s="22">
        <f ca="1">+GETPIVOTDATA("XNT4",'nghiathanh (2016)'!$A$3,"MA_HT","DKV","MA_QH","TSC")</f>
        <v>0</v>
      </c>
      <c r="AT53" s="22">
        <f ca="1">+GETPIVOTDATA("XNT4",'nghiathanh (2016)'!$A$3,"MA_HT","DKV","MA_QH","DTS")</f>
        <v>0</v>
      </c>
      <c r="AU53" s="22">
        <f ca="1">+GETPIVOTDATA("XNT4",'nghiathanh (2016)'!$A$3,"MA_HT","DKV","MA_QH","DNG")</f>
        <v>0</v>
      </c>
      <c r="AV53" s="22">
        <f ca="1">+GETPIVOTDATA("XNT4",'nghiathanh (2016)'!$A$3,"MA_HT","DKV","MA_QH","TON")</f>
        <v>0</v>
      </c>
      <c r="AW53" s="22">
        <f ca="1">+GETPIVOTDATA("XNT4",'nghiathanh (2016)'!$A$3,"MA_HT","DKV","MA_QH","NTD")</f>
        <v>0</v>
      </c>
      <c r="AX53" s="22">
        <f ca="1">+GETPIVOTDATA("XNT4",'nghiathanh (2016)'!$A$3,"MA_HT","DKV","MA_QH","SKX")</f>
        <v>0</v>
      </c>
      <c r="AY53" s="22">
        <f ca="1">+GETPIVOTDATA("XNT4",'nghiathanh (2016)'!$A$3,"MA_HT","DKV","MA_QH","DSH")</f>
        <v>0</v>
      </c>
      <c r="AZ53" s="43" t="e">
        <f ca="1">$D53-$BF53</f>
        <v>#REF!</v>
      </c>
      <c r="BA53" s="89">
        <f ca="1">+GETPIVOTDATA("XNT4",'nghiathanh (2016)'!$A$3,"MA_HT","DKV","MA_QH","TIN")</f>
        <v>0</v>
      </c>
      <c r="BB53" s="50">
        <f ca="1">+GETPIVOTDATA("XNT4",'nghiathanh (2016)'!$A$3,"MA_HT","DKV","MA_QH","SON")</f>
        <v>0</v>
      </c>
      <c r="BC53" s="50">
        <f ca="1">+GETPIVOTDATA("XNT4",'nghiathanh (2016)'!$A$3,"MA_HT","DKV","MA_QH","MNC")</f>
        <v>0</v>
      </c>
      <c r="BD53" s="22">
        <f ca="1">+GETPIVOTDATA("XNT4",'nghiathanh (2016)'!$A$3,"MA_HT","DKV","MA_QH","PNK")</f>
        <v>0</v>
      </c>
      <c r="BE53" s="71">
        <f ca="1">+GETPIVOTDATA("XNT4",'nghiathanh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+GETPIVOTDATA("XNT4",'nghiathanh (2016)'!$A$3,"MA_HT","TIN","MA_QH","LUC")</f>
        <v>0</v>
      </c>
      <c r="H54" s="22">
        <f ca="1">+GETPIVOTDATA("XNT4",'nghiathanh (2016)'!$A$3,"MA_HT","TIN","MA_QH","LUK")</f>
        <v>0</v>
      </c>
      <c r="I54" s="22">
        <f ca="1">+GETPIVOTDATA("XNT4",'nghiathanh (2016)'!$A$3,"MA_HT","TIN","MA_QH","LUN")</f>
        <v>0</v>
      </c>
      <c r="J54" s="22">
        <f ca="1">+GETPIVOTDATA("XNT4",'nghiathanh (2016)'!$A$3,"MA_HT","TIN","MA_QH","HNK")</f>
        <v>0</v>
      </c>
      <c r="K54" s="22">
        <f ca="1">+GETPIVOTDATA("XNT4",'nghiathanh (2016)'!$A$3,"MA_HT","TIN","MA_QH","CLN")</f>
        <v>0</v>
      </c>
      <c r="L54" s="22">
        <f ca="1">+GETPIVOTDATA("XNT4",'nghiathanh (2016)'!$A$3,"MA_HT","TIN","MA_QH","RSX")</f>
        <v>0</v>
      </c>
      <c r="M54" s="22">
        <f ca="1">+GETPIVOTDATA("XNT4",'nghiathanh (2016)'!$A$3,"MA_HT","TIN","MA_QH","RPH")</f>
        <v>0</v>
      </c>
      <c r="N54" s="22">
        <f ca="1">+GETPIVOTDATA("XNT4",'nghiathanh (2016)'!$A$3,"MA_HT","TIN","MA_QH","RDD")</f>
        <v>0</v>
      </c>
      <c r="O54" s="22">
        <f ca="1">+GETPIVOTDATA("XNT4",'nghiathanh (2016)'!$A$3,"MA_HT","TIN","MA_QH","NTS")</f>
        <v>0</v>
      </c>
      <c r="P54" s="22">
        <f ca="1">+GETPIVOTDATA("XNT4",'nghiathanh (2016)'!$A$3,"MA_HT","TIN","MA_QH","LMU")</f>
        <v>0</v>
      </c>
      <c r="Q54" s="22">
        <f ca="1">+GETPIVOTDATA("XNT4",'nghiathanh (2016)'!$A$3,"MA_HT","TIN","MA_QH","NKH")</f>
        <v>0</v>
      </c>
      <c r="R54" s="79">
        <f ca="1">SUM(S54:AA54,AN54:AZ54,BB54:BD54)</f>
        <v>0</v>
      </c>
      <c r="S54" s="22">
        <f ca="1">+GETPIVOTDATA("XNT4",'nghiathanh (2016)'!$A$3,"MA_HT","TIN","MA_QH","CQP")</f>
        <v>0</v>
      </c>
      <c r="T54" s="22">
        <f ca="1">+GETPIVOTDATA("XNT4",'nghiathanh (2016)'!$A$3,"MA_HT","TIN","MA_QH","CAN")</f>
        <v>0</v>
      </c>
      <c r="U54" s="22">
        <f ca="1">+GETPIVOTDATA("XNT4",'nghiathanh (2016)'!$A$3,"MA_HT","TIN","MA_QH","SKK")</f>
        <v>0</v>
      </c>
      <c r="V54" s="22">
        <f ca="1">+GETPIVOTDATA("XNT4",'nghiathanh (2016)'!$A$3,"MA_HT","TIN","MA_QH","SKT")</f>
        <v>0</v>
      </c>
      <c r="W54" s="22">
        <f ca="1">+GETPIVOTDATA("XNT4",'nghiathanh (2016)'!$A$3,"MA_HT","TIN","MA_QH","SKN")</f>
        <v>0</v>
      </c>
      <c r="X54" s="22">
        <f ca="1">+GETPIVOTDATA("XNT4",'nghiathanh (2016)'!$A$3,"MA_HT","TIN","MA_QH","TMD")</f>
        <v>0</v>
      </c>
      <c r="Y54" s="22">
        <f ca="1">+GETPIVOTDATA("XNT4",'nghiathanh (2016)'!$A$3,"MA_HT","TIN","MA_QH","SKC")</f>
        <v>0</v>
      </c>
      <c r="Z54" s="22">
        <f ca="1">+GETPIVOTDATA("XNT4",'nghiathanh (2016)'!$A$3,"MA_HT","TIN","MA_QH","SKS")</f>
        <v>0</v>
      </c>
      <c r="AA54" s="52">
        <f ca="1" t="shared" si="21"/>
        <v>0</v>
      </c>
      <c r="AB54" s="22">
        <f ca="1">+GETPIVOTDATA("XNT4",'nghiathanh (2016)'!$A$3,"MA_HT","TIN","MA_QH","DGT")</f>
        <v>0</v>
      </c>
      <c r="AC54" s="22">
        <f ca="1">+GETPIVOTDATA("XNT4",'nghiathanh (2016)'!$A$3,"MA_HT","TIN","MA_QH","DTL")</f>
        <v>0</v>
      </c>
      <c r="AD54" s="22">
        <f ca="1">+GETPIVOTDATA("XNT4",'nghiathanh (2016)'!$A$3,"MA_HT","TIN","MA_QH","DNL")</f>
        <v>0</v>
      </c>
      <c r="AE54" s="22">
        <f ca="1">+GETPIVOTDATA("XNT4",'nghiathanh (2016)'!$A$3,"MA_HT","TIN","MA_QH","DBV")</f>
        <v>0</v>
      </c>
      <c r="AF54" s="22">
        <f ca="1">+GETPIVOTDATA("XNT4",'nghiathanh (2016)'!$A$3,"MA_HT","TIN","MA_QH","DVH")</f>
        <v>0</v>
      </c>
      <c r="AG54" s="22">
        <f ca="1">+GETPIVOTDATA("XNT4",'nghiathanh (2016)'!$A$3,"MA_HT","TIN","MA_QH","DYT")</f>
        <v>0</v>
      </c>
      <c r="AH54" s="22">
        <f ca="1">+GETPIVOTDATA("XNT4",'nghiathanh (2016)'!$A$3,"MA_HT","TIN","MA_QH","DGD")</f>
        <v>0</v>
      </c>
      <c r="AI54" s="22">
        <f ca="1">+GETPIVOTDATA("XNT4",'nghiathanh (2016)'!$A$3,"MA_HT","TIN","MA_QH","DTT")</f>
        <v>0</v>
      </c>
      <c r="AJ54" s="22">
        <f ca="1">+GETPIVOTDATA("XNT4",'nghiathanh (2016)'!$A$3,"MA_HT","TIN","MA_QH","NCK")</f>
        <v>0</v>
      </c>
      <c r="AK54" s="22">
        <f ca="1">+GETPIVOTDATA("XNT4",'nghiathanh (2016)'!$A$3,"MA_HT","TIN","MA_QH","DXH")</f>
        <v>0</v>
      </c>
      <c r="AL54" s="22">
        <f ca="1">+GETPIVOTDATA("XNT4",'nghiathanh (2016)'!$A$3,"MA_HT","TIN","MA_QH","DCH")</f>
        <v>0</v>
      </c>
      <c r="AM54" s="22">
        <f ca="1">+GETPIVOTDATA("XNT4",'nghiathanh (2016)'!$A$3,"MA_HT","TIN","MA_QH","DKG")</f>
        <v>0</v>
      </c>
      <c r="AN54" s="22">
        <f ca="1">+GETPIVOTDATA("XNT4",'nghiathanh (2016)'!$A$3,"MA_HT","TIN","MA_QH","DDT")</f>
        <v>0</v>
      </c>
      <c r="AO54" s="22">
        <f ca="1">+GETPIVOTDATA("XNT4",'nghiathanh (2016)'!$A$3,"MA_HT","TIN","MA_QH","DDL")</f>
        <v>0</v>
      </c>
      <c r="AP54" s="22">
        <f ca="1">+GETPIVOTDATA("XNT4",'nghiathanh (2016)'!$A$3,"MA_HT","TIN","MA_QH","DRA")</f>
        <v>0</v>
      </c>
      <c r="AQ54" s="22">
        <f ca="1">+GETPIVOTDATA("XNT4",'nghiathanh (2016)'!$A$3,"MA_HT","TIN","MA_QH","ONT")</f>
        <v>0</v>
      </c>
      <c r="AR54" s="22">
        <f ca="1">+GETPIVOTDATA("XNT4",'nghiathanh (2016)'!$A$3,"MA_HT","TIN","MA_QH","ODT")</f>
        <v>0</v>
      </c>
      <c r="AS54" s="22">
        <f ca="1">+GETPIVOTDATA("XNT4",'nghiathanh (2016)'!$A$3,"MA_HT","TIN","MA_QH","TSC")</f>
        <v>0</v>
      </c>
      <c r="AT54" s="22">
        <f ca="1">+GETPIVOTDATA("XNT4",'nghiathanh (2016)'!$A$3,"MA_HT","TIN","MA_QH","DTS")</f>
        <v>0</v>
      </c>
      <c r="AU54" s="22">
        <f ca="1">+GETPIVOTDATA("XNT4",'nghiathanh (2016)'!$A$3,"MA_HT","TIN","MA_QH","DNG")</f>
        <v>0</v>
      </c>
      <c r="AV54" s="22">
        <f ca="1">+GETPIVOTDATA("XNT4",'nghiathanh (2016)'!$A$3,"MA_HT","TIN","MA_QH","TON")</f>
        <v>0</v>
      </c>
      <c r="AW54" s="22">
        <f ca="1">+GETPIVOTDATA("XNT4",'nghiathanh (2016)'!$A$3,"MA_HT","TIN","MA_QH","NTD")</f>
        <v>0</v>
      </c>
      <c r="AX54" s="22">
        <f ca="1">+GETPIVOTDATA("XNT4",'nghiathanh (2016)'!$A$3,"MA_HT","TIN","MA_QH","SKX")</f>
        <v>0</v>
      </c>
      <c r="AY54" s="22">
        <f ca="1">+GETPIVOTDATA("XNT4",'nghiathanh (2016)'!$A$3,"MA_HT","TIN","MA_QH","DSH")</f>
        <v>0</v>
      </c>
      <c r="AZ54" s="22">
        <f ca="1">+GETPIVOTDATA("XNT4",'nghiathanh (2016)'!$A$3,"MA_HT","TIN","MA_QH","DKV")</f>
        <v>0</v>
      </c>
      <c r="BA54" s="43" t="e">
        <f ca="1">$D54-$BF54</f>
        <v>#REF!</v>
      </c>
      <c r="BB54" s="22">
        <f ca="1">+GETPIVOTDATA("XNT4",'nghiathanh (2016)'!$A$3,"MA_HT","TIN","MA_QH","SON")</f>
        <v>0</v>
      </c>
      <c r="BC54" s="22">
        <f ca="1">+GETPIVOTDATA("XNT4",'nghiathanh (2016)'!$A$3,"MA_HT","TIN","MA_QH","MNC")</f>
        <v>0</v>
      </c>
      <c r="BD54" s="22">
        <f ca="1">+GETPIVOTDATA("XNT4",'nghiathanh (2016)'!$A$3,"MA_HT","TIN","MA_QH","PNK")</f>
        <v>0</v>
      </c>
      <c r="BE54" s="71">
        <f ca="1">+GETPIVOTDATA("XNT4",'nghiathanh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+GETPIVOTDATA("XNT4",'nghiathanh (2016)'!$A$3,"MA_HT","SON","MA_QH","LUC")</f>
        <v>0</v>
      </c>
      <c r="H55" s="22">
        <f ca="1">+GETPIVOTDATA("XNT4",'nghiathanh (2016)'!$A$3,"MA_HT","SON","MA_QH","LUK")</f>
        <v>0</v>
      </c>
      <c r="I55" s="22">
        <f ca="1">+GETPIVOTDATA("XNT4",'nghiathanh (2016)'!$A$3,"MA_HT","SON","MA_QH","LUN")</f>
        <v>0</v>
      </c>
      <c r="J55" s="22">
        <f ca="1">+GETPIVOTDATA("XNT4",'nghiathanh (2016)'!$A$3,"MA_HT","SON","MA_QH","HNK")</f>
        <v>0</v>
      </c>
      <c r="K55" s="22">
        <f ca="1">+GETPIVOTDATA("XNT4",'nghiathanh (2016)'!$A$3,"MA_HT","SON","MA_QH","CLN")</f>
        <v>0</v>
      </c>
      <c r="L55" s="22">
        <f ca="1">+GETPIVOTDATA("XNT4",'nghiathanh (2016)'!$A$3,"MA_HT","SON","MA_QH","RSX")</f>
        <v>0</v>
      </c>
      <c r="M55" s="22">
        <f ca="1">+GETPIVOTDATA("XNT4",'nghiathanh (2016)'!$A$3,"MA_HT","SON","MA_QH","RPH")</f>
        <v>0</v>
      </c>
      <c r="N55" s="22">
        <f ca="1">+GETPIVOTDATA("XNT4",'nghiathanh (2016)'!$A$3,"MA_HT","SON","MA_QH","RDD")</f>
        <v>0</v>
      </c>
      <c r="O55" s="22">
        <f ca="1">+GETPIVOTDATA("XNT4",'nghiathanh (2016)'!$A$3,"MA_HT","SON","MA_QH","NTS")</f>
        <v>0</v>
      </c>
      <c r="P55" s="22">
        <f ca="1">+GETPIVOTDATA("XNT4",'nghiathanh (2016)'!$A$3,"MA_HT","SON","MA_QH","LMU")</f>
        <v>0</v>
      </c>
      <c r="Q55" s="22">
        <f ca="1">+GETPIVOTDATA("XNT4",'nghiathanh (2016)'!$A$3,"MA_HT","SON","MA_QH","NKH")</f>
        <v>0</v>
      </c>
      <c r="R55" s="79">
        <f ca="1">SUM(S55:AA55,AN55:AZ55,BC55:BD55)</f>
        <v>0</v>
      </c>
      <c r="S55" s="22">
        <f ca="1">+GETPIVOTDATA("XNT4",'nghiathanh (2016)'!$A$3,"MA_HT","SON","MA_QH","CQP")</f>
        <v>0</v>
      </c>
      <c r="T55" s="22">
        <f ca="1">+GETPIVOTDATA("XNT4",'nghiathanh (2016)'!$A$3,"MA_HT","SON","MA_QH","CAN")</f>
        <v>0</v>
      </c>
      <c r="U55" s="22">
        <f ca="1">+GETPIVOTDATA("XNT4",'nghiathanh (2016)'!$A$3,"MA_HT","SON","MA_QH","SKK")</f>
        <v>0</v>
      </c>
      <c r="V55" s="22">
        <f ca="1">+GETPIVOTDATA("XNT4",'nghiathanh (2016)'!$A$3,"MA_HT","SON","MA_QH","SKT")</f>
        <v>0</v>
      </c>
      <c r="W55" s="22">
        <f ca="1">+GETPIVOTDATA("XNT4",'nghiathanh (2016)'!$A$3,"MA_HT","SON","MA_QH","SKN")</f>
        <v>0</v>
      </c>
      <c r="X55" s="22">
        <f ca="1">+GETPIVOTDATA("XNT4",'nghiathanh (2016)'!$A$3,"MA_HT","SON","MA_QH","TMD")</f>
        <v>0</v>
      </c>
      <c r="Y55" s="22">
        <f ca="1">+GETPIVOTDATA("XNT4",'nghiathanh (2016)'!$A$3,"MA_HT","SON","MA_QH","SKC")</f>
        <v>0</v>
      </c>
      <c r="Z55" s="22">
        <f ca="1">+GETPIVOTDATA("XNT4",'nghiathanh (2016)'!$A$3,"MA_HT","SON","MA_QH","SKS")</f>
        <v>0</v>
      </c>
      <c r="AA55" s="52">
        <f ca="1" t="shared" si="21"/>
        <v>0</v>
      </c>
      <c r="AB55" s="22">
        <f ca="1">+GETPIVOTDATA("XNT4",'nghiathanh (2016)'!$A$3,"MA_HT","SON","MA_QH","DGT")</f>
        <v>0</v>
      </c>
      <c r="AC55" s="22">
        <f ca="1">+GETPIVOTDATA("XNT4",'nghiathanh (2016)'!$A$3,"MA_HT","SON","MA_QH","DTL")</f>
        <v>0</v>
      </c>
      <c r="AD55" s="22">
        <f ca="1">+GETPIVOTDATA("XNT4",'nghiathanh (2016)'!$A$3,"MA_HT","SON","MA_QH","DNL")</f>
        <v>0</v>
      </c>
      <c r="AE55" s="22">
        <f ca="1">+GETPIVOTDATA("XNT4",'nghiathanh (2016)'!$A$3,"MA_HT","SON","MA_QH","DBV")</f>
        <v>0</v>
      </c>
      <c r="AF55" s="22">
        <f ca="1">+GETPIVOTDATA("XNT4",'nghiathanh (2016)'!$A$3,"MA_HT","SON","MA_QH","DVH")</f>
        <v>0</v>
      </c>
      <c r="AG55" s="22">
        <f ca="1">+GETPIVOTDATA("XNT4",'nghiathanh (2016)'!$A$3,"MA_HT","SON","MA_QH","DYT")</f>
        <v>0</v>
      </c>
      <c r="AH55" s="22">
        <f ca="1">+GETPIVOTDATA("XNT4",'nghiathanh (2016)'!$A$3,"MA_HT","SON","MA_QH","DGD")</f>
        <v>0</v>
      </c>
      <c r="AI55" s="22">
        <f ca="1">+GETPIVOTDATA("XNT4",'nghiathanh (2016)'!$A$3,"MA_HT","SON","MA_QH","DTT")</f>
        <v>0</v>
      </c>
      <c r="AJ55" s="22">
        <f ca="1">+GETPIVOTDATA("XNT4",'nghiathanh (2016)'!$A$3,"MA_HT","SON","MA_QH","NCK")</f>
        <v>0</v>
      </c>
      <c r="AK55" s="22">
        <f ca="1">+GETPIVOTDATA("XNT4",'nghiathanh (2016)'!$A$3,"MA_HT","SON","MA_QH","DXH")</f>
        <v>0</v>
      </c>
      <c r="AL55" s="22">
        <f ca="1">+GETPIVOTDATA("XNT4",'nghiathanh (2016)'!$A$3,"MA_HT","SON","MA_QH","DCH")</f>
        <v>0</v>
      </c>
      <c r="AM55" s="22">
        <f ca="1">+GETPIVOTDATA("XNT4",'nghiathanh (2016)'!$A$3,"MA_HT","SON","MA_QH","DKG")</f>
        <v>0</v>
      </c>
      <c r="AN55" s="22">
        <f ca="1">+GETPIVOTDATA("XNT4",'nghiathanh (2016)'!$A$3,"MA_HT","SON","MA_QH","DDT")</f>
        <v>0</v>
      </c>
      <c r="AO55" s="22">
        <f ca="1">+GETPIVOTDATA("XNT4",'nghiathanh (2016)'!$A$3,"MA_HT","SON","MA_QH","DDL")</f>
        <v>0</v>
      </c>
      <c r="AP55" s="22">
        <f ca="1">+GETPIVOTDATA("XNT4",'nghiathanh (2016)'!$A$3,"MA_HT","SON","MA_QH","DRA")</f>
        <v>0</v>
      </c>
      <c r="AQ55" s="22">
        <f ca="1">+GETPIVOTDATA("XNT4",'nghiathanh (2016)'!$A$3,"MA_HT","SON","MA_QH","ONT")</f>
        <v>0</v>
      </c>
      <c r="AR55" s="22">
        <f ca="1">+GETPIVOTDATA("XNT4",'nghiathanh (2016)'!$A$3,"MA_HT","SON","MA_QH","ODT")</f>
        <v>0</v>
      </c>
      <c r="AS55" s="22">
        <f ca="1">+GETPIVOTDATA("XNT4",'nghiathanh (2016)'!$A$3,"MA_HT","SON","MA_QH","TSC")</f>
        <v>0</v>
      </c>
      <c r="AT55" s="22">
        <f ca="1">+GETPIVOTDATA("XNT4",'nghiathanh (2016)'!$A$3,"MA_HT","SON","MA_QH","DTS")</f>
        <v>0</v>
      </c>
      <c r="AU55" s="22">
        <f ca="1">+GETPIVOTDATA("XNT4",'nghiathanh (2016)'!$A$3,"MA_HT","SON","MA_QH","DNG")</f>
        <v>0</v>
      </c>
      <c r="AV55" s="22">
        <f ca="1">+GETPIVOTDATA("XNT4",'nghiathanh (2016)'!$A$3,"MA_HT","SON","MA_QH","TON")</f>
        <v>0</v>
      </c>
      <c r="AW55" s="22">
        <f ca="1">+GETPIVOTDATA("XNT4",'nghiathanh (2016)'!$A$3,"MA_HT","SON","MA_QH","NTD")</f>
        <v>0</v>
      </c>
      <c r="AX55" s="22">
        <f ca="1">+GETPIVOTDATA("XNT4",'nghiathanh (2016)'!$A$3,"MA_HT","SON","MA_QH","SKX")</f>
        <v>0</v>
      </c>
      <c r="AY55" s="22">
        <f ca="1">+GETPIVOTDATA("XNT4",'nghiathanh (2016)'!$A$3,"MA_HT","SON","MA_QH","DSH")</f>
        <v>0</v>
      </c>
      <c r="AZ55" s="22">
        <f ca="1">+GETPIVOTDATA("XNT4",'nghiathanh (2016)'!$A$3,"MA_HT","SON","MA_QH","DKV")</f>
        <v>0</v>
      </c>
      <c r="BA55" s="89">
        <f ca="1">+GETPIVOTDATA("XNT4",'nghiathanh (2016)'!$A$3,"MA_HT","SON","MA_QH","TIN")</f>
        <v>0</v>
      </c>
      <c r="BB55" s="43" t="e">
        <f ca="1">$D55-$BF55</f>
        <v>#REF!</v>
      </c>
      <c r="BC55" s="50">
        <f ca="1">+GETPIVOTDATA("XNT4",'nghiathanh (2016)'!$A$3,"MA_HT","SON","MA_QH","MNC")</f>
        <v>0</v>
      </c>
      <c r="BD55" s="22">
        <f ca="1">+GETPIVOTDATA("XNT4",'nghiathanh (2016)'!$A$3,"MA_HT","SON","MA_QH","PNK")</f>
        <v>0</v>
      </c>
      <c r="BE55" s="71">
        <f ca="1">+GETPIVOTDATA("XNT4",'nghiathanh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+GETPIVOTDATA("XNT4",'nghiathanh (2016)'!$A$3,"MA_HT","MNC","MA_QH","LUC")</f>
        <v>0</v>
      </c>
      <c r="H56" s="22">
        <f ca="1">+GETPIVOTDATA("XNT4",'nghiathanh (2016)'!$A$3,"MA_HT","MNC","MA_QH","LUK")</f>
        <v>0</v>
      </c>
      <c r="I56" s="22">
        <f ca="1">+GETPIVOTDATA("XNT4",'nghiathanh (2016)'!$A$3,"MA_HT","MNC","MA_QH","LUN")</f>
        <v>0</v>
      </c>
      <c r="J56" s="22">
        <f ca="1">+GETPIVOTDATA("XNT4",'nghiathanh (2016)'!$A$3,"MA_HT","MNC","MA_QH","HNK")</f>
        <v>0</v>
      </c>
      <c r="K56" s="22">
        <f ca="1">+GETPIVOTDATA("XNT4",'nghiathanh (2016)'!$A$3,"MA_HT","MNC","MA_QH","CLN")</f>
        <v>0</v>
      </c>
      <c r="L56" s="22">
        <f ca="1">+GETPIVOTDATA("XNT4",'nghiathanh (2016)'!$A$3,"MA_HT","MNC","MA_QH","RSX")</f>
        <v>0</v>
      </c>
      <c r="M56" s="22">
        <f ca="1">+GETPIVOTDATA("XNT4",'nghiathanh (2016)'!$A$3,"MA_HT","MNC","MA_QH","RPH")</f>
        <v>0</v>
      </c>
      <c r="N56" s="22">
        <f ca="1">+GETPIVOTDATA("XNT4",'nghiathanh (2016)'!$A$3,"MA_HT","MNC","MA_QH","RDD")</f>
        <v>0</v>
      </c>
      <c r="O56" s="22">
        <f ca="1">+GETPIVOTDATA("XNT4",'nghiathanh (2016)'!$A$3,"MA_HT","MNC","MA_QH","NTS")</f>
        <v>0</v>
      </c>
      <c r="P56" s="22">
        <f ca="1">+GETPIVOTDATA("XNT4",'nghiathanh (2016)'!$A$3,"MA_HT","MNC","MA_QH","LMU")</f>
        <v>0</v>
      </c>
      <c r="Q56" s="22">
        <f ca="1">+GETPIVOTDATA("XNT4",'nghiathanh (2016)'!$A$3,"MA_HT","MNC","MA_QH","NKH")</f>
        <v>0</v>
      </c>
      <c r="R56" s="79">
        <f ca="1">SUM(S56:AA56,AN56:BB56,BD56)</f>
        <v>0</v>
      </c>
      <c r="S56" s="22">
        <f ca="1">+GETPIVOTDATA("XNT4",'nghiathanh (2016)'!$A$3,"MA_HT","MNC","MA_QH","CQP")</f>
        <v>0</v>
      </c>
      <c r="T56" s="22">
        <f ca="1">+GETPIVOTDATA("XNT4",'nghiathanh (2016)'!$A$3,"MA_HT","MNC","MA_QH","CAN")</f>
        <v>0</v>
      </c>
      <c r="U56" s="22">
        <f ca="1">+GETPIVOTDATA("XNT4",'nghiathanh (2016)'!$A$3,"MA_HT","MNC","MA_QH","SKK")</f>
        <v>0</v>
      </c>
      <c r="V56" s="22">
        <f ca="1">+GETPIVOTDATA("XNT4",'nghiathanh (2016)'!$A$3,"MA_HT","MNC","MA_QH","SKT")</f>
        <v>0</v>
      </c>
      <c r="W56" s="22">
        <f ca="1">+GETPIVOTDATA("XNT4",'nghiathanh (2016)'!$A$3,"MA_HT","MNC","MA_QH","SKN")</f>
        <v>0</v>
      </c>
      <c r="X56" s="22">
        <f ca="1">+GETPIVOTDATA("XNT4",'nghiathanh (2016)'!$A$3,"MA_HT","MNC","MA_QH","TMD")</f>
        <v>0</v>
      </c>
      <c r="Y56" s="22">
        <f ca="1">+GETPIVOTDATA("XNT4",'nghiathanh (2016)'!$A$3,"MA_HT","MNC","MA_QH","SKC")</f>
        <v>0</v>
      </c>
      <c r="Z56" s="22">
        <f ca="1">+GETPIVOTDATA("XNT4",'nghiathanh (2016)'!$A$3,"MA_HT","MNC","MA_QH","SKS")</f>
        <v>0</v>
      </c>
      <c r="AA56" s="52">
        <f ca="1" t="shared" si="21"/>
        <v>0</v>
      </c>
      <c r="AB56" s="22">
        <f ca="1">+GETPIVOTDATA("XNT4",'nghiathanh (2016)'!$A$3,"MA_HT","MNC","MA_QH","DGT")</f>
        <v>0</v>
      </c>
      <c r="AC56" s="22">
        <f ca="1">+GETPIVOTDATA("XNT4",'nghiathanh (2016)'!$A$3,"MA_HT","MNC","MA_QH","DTL")</f>
        <v>0</v>
      </c>
      <c r="AD56" s="22">
        <f ca="1">+GETPIVOTDATA("XNT4",'nghiathanh (2016)'!$A$3,"MA_HT","MNC","MA_QH","DNL")</f>
        <v>0</v>
      </c>
      <c r="AE56" s="22">
        <f ca="1">+GETPIVOTDATA("XNT4",'nghiathanh (2016)'!$A$3,"MA_HT","MNC","MA_QH","DBV")</f>
        <v>0</v>
      </c>
      <c r="AF56" s="22">
        <f ca="1">+GETPIVOTDATA("XNT4",'nghiathanh (2016)'!$A$3,"MA_HT","MNC","MA_QH","DVH")</f>
        <v>0</v>
      </c>
      <c r="AG56" s="22">
        <f ca="1">+GETPIVOTDATA("XNT4",'nghiathanh (2016)'!$A$3,"MA_HT","MNC","MA_QH","DYT")</f>
        <v>0</v>
      </c>
      <c r="AH56" s="22">
        <f ca="1">+GETPIVOTDATA("XNT4",'nghiathanh (2016)'!$A$3,"MA_HT","MNC","MA_QH","DGD")</f>
        <v>0</v>
      </c>
      <c r="AI56" s="22">
        <f ca="1">+GETPIVOTDATA("XNT4",'nghiathanh (2016)'!$A$3,"MA_HT","MNC","MA_QH","DTT")</f>
        <v>0</v>
      </c>
      <c r="AJ56" s="22">
        <f ca="1">+GETPIVOTDATA("XNT4",'nghiathanh (2016)'!$A$3,"MA_HT","MNC","MA_QH","NCK")</f>
        <v>0</v>
      </c>
      <c r="AK56" s="22">
        <f ca="1">+GETPIVOTDATA("XNT4",'nghiathanh (2016)'!$A$3,"MA_HT","MNC","MA_QH","DXH")</f>
        <v>0</v>
      </c>
      <c r="AL56" s="22">
        <f ca="1">+GETPIVOTDATA("XNT4",'nghiathanh (2016)'!$A$3,"MA_HT","MNC","MA_QH","DCH")</f>
        <v>0</v>
      </c>
      <c r="AM56" s="22">
        <f ca="1">+GETPIVOTDATA("XNT4",'nghiathanh (2016)'!$A$3,"MA_HT","MNC","MA_QH","DKG")</f>
        <v>0</v>
      </c>
      <c r="AN56" s="22">
        <f ca="1">+GETPIVOTDATA("XNT4",'nghiathanh (2016)'!$A$3,"MA_HT","MNC","MA_QH","DDT")</f>
        <v>0</v>
      </c>
      <c r="AO56" s="22">
        <f ca="1">+GETPIVOTDATA("XNT4",'nghiathanh (2016)'!$A$3,"MA_HT","MNC","MA_QH","DDL")</f>
        <v>0</v>
      </c>
      <c r="AP56" s="22">
        <f ca="1">+GETPIVOTDATA("XNT4",'nghiathanh (2016)'!$A$3,"MA_HT","MNC","MA_QH","DRA")</f>
        <v>0</v>
      </c>
      <c r="AQ56" s="22">
        <f ca="1">+GETPIVOTDATA("XNT4",'nghiathanh (2016)'!$A$3,"MA_HT","MNC","MA_QH","ONT")</f>
        <v>0</v>
      </c>
      <c r="AR56" s="22">
        <f ca="1">+GETPIVOTDATA("XNT4",'nghiathanh (2016)'!$A$3,"MA_HT","MNC","MA_QH","ODT")</f>
        <v>0</v>
      </c>
      <c r="AS56" s="22">
        <f ca="1">+GETPIVOTDATA("XNT4",'nghiathanh (2016)'!$A$3,"MA_HT","MNC","MA_QH","TSC")</f>
        <v>0</v>
      </c>
      <c r="AT56" s="22">
        <f ca="1">+GETPIVOTDATA("XNT4",'nghiathanh (2016)'!$A$3,"MA_HT","MNC","MA_QH","DTS")</f>
        <v>0</v>
      </c>
      <c r="AU56" s="22">
        <f ca="1">+GETPIVOTDATA("XNT4",'nghiathanh (2016)'!$A$3,"MA_HT","MNC","MA_QH","DNG")</f>
        <v>0</v>
      </c>
      <c r="AV56" s="22">
        <f ca="1">+GETPIVOTDATA("XNT4",'nghiathanh (2016)'!$A$3,"MA_HT","MNC","MA_QH","TON")</f>
        <v>0</v>
      </c>
      <c r="AW56" s="22">
        <f ca="1">+GETPIVOTDATA("XNT4",'nghiathanh (2016)'!$A$3,"MA_HT","MNC","MA_QH","NTD")</f>
        <v>0</v>
      </c>
      <c r="AX56" s="22">
        <f ca="1">+GETPIVOTDATA("XNT4",'nghiathanh (2016)'!$A$3,"MA_HT","MNC","MA_QH","SKX")</f>
        <v>0</v>
      </c>
      <c r="AY56" s="22">
        <f ca="1">+GETPIVOTDATA("XNT4",'nghiathanh (2016)'!$A$3,"MA_HT","MNC","MA_QH","DSH")</f>
        <v>0</v>
      </c>
      <c r="AZ56" s="22">
        <f ca="1">+GETPIVOTDATA("XNT4",'nghiathanh (2016)'!$A$3,"MA_HT","MNC","MA_QH","DKV")</f>
        <v>0</v>
      </c>
      <c r="BA56" s="89">
        <f ca="1">+GETPIVOTDATA("XNT4",'nghiathanh (2016)'!$A$3,"MA_HT","MNC","MA_QH","TIN")</f>
        <v>0</v>
      </c>
      <c r="BB56" s="50">
        <f ca="1">+GETPIVOTDATA("XNT4",'nghiathanh (2016)'!$A$3,"MA_HT","MNC","MA_QH","SON")</f>
        <v>0</v>
      </c>
      <c r="BC56" s="43" t="e">
        <f ca="1">$D56-$BF56</f>
        <v>#REF!</v>
      </c>
      <c r="BD56" s="22">
        <f ca="1">+GETPIVOTDATA("XNT4",'nghiathanh (2016)'!$A$3,"MA_HT","MNC","MA_QH","PNK")</f>
        <v>0</v>
      </c>
      <c r="BE56" s="71">
        <f ca="1">+GETPIVOTDATA("XNT4",'nghiathanh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+GETPIVOTDATA("XNT4",'nghiathanh (2016)'!$A$3,"MA_HT","PNK","MA_QH","LUC")</f>
        <v>0</v>
      </c>
      <c r="H57" s="22">
        <f ca="1">+GETPIVOTDATA("XNT4",'nghiathanh (2016)'!$A$3,"MA_HT","PNK","MA_QH","LUK")</f>
        <v>0</v>
      </c>
      <c r="I57" s="22">
        <f ca="1">+GETPIVOTDATA("XNT4",'nghiathanh (2016)'!$A$3,"MA_HT","PNK","MA_QH","LUN")</f>
        <v>0</v>
      </c>
      <c r="J57" s="22">
        <f ca="1">+GETPIVOTDATA("XNT4",'nghiathanh (2016)'!$A$3,"MA_HT","PNK","MA_QH","HNK")</f>
        <v>0</v>
      </c>
      <c r="K57" s="22">
        <f ca="1">+GETPIVOTDATA("XNT4",'nghiathanh (2016)'!$A$3,"MA_HT","PNK","MA_QH","CLN")</f>
        <v>0</v>
      </c>
      <c r="L57" s="22">
        <f ca="1">+GETPIVOTDATA("XNT4",'nghiathanh (2016)'!$A$3,"MA_HT","PNK","MA_QH","RSX")</f>
        <v>0</v>
      </c>
      <c r="M57" s="22">
        <f ca="1">+GETPIVOTDATA("XNT4",'nghiathanh (2016)'!$A$3,"MA_HT","PNK","MA_QH","RPH")</f>
        <v>0</v>
      </c>
      <c r="N57" s="22">
        <f ca="1">+GETPIVOTDATA("XNT4",'nghiathanh (2016)'!$A$3,"MA_HT","PNK","MA_QH","RDD")</f>
        <v>0</v>
      </c>
      <c r="O57" s="22">
        <f ca="1">+GETPIVOTDATA("XNT4",'nghiathanh (2016)'!$A$3,"MA_HT","PNK","MA_QH","NTS")</f>
        <v>0</v>
      </c>
      <c r="P57" s="22">
        <f ca="1">+GETPIVOTDATA("XNT4",'nghiathanh (2016)'!$A$3,"MA_HT","PNK","MA_QH","LMU")</f>
        <v>0</v>
      </c>
      <c r="Q57" s="22">
        <f ca="1">+GETPIVOTDATA("XNT4",'nghiathanh (2016)'!$A$3,"MA_HT","PNK","MA_QH","NKH")</f>
        <v>0</v>
      </c>
      <c r="R57" s="79">
        <f ca="1">SUM(S57:AA57,AN57:BC57)</f>
        <v>0</v>
      </c>
      <c r="S57" s="22">
        <f ca="1">+GETPIVOTDATA("XNT4",'nghiathanh (2016)'!$A$3,"MA_HT","PNK","MA_QH","CQP")</f>
        <v>0</v>
      </c>
      <c r="T57" s="22">
        <f ca="1">+GETPIVOTDATA("XNT4",'nghiathanh (2016)'!$A$3,"MA_HT","PNK","MA_QH","CAN")</f>
        <v>0</v>
      </c>
      <c r="U57" s="22">
        <f ca="1">+GETPIVOTDATA("XNT4",'nghiathanh (2016)'!$A$3,"MA_HT","PNK","MA_QH","SKK")</f>
        <v>0</v>
      </c>
      <c r="V57" s="22">
        <f ca="1">+GETPIVOTDATA("XNT4",'nghiathanh (2016)'!$A$3,"MA_HT","PNK","MA_QH","SKT")</f>
        <v>0</v>
      </c>
      <c r="W57" s="22">
        <f ca="1">+GETPIVOTDATA("XNT4",'nghiathanh (2016)'!$A$3,"MA_HT","PNK","MA_QH","SKN")</f>
        <v>0</v>
      </c>
      <c r="X57" s="22">
        <f ca="1">+GETPIVOTDATA("XNT4",'nghiathanh (2016)'!$A$3,"MA_HT","PNK","MA_QH","TMD")</f>
        <v>0</v>
      </c>
      <c r="Y57" s="22">
        <f ca="1">+GETPIVOTDATA("XNT4",'nghiathanh (2016)'!$A$3,"MA_HT","PNK","MA_QH","SKC")</f>
        <v>0</v>
      </c>
      <c r="Z57" s="22">
        <f ca="1">+GETPIVOTDATA("XNT4",'nghiathanh (2016)'!$A$3,"MA_HT","PNK","MA_QH","SKS")</f>
        <v>0</v>
      </c>
      <c r="AA57" s="52">
        <f ca="1" t="shared" si="21"/>
        <v>0</v>
      </c>
      <c r="AB57" s="22">
        <f ca="1">+GETPIVOTDATA("XNT4",'nghiathanh (2016)'!$A$3,"MA_HT","PNK","MA_QH","DGT")</f>
        <v>0</v>
      </c>
      <c r="AC57" s="22">
        <f ca="1">+GETPIVOTDATA("XNT4",'nghiathanh (2016)'!$A$3,"MA_HT","PNK","MA_QH","DTL")</f>
        <v>0</v>
      </c>
      <c r="AD57" s="22">
        <f ca="1">+GETPIVOTDATA("XNT4",'nghiathanh (2016)'!$A$3,"MA_HT","PNK","MA_QH","DNL")</f>
        <v>0</v>
      </c>
      <c r="AE57" s="22">
        <f ca="1">+GETPIVOTDATA("XNT4",'nghiathanh (2016)'!$A$3,"MA_HT","PNK","MA_QH","DBV")</f>
        <v>0</v>
      </c>
      <c r="AF57" s="22">
        <f ca="1">+GETPIVOTDATA("XNT4",'nghiathanh (2016)'!$A$3,"MA_HT","PNK","MA_QH","DVH")</f>
        <v>0</v>
      </c>
      <c r="AG57" s="22">
        <f ca="1">+GETPIVOTDATA("XNT4",'nghiathanh (2016)'!$A$3,"MA_HT","PNK","MA_QH","DYT")</f>
        <v>0</v>
      </c>
      <c r="AH57" s="22">
        <f ca="1">+GETPIVOTDATA("XNT4",'nghiathanh (2016)'!$A$3,"MA_HT","PNK","MA_QH","DGD")</f>
        <v>0</v>
      </c>
      <c r="AI57" s="22">
        <f ca="1">+GETPIVOTDATA("XNT4",'nghiathanh (2016)'!$A$3,"MA_HT","PNK","MA_QH","DTT")</f>
        <v>0</v>
      </c>
      <c r="AJ57" s="22">
        <f ca="1">+GETPIVOTDATA("XNT4",'nghiathanh (2016)'!$A$3,"MA_HT","PNK","MA_QH","NCK")</f>
        <v>0</v>
      </c>
      <c r="AK57" s="22">
        <f ca="1">+GETPIVOTDATA("XNT4",'nghiathanh (2016)'!$A$3,"MA_HT","PNK","MA_QH","DXH")</f>
        <v>0</v>
      </c>
      <c r="AL57" s="22">
        <f ca="1">+GETPIVOTDATA("XNT4",'nghiathanh (2016)'!$A$3,"MA_HT","PNK","MA_QH","DCH")</f>
        <v>0</v>
      </c>
      <c r="AM57" s="22">
        <f ca="1">+GETPIVOTDATA("XNT4",'nghiathanh (2016)'!$A$3,"MA_HT","PNK","MA_QH","DKG")</f>
        <v>0</v>
      </c>
      <c r="AN57" s="22">
        <f ca="1">+GETPIVOTDATA("XNT4",'nghiathanh (2016)'!$A$3,"MA_HT","PNK","MA_QH","DDT")</f>
        <v>0</v>
      </c>
      <c r="AO57" s="22">
        <f ca="1">+GETPIVOTDATA("XNT4",'nghiathanh (2016)'!$A$3,"MA_HT","PNK","MA_QH","DDL")</f>
        <v>0</v>
      </c>
      <c r="AP57" s="22">
        <f ca="1">+GETPIVOTDATA("XNT4",'nghiathanh (2016)'!$A$3,"MA_HT","PNK","MA_QH","DRA")</f>
        <v>0</v>
      </c>
      <c r="AQ57" s="22">
        <f ca="1">+GETPIVOTDATA("XNT4",'nghiathanh (2016)'!$A$3,"MA_HT","PNK","MA_QH","ONT")</f>
        <v>0</v>
      </c>
      <c r="AR57" s="22">
        <f ca="1">+GETPIVOTDATA("XNT4",'nghiathanh (2016)'!$A$3,"MA_HT","PNK","MA_QH","ODT")</f>
        <v>0</v>
      </c>
      <c r="AS57" s="22">
        <f ca="1">+GETPIVOTDATA("XNT4",'nghiathanh (2016)'!$A$3,"MA_HT","PNK","MA_QH","TSC")</f>
        <v>0</v>
      </c>
      <c r="AT57" s="22">
        <f ca="1">+GETPIVOTDATA("XNT4",'nghiathanh (2016)'!$A$3,"MA_HT","PNK","MA_QH","DTS")</f>
        <v>0</v>
      </c>
      <c r="AU57" s="22">
        <f ca="1">+GETPIVOTDATA("XNT4",'nghiathanh (2016)'!$A$3,"MA_HT","PNK","MA_QH","DNG")</f>
        <v>0</v>
      </c>
      <c r="AV57" s="22">
        <f ca="1">+GETPIVOTDATA("XNT4",'nghiathanh (2016)'!$A$3,"MA_HT","PNK","MA_QH","TON")</f>
        <v>0</v>
      </c>
      <c r="AW57" s="22">
        <f ca="1">+GETPIVOTDATA("XNT4",'nghiathanh (2016)'!$A$3,"MA_HT","PNK","MA_QH","NTD")</f>
        <v>0</v>
      </c>
      <c r="AX57" s="22">
        <f ca="1">+GETPIVOTDATA("XNT4",'nghiathanh (2016)'!$A$3,"MA_HT","PNK","MA_QH","SKX")</f>
        <v>0</v>
      </c>
      <c r="AY57" s="22">
        <f ca="1">+GETPIVOTDATA("XNT4",'nghiathanh (2016)'!$A$3,"MA_HT","PNK","MA_QH","DSH")</f>
        <v>0</v>
      </c>
      <c r="AZ57" s="22">
        <f ca="1">+GETPIVOTDATA("XNT4",'nghiathanh (2016)'!$A$3,"MA_HT","PNK","MA_QH","DKV")</f>
        <v>0</v>
      </c>
      <c r="BA57" s="89">
        <f ca="1">+GETPIVOTDATA("XNT4",'nghiathanh (2016)'!$A$3,"MA_HT","PNK","MA_QH","TIN")</f>
        <v>0</v>
      </c>
      <c r="BB57" s="50">
        <f ca="1">+GETPIVOTDATA("XNT4",'nghiathanh (2016)'!$A$3,"MA_HT","PNK","MA_QH","SON")</f>
        <v>0</v>
      </c>
      <c r="BC57" s="50">
        <f ca="1">+GETPIVOTDATA("XNT4",'nghiathanh (2016)'!$A$3,"MA_HT","PNK","MA_QH","MNC")</f>
        <v>0</v>
      </c>
      <c r="BD57" s="43" t="e">
        <f ca="1">$D57-$BF57</f>
        <v>#REF!</v>
      </c>
      <c r="BE57" s="71">
        <f ca="1">+GETPIVOTDATA("XNT4",'nghiathanh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+GETPIVOTDATA("XNT4",'nghiathanh (2016)'!$A$3,"MA_HT","CSD","MA_QH","LUC")</f>
        <v>0</v>
      </c>
      <c r="H58" s="71">
        <f ca="1">+GETPIVOTDATA("XNT4",'nghiathanh (2016)'!$A$3,"MA_HT","CSD","MA_QH","LUK")</f>
        <v>0</v>
      </c>
      <c r="I58" s="71">
        <f ca="1">+GETPIVOTDATA("XNT4",'nghiathanh (2016)'!$A$3,"MA_HT","CSD","MA_QH","LUN")</f>
        <v>0</v>
      </c>
      <c r="J58" s="71">
        <f ca="1">+GETPIVOTDATA("XNT4",'nghiathanh (2016)'!$A$3,"MA_HT","CSD","MA_QH","HNK")</f>
        <v>0</v>
      </c>
      <c r="K58" s="71">
        <f ca="1">+GETPIVOTDATA("XNT4",'nghiathanh (2016)'!$A$3,"MA_HT","CSD","MA_QH","CLN")</f>
        <v>0</v>
      </c>
      <c r="L58" s="71">
        <f ca="1">+GETPIVOTDATA("XNT4",'nghiathanh (2016)'!$A$3,"MA_HT","CSD","MA_QH","RSX")</f>
        <v>0</v>
      </c>
      <c r="M58" s="71">
        <f ca="1">+GETPIVOTDATA("XNT4",'nghiathanh (2016)'!$A$3,"MA_HT","CSD","MA_QH","RPH")</f>
        <v>0</v>
      </c>
      <c r="N58" s="71">
        <f ca="1">+GETPIVOTDATA("XNT4",'nghiathanh (2016)'!$A$3,"MA_HT","CSD","MA_QH","RDD")</f>
        <v>0</v>
      </c>
      <c r="O58" s="71">
        <f ca="1">+GETPIVOTDATA("XNT4",'nghiathanh (2016)'!$A$3,"MA_HT","CSD","MA_QH","NTS")</f>
        <v>0</v>
      </c>
      <c r="P58" s="71">
        <f ca="1">+GETPIVOTDATA("XNT4",'nghiathanh (2016)'!$A$3,"MA_HT","CSD","MA_QH","LMU")</f>
        <v>0</v>
      </c>
      <c r="Q58" s="71">
        <f ca="1">+GETPIVOTDATA("XNT4",'nghiathanh (2016)'!$A$3,"MA_HT","CSD","MA_QH","NKH")</f>
        <v>0</v>
      </c>
      <c r="R58" s="79">
        <f ca="1">SUM(S58:AA58,AN58:BD58)</f>
        <v>0</v>
      </c>
      <c r="S58" s="80">
        <f ca="1">+GETPIVOTDATA("XNT4",'nghiathanh (2016)'!$A$3,"MA_HT","CSD","MA_QH","CQP")</f>
        <v>0</v>
      </c>
      <c r="T58" s="80">
        <f ca="1">+GETPIVOTDATA("XNT4",'nghiathanh (2016)'!$A$3,"MA_HT","CSD","MA_QH","CAN")</f>
        <v>0</v>
      </c>
      <c r="U58" s="71">
        <f ca="1">+GETPIVOTDATA("XNT4",'nghiathanh (2016)'!$A$3,"MA_HT","CSD","MA_QH","SKK")</f>
        <v>0</v>
      </c>
      <c r="V58" s="71">
        <f ca="1">+GETPIVOTDATA("XNT4",'nghiathanh (2016)'!$A$3,"MA_HT","CSD","MA_QH","SKT")</f>
        <v>0</v>
      </c>
      <c r="W58" s="71">
        <f ca="1">+GETPIVOTDATA("XNT4",'nghiathanh (2016)'!$A$3,"MA_HT","CSD","MA_QH","SKN")</f>
        <v>0</v>
      </c>
      <c r="X58" s="71">
        <f ca="1">+GETPIVOTDATA("XNT4",'nghiathanh (2016)'!$A$3,"MA_HT","CSD","MA_QH","TMD")</f>
        <v>0</v>
      </c>
      <c r="Y58" s="71">
        <f ca="1">+GETPIVOTDATA("XNT4",'nghiathanh (2016)'!$A$3,"MA_HT","CSD","MA_QH","SKC")</f>
        <v>0</v>
      </c>
      <c r="Z58" s="71">
        <f ca="1">+GETPIVOTDATA("XNT4",'nghiathanh (2016)'!$A$3,"MA_HT","CSD","MA_QH","SKS")</f>
        <v>0</v>
      </c>
      <c r="AA58" s="52">
        <f ca="1" t="shared" si="21"/>
        <v>0</v>
      </c>
      <c r="AB58" s="80">
        <f ca="1">+GETPIVOTDATA("XNT4",'nghiathanh (2016)'!$A$3,"MA_HT","CSD","MA_QH","DGT")</f>
        <v>0</v>
      </c>
      <c r="AC58" s="80">
        <f ca="1">+GETPIVOTDATA("XNT4",'nghiathanh (2016)'!$A$3,"MA_HT","CSD","MA_QH","DTL")</f>
        <v>0</v>
      </c>
      <c r="AD58" s="80">
        <f ca="1">+GETPIVOTDATA("XNT4",'nghiathanh (2016)'!$A$3,"MA_HT","CSD","MA_QH","DNL")</f>
        <v>0</v>
      </c>
      <c r="AE58" s="80">
        <f ca="1">+GETPIVOTDATA("XNT4",'nghiathanh (2016)'!$A$3,"MA_HT","CSD","MA_QH","DBV")</f>
        <v>0</v>
      </c>
      <c r="AF58" s="80">
        <f ca="1">+GETPIVOTDATA("XNT4",'nghiathanh (2016)'!$A$3,"MA_HT","CSD","MA_QH","DVH")</f>
        <v>0</v>
      </c>
      <c r="AG58" s="80">
        <f ca="1">+GETPIVOTDATA("XNT4",'nghiathanh (2016)'!$A$3,"MA_HT","CSD","MA_QH","DYT")</f>
        <v>0</v>
      </c>
      <c r="AH58" s="80">
        <f ca="1">+GETPIVOTDATA("XNT4",'nghiathanh (2016)'!$A$3,"MA_HT","CSD","MA_QH","DGD")</f>
        <v>0</v>
      </c>
      <c r="AI58" s="80">
        <f ca="1">+GETPIVOTDATA("XNT4",'nghiathanh (2016)'!$A$3,"MA_HT","CSD","MA_QH","DTT")</f>
        <v>0</v>
      </c>
      <c r="AJ58" s="80">
        <f ca="1">+GETPIVOTDATA("XNT4",'nghiathanh (2016)'!$A$3,"MA_HT","CSD","MA_QH","NCK")</f>
        <v>0</v>
      </c>
      <c r="AK58" s="80">
        <f ca="1">+GETPIVOTDATA("XNT4",'nghiathanh (2016)'!$A$3,"MA_HT","CSD","MA_QH","DXH")</f>
        <v>0</v>
      </c>
      <c r="AL58" s="80">
        <f ca="1">+GETPIVOTDATA("XNT4",'nghiathanh (2016)'!$A$3,"MA_HT","CSD","MA_QH","DCH")</f>
        <v>0</v>
      </c>
      <c r="AM58" s="80">
        <f ca="1">+GETPIVOTDATA("XNT4",'nghiathanh (2016)'!$A$3,"MA_HT","CSD","MA_QH","DKG")</f>
        <v>0</v>
      </c>
      <c r="AN58" s="71">
        <f ca="1">+GETPIVOTDATA("XNT4",'nghiathanh (2016)'!$A$3,"MA_HT","CSD","MA_QH","DDT")</f>
        <v>0</v>
      </c>
      <c r="AO58" s="71">
        <f ca="1">+GETPIVOTDATA("XNT4",'nghiathanh (2016)'!$A$3,"MA_HT","CSD","MA_QH","DDL")</f>
        <v>0</v>
      </c>
      <c r="AP58" s="71">
        <f ca="1">+GETPIVOTDATA("XNT4",'nghiathanh (2016)'!$A$3,"MA_HT","CSD","MA_QH","DRA")</f>
        <v>0</v>
      </c>
      <c r="AQ58" s="71">
        <f ca="1">+GETPIVOTDATA("XNT4",'nghiathanh (2016)'!$A$3,"MA_HT","CSD","MA_QH","ONT")</f>
        <v>0</v>
      </c>
      <c r="AR58" s="71">
        <f ca="1">+GETPIVOTDATA("XNT4",'nghiathanh (2016)'!$A$3,"MA_HT","CSD","MA_QH","ODT")</f>
        <v>0</v>
      </c>
      <c r="AS58" s="71">
        <f ca="1">+GETPIVOTDATA("XNT4",'nghiathanh (2016)'!$A$3,"MA_HT","CSD","MA_QH","TSC")</f>
        <v>0</v>
      </c>
      <c r="AT58" s="71">
        <f ca="1">+GETPIVOTDATA("XNT4",'nghiathanh (2016)'!$A$3,"MA_HT","CSD","MA_QH","DTS")</f>
        <v>0</v>
      </c>
      <c r="AU58" s="71">
        <f ca="1">+GETPIVOTDATA("XNT4",'nghiathanh (2016)'!$A$3,"MA_HT","CSD","MA_QH","DNG")</f>
        <v>0</v>
      </c>
      <c r="AV58" s="71">
        <f ca="1">+GETPIVOTDATA("XNT4",'nghiathanh (2016)'!$A$3,"MA_HT","CSD","MA_QH","TON")</f>
        <v>0</v>
      </c>
      <c r="AW58" s="71">
        <f ca="1">+GETPIVOTDATA("XNT4",'nghiathanh (2016)'!$A$3,"MA_HT","CSD","MA_QH","NTD")</f>
        <v>0</v>
      </c>
      <c r="AX58" s="71">
        <f ca="1">+GETPIVOTDATA("XNT4",'nghiathanh (2016)'!$A$3,"MA_HT","CSD","MA_QH","SKX")</f>
        <v>0</v>
      </c>
      <c r="AY58" s="71">
        <f ca="1">+GETPIVOTDATA("XNT4",'nghiathanh (2016)'!$A$3,"MA_HT","CSD","MA_QH","DSH")</f>
        <v>0</v>
      </c>
      <c r="AZ58" s="71">
        <f ca="1">+GETPIVOTDATA("XNT4",'nghiathanh (2016)'!$A$3,"MA_HT","CSD","MA_QH","DKV")</f>
        <v>0</v>
      </c>
      <c r="BA58" s="89">
        <f ca="1">+GETPIVOTDATA("XNT4",'nghiathanh (2016)'!$A$3,"MA_HT","CSD","MA_QH","TIN")</f>
        <v>0</v>
      </c>
      <c r="BB58" s="80">
        <f ca="1">+GETPIVOTDATA("XNT4",'nghiathanh (2016)'!$A$3,"MA_HT","CSD","MA_QH","SON")</f>
        <v>0</v>
      </c>
      <c r="BC58" s="80">
        <f ca="1">+GETPIVOTDATA("XNT4",'nghiathanh (2016)'!$A$3,"MA_HT","CSD","MA_QH","MNC")</f>
        <v>0</v>
      </c>
      <c r="BD58" s="71">
        <f ca="1">+GETPIVOTDATA("XNT4",'nghiathanh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9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+GETPIVOTDATA("XQT4",'quangthanh (2016)'!$A$3,"MA_HT","LUC","MA_QH","LUK")</f>
        <v>0</v>
      </c>
      <c r="I8" s="50">
        <f ca="1">+GETPIVOTDATA("XQT4",'quangthanh (2016)'!$A$3,"MA_HT","LUC","MA_QH","LUN")</f>
        <v>0</v>
      </c>
      <c r="J8" s="50">
        <f ca="1">+GETPIVOTDATA("XQT4",'quangthanh (2016)'!$A$3,"MA_HT","LUC","MA_QH","HNK")</f>
        <v>0</v>
      </c>
      <c r="K8" s="50">
        <f ca="1">+GETPIVOTDATA("XQT4",'quangthanh (2016)'!$A$3,"MA_HT","LUC","MA_QH","CLN")</f>
        <v>0</v>
      </c>
      <c r="L8" s="50">
        <f ca="1">+GETPIVOTDATA("XQT4",'quangthanh (2016)'!$A$3,"MA_HT","LUC","MA_QH","RSX")</f>
        <v>0</v>
      </c>
      <c r="M8" s="50">
        <f ca="1">+GETPIVOTDATA("XQT4",'quangthanh (2016)'!$A$3,"MA_HT","LUC","MA_QH","RPH")</f>
        <v>0</v>
      </c>
      <c r="N8" s="50">
        <f ca="1">+GETPIVOTDATA("XQT4",'quangthanh (2016)'!$A$3,"MA_HT","LUC","MA_QH","RDD")</f>
        <v>0</v>
      </c>
      <c r="O8" s="50">
        <f ca="1">+GETPIVOTDATA("XQT4",'quangthanh (2016)'!$A$3,"MA_HT","LUC","MA_QH","NTS")</f>
        <v>0</v>
      </c>
      <c r="P8" s="50">
        <f ca="1">+GETPIVOTDATA("XQT4",'quangthanh (2016)'!$A$3,"MA_HT","LUC","MA_QH","LMU")</f>
        <v>0</v>
      </c>
      <c r="Q8" s="50">
        <f ca="1">+GETPIVOTDATA("XQT4",'quangthanh (2016)'!$A$3,"MA_HT","LUC","MA_QH","NKH")</f>
        <v>0</v>
      </c>
      <c r="R8" s="48">
        <f ca="1" t="shared" si="2"/>
        <v>0</v>
      </c>
      <c r="S8" s="50">
        <f ca="1">+GETPIVOTDATA("XQT4",'quangthanh (2016)'!$A$3,"MA_HT","LUC","MA_QH","CQP")</f>
        <v>0</v>
      </c>
      <c r="T8" s="50">
        <f ca="1">+GETPIVOTDATA("XQT4",'quangthanh (2016)'!$A$3,"MA_HT","LUC","MA_QH","CAN")</f>
        <v>0</v>
      </c>
      <c r="U8" s="50">
        <f ca="1">+GETPIVOTDATA("XQT4",'quangthanh (2016)'!$A$3,"MA_HT","LUC","MA_QH","SKK")</f>
        <v>0</v>
      </c>
      <c r="V8" s="50">
        <f ca="1">+GETPIVOTDATA("XQT4",'quangthanh (2016)'!$A$3,"MA_HT","LUC","MA_QH","SKT")</f>
        <v>0</v>
      </c>
      <c r="W8" s="50">
        <f ca="1">+GETPIVOTDATA("XQT4",'quangthanh (2016)'!$A$3,"MA_HT","LUC","MA_QH","SKN")</f>
        <v>0</v>
      </c>
      <c r="X8" s="50">
        <f ca="1">+GETPIVOTDATA("XQT4",'quangthanh (2016)'!$A$3,"MA_HT","LUC","MA_QH","TMD")</f>
        <v>0</v>
      </c>
      <c r="Y8" s="50">
        <f ca="1">+GETPIVOTDATA("XQT4",'quangthanh (2016)'!$A$3,"MA_HT","LUC","MA_QH","SKC")</f>
        <v>0</v>
      </c>
      <c r="Z8" s="50">
        <f ca="1">+GETPIVOTDATA("XQT4",'quangthanh (2016)'!$A$3,"MA_HT","LUC","MA_QH","SKS")</f>
        <v>0</v>
      </c>
      <c r="AA8" s="52">
        <f ca="1" t="shared" si="4"/>
        <v>0</v>
      </c>
      <c r="AB8" s="50">
        <f ca="1">+GETPIVOTDATA("XQT4",'quangthanh (2016)'!$A$3,"MA_HT","LUC","MA_QH","DGT")</f>
        <v>0</v>
      </c>
      <c r="AC8" s="50">
        <f ca="1">+GETPIVOTDATA("XQT4",'quangthanh (2016)'!$A$3,"MA_HT","LUC","MA_QH","DTL")</f>
        <v>0</v>
      </c>
      <c r="AD8" s="50">
        <f ca="1">+GETPIVOTDATA("XQT4",'quangthanh (2016)'!$A$3,"MA_HT","LUC","MA_QH","DNL")</f>
        <v>0</v>
      </c>
      <c r="AE8" s="50">
        <f ca="1">+GETPIVOTDATA("XQT4",'quangthanh (2016)'!$A$3,"MA_HT","LUC","MA_QH","DBV")</f>
        <v>0</v>
      </c>
      <c r="AF8" s="50">
        <f ca="1">+GETPIVOTDATA("XQT4",'quangthanh (2016)'!$A$3,"MA_HT","LUC","MA_QH","DVH")</f>
        <v>0</v>
      </c>
      <c r="AG8" s="50">
        <f ca="1">+GETPIVOTDATA("XQT4",'quangthanh (2016)'!$A$3,"MA_HT","LUC","MA_QH","DYT")</f>
        <v>0</v>
      </c>
      <c r="AH8" s="50">
        <f ca="1">+GETPIVOTDATA("XQT4",'quangthanh (2016)'!$A$3,"MA_HT","LUC","MA_QH","DGD")</f>
        <v>0</v>
      </c>
      <c r="AI8" s="50">
        <f ca="1">+GETPIVOTDATA("XQT4",'quangthanh (2016)'!$A$3,"MA_HT","LUC","MA_QH","DTT")</f>
        <v>0</v>
      </c>
      <c r="AJ8" s="50">
        <f ca="1">+GETPIVOTDATA("XQT4",'quangthanh (2016)'!$A$3,"MA_HT","LUC","MA_QH","NCK")</f>
        <v>0</v>
      </c>
      <c r="AK8" s="50">
        <f ca="1">+GETPIVOTDATA("XQT4",'quangthanh (2016)'!$A$3,"MA_HT","LUC","MA_QH","DXH")</f>
        <v>0</v>
      </c>
      <c r="AL8" s="50">
        <f ca="1">+GETPIVOTDATA("XQT4",'quangthanh (2016)'!$A$3,"MA_HT","LUC","MA_QH","DCH")</f>
        <v>0</v>
      </c>
      <c r="AM8" s="50">
        <f ca="1">+GETPIVOTDATA("XQT4",'quangthanh (2016)'!$A$3,"MA_HT","LUC","MA_QH","DKG")</f>
        <v>0</v>
      </c>
      <c r="AN8" s="50">
        <f ca="1">+GETPIVOTDATA("XQT4",'quangthanh (2016)'!$A$3,"MA_HT","LUC","MA_QH","DDT")</f>
        <v>0</v>
      </c>
      <c r="AO8" s="50">
        <f ca="1">+GETPIVOTDATA("XQT4",'quangthanh (2016)'!$A$3,"MA_HT","LUC","MA_QH","DDL")</f>
        <v>0</v>
      </c>
      <c r="AP8" s="50">
        <f ca="1">+GETPIVOTDATA("XQT4",'quangthanh (2016)'!$A$3,"MA_HT","LUC","MA_QH","DRA")</f>
        <v>0</v>
      </c>
      <c r="AQ8" s="50">
        <f ca="1">+GETPIVOTDATA("XQT4",'quangthanh (2016)'!$A$3,"MA_HT","LUC","MA_QH","ONT")</f>
        <v>0</v>
      </c>
      <c r="AR8" s="50">
        <f ca="1">+GETPIVOTDATA("XQT4",'quangthanh (2016)'!$A$3,"MA_HT","LUC","MA_QH","ODT")</f>
        <v>0</v>
      </c>
      <c r="AS8" s="50">
        <f ca="1">+GETPIVOTDATA("XQT4",'quangthanh (2016)'!$A$3,"MA_HT","LUC","MA_QH","TSC")</f>
        <v>0</v>
      </c>
      <c r="AT8" s="50">
        <f ca="1">+GETPIVOTDATA("XQT4",'quangthanh (2016)'!$A$3,"MA_HT","LUC","MA_QH","DTS")</f>
        <v>0</v>
      </c>
      <c r="AU8" s="50">
        <f ca="1">+GETPIVOTDATA("XQT4",'quangthanh (2016)'!$A$3,"MA_HT","LUC","MA_QH","DNG")</f>
        <v>0</v>
      </c>
      <c r="AV8" s="50">
        <f ca="1">+GETPIVOTDATA("XQT4",'quangthanh (2016)'!$A$3,"MA_HT","LUC","MA_QH","TON")</f>
        <v>0</v>
      </c>
      <c r="AW8" s="50">
        <f ca="1">+GETPIVOTDATA("XQT4",'quangthanh (2016)'!$A$3,"MA_HT","LUC","MA_QH","NTD")</f>
        <v>0</v>
      </c>
      <c r="AX8" s="50">
        <f ca="1">+GETPIVOTDATA("XQT4",'quangthanh (2016)'!$A$3,"MA_HT","LUC","MA_QH","SKX")</f>
        <v>0</v>
      </c>
      <c r="AY8" s="50">
        <f ca="1">+GETPIVOTDATA("XQT4",'quangthanh (2016)'!$A$3,"MA_HT","LUC","MA_QH","DSH")</f>
        <v>0</v>
      </c>
      <c r="AZ8" s="50">
        <f ca="1">+GETPIVOTDATA("XQT4",'quangthanh (2016)'!$A$3,"MA_HT","LUC","MA_QH","DKV")</f>
        <v>0</v>
      </c>
      <c r="BA8" s="88">
        <f ca="1">+GETPIVOTDATA("XQT4",'quangthanh (2016)'!$A$3,"MA_HT","LUC","MA_QH","TIN")</f>
        <v>0</v>
      </c>
      <c r="BB8" s="50">
        <f ca="1">+GETPIVOTDATA("XQT4",'quangthanh (2016)'!$A$3,"MA_HT","LUC","MA_QH","SON")</f>
        <v>0</v>
      </c>
      <c r="BC8" s="50">
        <f ca="1">+GETPIVOTDATA("XQT4",'quangthanh (2016)'!$A$3,"MA_HT","LUC","MA_QH","MNC")</f>
        <v>0</v>
      </c>
      <c r="BD8" s="50">
        <f ca="1">+GETPIVOTDATA("XQT4",'quangthanh (2016)'!$A$3,"MA_HT","LUC","MA_QH","PNK")</f>
        <v>0</v>
      </c>
      <c r="BE8" s="80">
        <f ca="1">+GETPIVOTDATA("XQT4",'quangthanh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+GETPIVOTDATA("XQT4",'quangthanh (2016)'!$A$3,"MA_HT","LUK","MA_QH","LUC")</f>
        <v>0</v>
      </c>
      <c r="H9" s="49" t="e">
        <f ca="1">$D9-$BF9</f>
        <v>#REF!</v>
      </c>
      <c r="I9" s="50">
        <f ca="1">+GETPIVOTDATA("XQT4",'quangthanh (2016)'!$A$3,"MA_HT","LUK","MA_QH","LUN")</f>
        <v>0</v>
      </c>
      <c r="J9" s="50">
        <f ca="1">+GETPIVOTDATA("XQT4",'quangthanh (2016)'!$A$3,"MA_HT","LUK","MA_QH","HNK")</f>
        <v>0</v>
      </c>
      <c r="K9" s="50">
        <f ca="1">+GETPIVOTDATA("XQT4",'quangthanh (2016)'!$A$3,"MA_HT","LUK","MA_QH","CLN")</f>
        <v>0</v>
      </c>
      <c r="L9" s="50">
        <f ca="1">+GETPIVOTDATA("XQT4",'quangthanh (2016)'!$A$3,"MA_HT","LUK","MA_QH","RSX")</f>
        <v>0</v>
      </c>
      <c r="M9" s="50">
        <f ca="1">+GETPIVOTDATA("XQT4",'quangthanh (2016)'!$A$3,"MA_HT","LUK","MA_QH","RPH")</f>
        <v>0</v>
      </c>
      <c r="N9" s="50">
        <f ca="1">+GETPIVOTDATA("XQT4",'quangthanh (2016)'!$A$3,"MA_HT","LUK","MA_QH","RDD")</f>
        <v>0</v>
      </c>
      <c r="O9" s="50">
        <f ca="1">+GETPIVOTDATA("XQT4",'quangthanh (2016)'!$A$3,"MA_HT","LUK","MA_QH","NTS")</f>
        <v>0</v>
      </c>
      <c r="P9" s="50">
        <f ca="1">+GETPIVOTDATA("XQT4",'quangthanh (2016)'!$A$3,"MA_HT","LUK","MA_QH","LMU")</f>
        <v>0</v>
      </c>
      <c r="Q9" s="50">
        <f ca="1">+GETPIVOTDATA("XQT4",'quangthanh (2016)'!$A$3,"MA_HT","LUK","MA_QH","NKH")</f>
        <v>0</v>
      </c>
      <c r="R9" s="48">
        <f ca="1" t="shared" si="2"/>
        <v>0</v>
      </c>
      <c r="S9" s="50">
        <f ca="1">+GETPIVOTDATA("XQT4",'quangthanh (2016)'!$A$3,"MA_HT","LUK","MA_QH","CQP")</f>
        <v>0</v>
      </c>
      <c r="T9" s="50">
        <f ca="1">+GETPIVOTDATA("XQT4",'quangthanh (2016)'!$A$3,"MA_HT","LUK","MA_QH","CAN")</f>
        <v>0</v>
      </c>
      <c r="U9" s="50">
        <f ca="1">+GETPIVOTDATA("XQT4",'quangthanh (2016)'!$A$3,"MA_HT","LUK","MA_QH","SKK")</f>
        <v>0</v>
      </c>
      <c r="V9" s="50">
        <f ca="1">+GETPIVOTDATA("XQT4",'quangthanh (2016)'!$A$3,"MA_HT","LUK","MA_QH","SKT")</f>
        <v>0</v>
      </c>
      <c r="W9" s="50">
        <f ca="1">+GETPIVOTDATA("XQT4",'quangthanh (2016)'!$A$3,"MA_HT","LUK","MA_QH","SKN")</f>
        <v>0</v>
      </c>
      <c r="X9" s="50">
        <f ca="1">+GETPIVOTDATA("XQT4",'quangthanh (2016)'!$A$3,"MA_HT","LUK","MA_QH","TMD")</f>
        <v>0</v>
      </c>
      <c r="Y9" s="50">
        <f ca="1">+GETPIVOTDATA("XQT4",'quangthanh (2016)'!$A$3,"MA_HT","LUK","MA_QH","SKC")</f>
        <v>0</v>
      </c>
      <c r="Z9" s="50">
        <f ca="1">+GETPIVOTDATA("XQT4",'quangthanh (2016)'!$A$3,"MA_HT","LUK","MA_QH","SKS")</f>
        <v>0</v>
      </c>
      <c r="AA9" s="52">
        <f ca="1" t="shared" si="4"/>
        <v>0</v>
      </c>
      <c r="AB9" s="50">
        <f ca="1">+GETPIVOTDATA("XQT4",'quangthanh (2016)'!$A$3,"MA_HT","LUK","MA_QH","DGT")</f>
        <v>0</v>
      </c>
      <c r="AC9" s="50">
        <f ca="1">+GETPIVOTDATA("XQT4",'quangthanh (2016)'!$A$3,"MA_HT","LUK","MA_QH","DTL")</f>
        <v>0</v>
      </c>
      <c r="AD9" s="50">
        <f ca="1">+GETPIVOTDATA("XQT4",'quangthanh (2016)'!$A$3,"MA_HT","LUK","MA_QH","DNL")</f>
        <v>0</v>
      </c>
      <c r="AE9" s="50">
        <f ca="1">+GETPIVOTDATA("XQT4",'quangthanh (2016)'!$A$3,"MA_HT","LUK","MA_QH","DBV")</f>
        <v>0</v>
      </c>
      <c r="AF9" s="50">
        <f ca="1">+GETPIVOTDATA("XQT4",'quangthanh (2016)'!$A$3,"MA_HT","LUK","MA_QH","DVH")</f>
        <v>0</v>
      </c>
      <c r="AG9" s="50">
        <f ca="1">+GETPIVOTDATA("XQT4",'quangthanh (2016)'!$A$3,"MA_HT","LUK","MA_QH","DYT")</f>
        <v>0</v>
      </c>
      <c r="AH9" s="50">
        <f ca="1">+GETPIVOTDATA("XQT4",'quangthanh (2016)'!$A$3,"MA_HT","LUK","MA_QH","DGD")</f>
        <v>0</v>
      </c>
      <c r="AI9" s="50">
        <f ca="1">+GETPIVOTDATA("XQT4",'quangthanh (2016)'!$A$3,"MA_HT","LUK","MA_QH","DTT")</f>
        <v>0</v>
      </c>
      <c r="AJ9" s="50">
        <f ca="1">+GETPIVOTDATA("XQT4",'quangthanh (2016)'!$A$3,"MA_HT","LUK","MA_QH","NCK")</f>
        <v>0</v>
      </c>
      <c r="AK9" s="50">
        <f ca="1">+GETPIVOTDATA("XQT4",'quangthanh (2016)'!$A$3,"MA_HT","LUK","MA_QH","DXH")</f>
        <v>0</v>
      </c>
      <c r="AL9" s="50">
        <f ca="1">+GETPIVOTDATA("XQT4",'quangthanh (2016)'!$A$3,"MA_HT","LUK","MA_QH","DCH")</f>
        <v>0</v>
      </c>
      <c r="AM9" s="50">
        <f ca="1">+GETPIVOTDATA("XQT4",'quangthanh (2016)'!$A$3,"MA_HT","LUK","MA_QH","DKG")</f>
        <v>0</v>
      </c>
      <c r="AN9" s="50">
        <f ca="1">+GETPIVOTDATA("XQT4",'quangthanh (2016)'!$A$3,"MA_HT","LUK","MA_QH","DDT")</f>
        <v>0</v>
      </c>
      <c r="AO9" s="50">
        <f ca="1">+GETPIVOTDATA("XQT4",'quangthanh (2016)'!$A$3,"MA_HT","LUK","MA_QH","DDL")</f>
        <v>0</v>
      </c>
      <c r="AP9" s="50">
        <f ca="1">+GETPIVOTDATA("XQT4",'quangthanh (2016)'!$A$3,"MA_HT","LUK","MA_QH","DRA")</f>
        <v>0</v>
      </c>
      <c r="AQ9" s="50">
        <f ca="1">+GETPIVOTDATA("XQT4",'quangthanh (2016)'!$A$3,"MA_HT","LUK","MA_QH","ONT")</f>
        <v>0</v>
      </c>
      <c r="AR9" s="50">
        <f ca="1">+GETPIVOTDATA("XQT4",'quangthanh (2016)'!$A$3,"MA_HT","LUK","MA_QH","ODT")</f>
        <v>0</v>
      </c>
      <c r="AS9" s="50">
        <f ca="1">+GETPIVOTDATA("XQT4",'quangthanh (2016)'!$A$3,"MA_HT","LUK","MA_QH","TSC")</f>
        <v>0</v>
      </c>
      <c r="AT9" s="50">
        <f ca="1">+GETPIVOTDATA("XQT4",'quangthanh (2016)'!$A$3,"MA_HT","LUK","MA_QH","DTS")</f>
        <v>0</v>
      </c>
      <c r="AU9" s="50">
        <f ca="1">+GETPIVOTDATA("XQT4",'quangthanh (2016)'!$A$3,"MA_HT","LUK","MA_QH","DNG")</f>
        <v>0</v>
      </c>
      <c r="AV9" s="50">
        <f ca="1">+GETPIVOTDATA("XQT4",'quangthanh (2016)'!$A$3,"MA_HT","LUK","MA_QH","TON")</f>
        <v>0</v>
      </c>
      <c r="AW9" s="50">
        <f ca="1">+GETPIVOTDATA("XQT4",'quangthanh (2016)'!$A$3,"MA_HT","LUK","MA_QH","NTD")</f>
        <v>0</v>
      </c>
      <c r="AX9" s="50">
        <f ca="1">+GETPIVOTDATA("XQT4",'quangthanh (2016)'!$A$3,"MA_HT","LUK","MA_QH","SKX")</f>
        <v>0</v>
      </c>
      <c r="AY9" s="50">
        <f ca="1">+GETPIVOTDATA("XQT4",'quangthanh (2016)'!$A$3,"MA_HT","LUK","MA_QH","DSH")</f>
        <v>0</v>
      </c>
      <c r="AZ9" s="50">
        <f ca="1">+GETPIVOTDATA("XQT4",'quangthanh (2016)'!$A$3,"MA_HT","LUK","MA_QH","DKV")</f>
        <v>0</v>
      </c>
      <c r="BA9" s="88">
        <f ca="1">+GETPIVOTDATA("XQT4",'quangthanh (2016)'!$A$3,"MA_HT","LUK","MA_QH","TIN")</f>
        <v>0</v>
      </c>
      <c r="BB9" s="50">
        <f ca="1">+GETPIVOTDATA("XQT4",'quangthanh (2016)'!$A$3,"MA_HT","LUK","MA_QH","SON")</f>
        <v>0</v>
      </c>
      <c r="BC9" s="50">
        <f ca="1">+GETPIVOTDATA("XQT4",'quangthanh (2016)'!$A$3,"MA_HT","LUK","MA_QH","MNC")</f>
        <v>0</v>
      </c>
      <c r="BD9" s="50">
        <f ca="1">+GETPIVOTDATA("XQT4",'quangthanh (2016)'!$A$3,"MA_HT","LUK","MA_QH","PNK")</f>
        <v>0</v>
      </c>
      <c r="BE9" s="80">
        <f ca="1">+GETPIVOTDATA("XQT4",'quangthanh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+GETPIVOTDATA("XQT4",'quangthanh (2016)'!$A$3,"MA_HT","LUN","MA_QH","LUC")</f>
        <v>0</v>
      </c>
      <c r="H10" s="50">
        <f ca="1">+GETPIVOTDATA("XQT4",'quangthanh (2016)'!$A$3,"MA_HT","LUN","MA_QH","LUK")</f>
        <v>0</v>
      </c>
      <c r="I10" s="49" t="e">
        <f ca="1">$D10-$BF10</f>
        <v>#REF!</v>
      </c>
      <c r="J10" s="50">
        <f ca="1">+GETPIVOTDATA("XQT4",'quangthanh (2016)'!$A$3,"MA_HT","LUN","MA_QH","HNK")</f>
        <v>0</v>
      </c>
      <c r="K10" s="50">
        <f ca="1">+GETPIVOTDATA("XQT4",'quangthanh (2016)'!$A$3,"MA_HT","LUN","MA_QH","CLN")</f>
        <v>0</v>
      </c>
      <c r="L10" s="50">
        <f ca="1">+GETPIVOTDATA("XQT4",'quangthanh (2016)'!$A$3,"MA_HT","LUN","MA_QH","RSX")</f>
        <v>0</v>
      </c>
      <c r="M10" s="50">
        <f ca="1">+GETPIVOTDATA("XQT4",'quangthanh (2016)'!$A$3,"MA_HT","LUN","MA_QH","RPH")</f>
        <v>0</v>
      </c>
      <c r="N10" s="50">
        <f ca="1">+GETPIVOTDATA("XQT4",'quangthanh (2016)'!$A$3,"MA_HT","LUN","MA_QH","RDD")</f>
        <v>0</v>
      </c>
      <c r="O10" s="50">
        <f ca="1">+GETPIVOTDATA("XQT4",'quangthanh (2016)'!$A$3,"MA_HT","LUN","MA_QH","NTS")</f>
        <v>0</v>
      </c>
      <c r="P10" s="50">
        <f ca="1">+GETPIVOTDATA("XQT4",'quangthanh (2016)'!$A$3,"MA_HT","LUN","MA_QH","LMU")</f>
        <v>0</v>
      </c>
      <c r="Q10" s="50">
        <f ca="1">+GETPIVOTDATA("XQT4",'quangthanh (2016)'!$A$3,"MA_HT","LUN","MA_QH","NKH")</f>
        <v>0</v>
      </c>
      <c r="R10" s="48">
        <f ca="1" t="shared" si="2"/>
        <v>0</v>
      </c>
      <c r="S10" s="50">
        <f ca="1">+GETPIVOTDATA("XQT4",'quangthanh (2016)'!$A$3,"MA_HT","LUN","MA_QH","CQP")</f>
        <v>0</v>
      </c>
      <c r="T10" s="50">
        <f ca="1">+GETPIVOTDATA("XQT4",'quangthanh (2016)'!$A$3,"MA_HT","LUN","MA_QH","CAN")</f>
        <v>0</v>
      </c>
      <c r="U10" s="50">
        <f ca="1">+GETPIVOTDATA("XQT4",'quangthanh (2016)'!$A$3,"MA_HT","LUN","MA_QH","SKK")</f>
        <v>0</v>
      </c>
      <c r="V10" s="50">
        <f ca="1">+GETPIVOTDATA("XQT4",'quangthanh (2016)'!$A$3,"MA_HT","LUN","MA_QH","SKT")</f>
        <v>0</v>
      </c>
      <c r="W10" s="50">
        <f ca="1">+GETPIVOTDATA("XQT4",'quangthanh (2016)'!$A$3,"MA_HT","LUN","MA_QH","SKN")</f>
        <v>0</v>
      </c>
      <c r="X10" s="50">
        <f ca="1">+GETPIVOTDATA("XQT4",'quangthanh (2016)'!$A$3,"MA_HT","LUN","MA_QH","TMD")</f>
        <v>0</v>
      </c>
      <c r="Y10" s="50">
        <f ca="1">+GETPIVOTDATA("XQT4",'quangthanh (2016)'!$A$3,"MA_HT","LUN","MA_QH","SKC")</f>
        <v>0</v>
      </c>
      <c r="Z10" s="50">
        <f ca="1">+GETPIVOTDATA("XQT4",'quangthanh (2016)'!$A$3,"MA_HT","LUN","MA_QH","SKS")</f>
        <v>0</v>
      </c>
      <c r="AA10" s="52">
        <f ca="1" t="shared" si="4"/>
        <v>0</v>
      </c>
      <c r="AB10" s="50">
        <f ca="1">+GETPIVOTDATA("XQT4",'quangthanh (2016)'!$A$3,"MA_HT","LUN","MA_QH","DGT")</f>
        <v>0</v>
      </c>
      <c r="AC10" s="50">
        <f ca="1">+GETPIVOTDATA("XQT4",'quangthanh (2016)'!$A$3,"MA_HT","LUN","MA_QH","DTL")</f>
        <v>0</v>
      </c>
      <c r="AD10" s="50">
        <f ca="1">+GETPIVOTDATA("XQT4",'quangthanh (2016)'!$A$3,"MA_HT","LUN","MA_QH","DNL")</f>
        <v>0</v>
      </c>
      <c r="AE10" s="50">
        <f ca="1">+GETPIVOTDATA("XQT4",'quangthanh (2016)'!$A$3,"MA_HT","LUN","MA_QH","DBV")</f>
        <v>0</v>
      </c>
      <c r="AF10" s="50">
        <f ca="1">+GETPIVOTDATA("XQT4",'quangthanh (2016)'!$A$3,"MA_HT","LUN","MA_QH","DVH")</f>
        <v>0</v>
      </c>
      <c r="AG10" s="50">
        <f ca="1">+GETPIVOTDATA("XQT4",'quangthanh (2016)'!$A$3,"MA_HT","LUN","MA_QH","DYT")</f>
        <v>0</v>
      </c>
      <c r="AH10" s="50">
        <f ca="1">+GETPIVOTDATA("XQT4",'quangthanh (2016)'!$A$3,"MA_HT","LUN","MA_QH","DGD")</f>
        <v>0</v>
      </c>
      <c r="AI10" s="50">
        <f ca="1">+GETPIVOTDATA("XQT4",'quangthanh (2016)'!$A$3,"MA_HT","LUN","MA_QH","DTT")</f>
        <v>0</v>
      </c>
      <c r="AJ10" s="50">
        <f ca="1">+GETPIVOTDATA("XQT4",'quangthanh (2016)'!$A$3,"MA_HT","LUN","MA_QH","NCK")</f>
        <v>0</v>
      </c>
      <c r="AK10" s="50">
        <f ca="1">+GETPIVOTDATA("XQT4",'quangthanh (2016)'!$A$3,"MA_HT","LUN","MA_QH","DXH")</f>
        <v>0</v>
      </c>
      <c r="AL10" s="50">
        <f ca="1">+GETPIVOTDATA("XQT4",'quangthanh (2016)'!$A$3,"MA_HT","LUN","MA_QH","DCH")</f>
        <v>0</v>
      </c>
      <c r="AM10" s="50">
        <f ca="1">+GETPIVOTDATA("XQT4",'quangthanh (2016)'!$A$3,"MA_HT","LUN","MA_QH","DKG")</f>
        <v>0</v>
      </c>
      <c r="AN10" s="50">
        <f ca="1">+GETPIVOTDATA("XQT4",'quangthanh (2016)'!$A$3,"MA_HT","LUN","MA_QH","DDT")</f>
        <v>0</v>
      </c>
      <c r="AO10" s="50">
        <f ca="1">+GETPIVOTDATA("XQT4",'quangthanh (2016)'!$A$3,"MA_HT","LUN","MA_QH","DDL")</f>
        <v>0</v>
      </c>
      <c r="AP10" s="50">
        <f ca="1">+GETPIVOTDATA("XQT4",'quangthanh (2016)'!$A$3,"MA_HT","LUN","MA_QH","DRA")</f>
        <v>0</v>
      </c>
      <c r="AQ10" s="50">
        <f ca="1">+GETPIVOTDATA("XQT4",'quangthanh (2016)'!$A$3,"MA_HT","LUN","MA_QH","ONT")</f>
        <v>0</v>
      </c>
      <c r="AR10" s="50">
        <f ca="1">+GETPIVOTDATA("XQT4",'quangthanh (2016)'!$A$3,"MA_HT","LUN","MA_QH","ODT")</f>
        <v>0</v>
      </c>
      <c r="AS10" s="50">
        <f ca="1">+GETPIVOTDATA("XQT4",'quangthanh (2016)'!$A$3,"MA_HT","LUN","MA_QH","TSC")</f>
        <v>0</v>
      </c>
      <c r="AT10" s="50">
        <f ca="1">+GETPIVOTDATA("XQT4",'quangthanh (2016)'!$A$3,"MA_HT","LUN","MA_QH","DTS")</f>
        <v>0</v>
      </c>
      <c r="AU10" s="50">
        <f ca="1">+GETPIVOTDATA("XQT4",'quangthanh (2016)'!$A$3,"MA_HT","LUN","MA_QH","DNG")</f>
        <v>0</v>
      </c>
      <c r="AV10" s="50">
        <f ca="1">+GETPIVOTDATA("XQT4",'quangthanh (2016)'!$A$3,"MA_HT","LUN","MA_QH","TON")</f>
        <v>0</v>
      </c>
      <c r="AW10" s="50">
        <f ca="1">+GETPIVOTDATA("XQT4",'quangthanh (2016)'!$A$3,"MA_HT","LUN","MA_QH","NTD")</f>
        <v>0</v>
      </c>
      <c r="AX10" s="50">
        <f ca="1">+GETPIVOTDATA("XQT4",'quangthanh (2016)'!$A$3,"MA_HT","LUN","MA_QH","SKX")</f>
        <v>0</v>
      </c>
      <c r="AY10" s="50">
        <f ca="1">+GETPIVOTDATA("XQT4",'quangthanh (2016)'!$A$3,"MA_HT","LUN","MA_QH","DSH")</f>
        <v>0</v>
      </c>
      <c r="AZ10" s="50">
        <f ca="1">+GETPIVOTDATA("XQT4",'quangthanh (2016)'!$A$3,"MA_HT","LUN","MA_QH","DKV")</f>
        <v>0</v>
      </c>
      <c r="BA10" s="88">
        <f ca="1">+GETPIVOTDATA("XQT4",'quangthanh (2016)'!$A$3,"MA_HT","LUN","MA_QH","TIN")</f>
        <v>0</v>
      </c>
      <c r="BB10" s="50">
        <f ca="1">+GETPIVOTDATA("XQT4",'quangthanh (2016)'!$A$3,"MA_HT","LUN","MA_QH","SON")</f>
        <v>0</v>
      </c>
      <c r="BC10" s="50">
        <f ca="1">+GETPIVOTDATA("XQT4",'quangthanh (2016)'!$A$3,"MA_HT","LUN","MA_QH","MNC")</f>
        <v>0</v>
      </c>
      <c r="BD10" s="50">
        <f ca="1">+GETPIVOTDATA("XQT4",'quangthanh (2016)'!$A$3,"MA_HT","LUN","MA_QH","PNK")</f>
        <v>0</v>
      </c>
      <c r="BE10" s="80">
        <f ca="1">+GETPIVOTDATA("XQT4",'quangthanh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+GETPIVOTDATA("XQT4",'quangthanh (2016)'!$A$3,"MA_HT","HNK","MA_QH","LUC")</f>
        <v>0</v>
      </c>
      <c r="H11" s="22">
        <f ca="1">+GETPIVOTDATA("XQT4",'quangthanh (2016)'!$A$3,"MA_HT","HNK","MA_QH","LUK")</f>
        <v>0</v>
      </c>
      <c r="I11" s="22">
        <f ca="1">+GETPIVOTDATA("XQT4",'quangthanh (2016)'!$A$3,"MA_HT","HNK","MA_QH","LUN")</f>
        <v>0</v>
      </c>
      <c r="J11" s="43" t="e">
        <f ca="1">$D11-$BF11</f>
        <v>#REF!</v>
      </c>
      <c r="K11" s="22">
        <f ca="1">+GETPIVOTDATA("XQT4",'quangthanh (2016)'!$A$3,"MA_HT","HNK","MA_QH","CLN")</f>
        <v>0</v>
      </c>
      <c r="L11" s="22">
        <f ca="1">+GETPIVOTDATA("XQT4",'quangthanh (2016)'!$A$3,"MA_HT","HNK","MA_QH","RSX")</f>
        <v>0</v>
      </c>
      <c r="M11" s="22">
        <f ca="1">+GETPIVOTDATA("XQT4",'quangthanh (2016)'!$A$3,"MA_HT","HNK","MA_QH","RPH")</f>
        <v>0</v>
      </c>
      <c r="N11" s="22">
        <f ca="1">+GETPIVOTDATA("XQT4",'quangthanh (2016)'!$A$3,"MA_HT","HNK","MA_QH","RDD")</f>
        <v>0</v>
      </c>
      <c r="O11" s="22">
        <f ca="1">+GETPIVOTDATA("XQT4",'quangthanh (2016)'!$A$3,"MA_HT","HNK","MA_QH","NTS")</f>
        <v>0</v>
      </c>
      <c r="P11" s="22">
        <f ca="1">+GETPIVOTDATA("XQT4",'quangthanh (2016)'!$A$3,"MA_HT","HNK","MA_QH","LMU")</f>
        <v>0</v>
      </c>
      <c r="Q11" s="22">
        <f ca="1">+GETPIVOTDATA("XQT4",'quangthanh (2016)'!$A$3,"MA_HT","HNK","MA_QH","NKH")</f>
        <v>0</v>
      </c>
      <c r="R11" s="42">
        <f ca="1" t="shared" si="2"/>
        <v>0</v>
      </c>
      <c r="S11" s="22">
        <f ca="1">+GETPIVOTDATA("XQT4",'quangthanh (2016)'!$A$3,"MA_HT","HNK","MA_QH","CQP")</f>
        <v>0</v>
      </c>
      <c r="T11" s="22">
        <f ca="1">+GETPIVOTDATA("XQT4",'quangthanh (2016)'!$A$3,"MA_HT","HNK","MA_QH","CAN")</f>
        <v>0</v>
      </c>
      <c r="U11" s="22">
        <f ca="1">+GETPIVOTDATA("XQT4",'quangthanh (2016)'!$A$3,"MA_HT","HNK","MA_QH","SKK")</f>
        <v>0</v>
      </c>
      <c r="V11" s="22">
        <f ca="1">+GETPIVOTDATA("XQT4",'quangthanh (2016)'!$A$3,"MA_HT","HNK","MA_QH","SKT")</f>
        <v>0</v>
      </c>
      <c r="W11" s="22">
        <f ca="1">+GETPIVOTDATA("XQT4",'quangthanh (2016)'!$A$3,"MA_HT","HNK","MA_QH","SKN")</f>
        <v>0</v>
      </c>
      <c r="X11" s="22">
        <f ca="1">+GETPIVOTDATA("XQT4",'quangthanh (2016)'!$A$3,"MA_HT","HNK","MA_QH","TMD")</f>
        <v>0</v>
      </c>
      <c r="Y11" s="22">
        <f ca="1">+GETPIVOTDATA("XQT4",'quangthanh (2016)'!$A$3,"MA_HT","HNK","MA_QH","SKC")</f>
        <v>0</v>
      </c>
      <c r="Z11" s="22">
        <f ca="1">+GETPIVOTDATA("XQT4",'quangthanh (2016)'!$A$3,"MA_HT","HNK","MA_QH","SKS")</f>
        <v>0</v>
      </c>
      <c r="AA11" s="52">
        <f ca="1" t="shared" si="4"/>
        <v>0</v>
      </c>
      <c r="AB11" s="22">
        <f ca="1">+GETPIVOTDATA("XQT4",'quangthanh (2016)'!$A$3,"MA_HT","HNK","MA_QH","DGT")</f>
        <v>0</v>
      </c>
      <c r="AC11" s="22">
        <f ca="1">+GETPIVOTDATA("XQT4",'quangthanh (2016)'!$A$3,"MA_HT","HNK","MA_QH","DTL")</f>
        <v>0</v>
      </c>
      <c r="AD11" s="22">
        <f ca="1">+GETPIVOTDATA("XQT4",'quangthanh (2016)'!$A$3,"MA_HT","HNK","MA_QH","DNL")</f>
        <v>0</v>
      </c>
      <c r="AE11" s="22">
        <f ca="1">+GETPIVOTDATA("XQT4",'quangthanh (2016)'!$A$3,"MA_HT","HNK","MA_QH","DBV")</f>
        <v>0</v>
      </c>
      <c r="AF11" s="22">
        <f ca="1">+GETPIVOTDATA("XQT4",'quangthanh (2016)'!$A$3,"MA_HT","HNK","MA_QH","DVH")</f>
        <v>0</v>
      </c>
      <c r="AG11" s="22">
        <f ca="1">+GETPIVOTDATA("XQT4",'quangthanh (2016)'!$A$3,"MA_HT","HNK","MA_QH","DYT")</f>
        <v>0</v>
      </c>
      <c r="AH11" s="22">
        <f ca="1">+GETPIVOTDATA("XQT4",'quangthanh (2016)'!$A$3,"MA_HT","HNK","MA_QH","DGD")</f>
        <v>0</v>
      </c>
      <c r="AI11" s="22">
        <f ca="1">+GETPIVOTDATA("XQT4",'quangthanh (2016)'!$A$3,"MA_HT","HNK","MA_QH","DTT")</f>
        <v>0</v>
      </c>
      <c r="AJ11" s="22">
        <f ca="1">+GETPIVOTDATA("XQT4",'quangthanh (2016)'!$A$3,"MA_HT","HNK","MA_QH","NCK")</f>
        <v>0</v>
      </c>
      <c r="AK11" s="22">
        <f ca="1">+GETPIVOTDATA("XQT4",'quangthanh (2016)'!$A$3,"MA_HT","HNK","MA_QH","DXH")</f>
        <v>0</v>
      </c>
      <c r="AL11" s="22">
        <f ca="1">+GETPIVOTDATA("XQT4",'quangthanh (2016)'!$A$3,"MA_HT","HNK","MA_QH","DCH")</f>
        <v>0</v>
      </c>
      <c r="AM11" s="22">
        <f ca="1">+GETPIVOTDATA("XQT4",'quangthanh (2016)'!$A$3,"MA_HT","HNK","MA_QH","DKG")</f>
        <v>0</v>
      </c>
      <c r="AN11" s="22">
        <f ca="1">+GETPIVOTDATA("XQT4",'quangthanh (2016)'!$A$3,"MA_HT","HNK","MA_QH","DDT")</f>
        <v>0</v>
      </c>
      <c r="AO11" s="22">
        <f ca="1">+GETPIVOTDATA("XQT4",'quangthanh (2016)'!$A$3,"MA_HT","HNK","MA_QH","DDL")</f>
        <v>0</v>
      </c>
      <c r="AP11" s="22">
        <f ca="1">+GETPIVOTDATA("XQT4",'quangthanh (2016)'!$A$3,"MA_HT","HNK","MA_QH","DRA")</f>
        <v>0</v>
      </c>
      <c r="AQ11" s="22">
        <f ca="1">+GETPIVOTDATA("XQT4",'quangthanh (2016)'!$A$3,"MA_HT","HNK","MA_QH","ONT")</f>
        <v>0</v>
      </c>
      <c r="AR11" s="22">
        <f ca="1">+GETPIVOTDATA("XQT4",'quangthanh (2016)'!$A$3,"MA_HT","HNK","MA_QH","ODT")</f>
        <v>0</v>
      </c>
      <c r="AS11" s="22">
        <f ca="1">+GETPIVOTDATA("XQT4",'quangthanh (2016)'!$A$3,"MA_HT","HNK","MA_QH","TSC")</f>
        <v>0</v>
      </c>
      <c r="AT11" s="22">
        <f ca="1">+GETPIVOTDATA("XQT4",'quangthanh (2016)'!$A$3,"MA_HT","HNK","MA_QH","DTS")</f>
        <v>0</v>
      </c>
      <c r="AU11" s="22">
        <f ca="1">+GETPIVOTDATA("XQT4",'quangthanh (2016)'!$A$3,"MA_HT","HNK","MA_QH","DNG")</f>
        <v>0</v>
      </c>
      <c r="AV11" s="22">
        <f ca="1">+GETPIVOTDATA("XQT4",'quangthanh (2016)'!$A$3,"MA_HT","HNK","MA_QH","TON")</f>
        <v>0</v>
      </c>
      <c r="AW11" s="22">
        <f ca="1">+GETPIVOTDATA("XQT4",'quangthanh (2016)'!$A$3,"MA_HT","HNK","MA_QH","NTD")</f>
        <v>0</v>
      </c>
      <c r="AX11" s="22">
        <f ca="1">+GETPIVOTDATA("XQT4",'quangthanh (2016)'!$A$3,"MA_HT","HNK","MA_QH","SKX")</f>
        <v>0</v>
      </c>
      <c r="AY11" s="22">
        <f ca="1">+GETPIVOTDATA("XQT4",'quangthanh (2016)'!$A$3,"MA_HT","HNK","MA_QH","DSH")</f>
        <v>0</v>
      </c>
      <c r="AZ11" s="22">
        <f ca="1">+GETPIVOTDATA("XQT4",'quangthanh (2016)'!$A$3,"MA_HT","HNK","MA_QH","DKV")</f>
        <v>0</v>
      </c>
      <c r="BA11" s="89">
        <f ca="1">+GETPIVOTDATA("XQT4",'quangthanh (2016)'!$A$3,"MA_HT","HNK","MA_QH","TIN")</f>
        <v>0</v>
      </c>
      <c r="BB11" s="50">
        <f ca="1">+GETPIVOTDATA("XQT4",'quangthanh (2016)'!$A$3,"MA_HT","HNK","MA_QH","SON")</f>
        <v>0</v>
      </c>
      <c r="BC11" s="50">
        <f ca="1">+GETPIVOTDATA("XQT4",'quangthanh (2016)'!$A$3,"MA_HT","HNK","MA_QH","MNC")</f>
        <v>0</v>
      </c>
      <c r="BD11" s="22">
        <f ca="1">+GETPIVOTDATA("XQT4",'quangthanh (2016)'!$A$3,"MA_HT","HNK","MA_QH","PNK")</f>
        <v>0</v>
      </c>
      <c r="BE11" s="71">
        <f ca="1">+GETPIVOTDATA("XQT4",'quangthanh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+GETPIVOTDATA("XQT4",'quangthanh (2016)'!$A$3,"MA_HT","CLN","MA_QH","LUC")</f>
        <v>0</v>
      </c>
      <c r="H12" s="22">
        <f ca="1">+GETPIVOTDATA("XQT4",'quangthanh (2016)'!$A$3,"MA_HT","CLN","MA_QH","LUK")</f>
        <v>0</v>
      </c>
      <c r="I12" s="22">
        <f ca="1">+GETPIVOTDATA("XQT4",'quangthanh (2016)'!$A$3,"MA_HT","CLN","MA_QH","LUN")</f>
        <v>0</v>
      </c>
      <c r="J12" s="22">
        <f ca="1">+GETPIVOTDATA("XQT4",'quangthanh (2016)'!$A$3,"MA_HT","CLN","MA_QH","HNK")</f>
        <v>0</v>
      </c>
      <c r="K12" s="43" t="e">
        <f ca="1">$D12-$BF12</f>
        <v>#REF!</v>
      </c>
      <c r="L12" s="22">
        <f ca="1">+GETPIVOTDATA("XQT4",'quangthanh (2016)'!$A$3,"MA_HT","CLN","MA_QH","RSX")</f>
        <v>0</v>
      </c>
      <c r="M12" s="22">
        <f ca="1">+GETPIVOTDATA("XQT4",'quangthanh (2016)'!$A$3,"MA_HT","CLN","MA_QH","RPH")</f>
        <v>0</v>
      </c>
      <c r="N12" s="22">
        <f ca="1">+GETPIVOTDATA("XQT4",'quangthanh (2016)'!$A$3,"MA_HT","CLN","MA_QH","RDD")</f>
        <v>0</v>
      </c>
      <c r="O12" s="22">
        <f ca="1">+GETPIVOTDATA("XQT4",'quangthanh (2016)'!$A$3,"MA_HT","CLN","MA_QH","NTS")</f>
        <v>0</v>
      </c>
      <c r="P12" s="22">
        <f ca="1">+GETPIVOTDATA("XQT4",'quangthanh (2016)'!$A$3,"MA_HT","CLN","MA_QH","LMU")</f>
        <v>0</v>
      </c>
      <c r="Q12" s="22">
        <f ca="1">+GETPIVOTDATA("XQT4",'quangthanh (2016)'!$A$3,"MA_HT","CLN","MA_QH","NKH")</f>
        <v>0</v>
      </c>
      <c r="R12" s="42">
        <f ca="1" t="shared" si="2"/>
        <v>0</v>
      </c>
      <c r="S12" s="22">
        <f ca="1">+GETPIVOTDATA("XQT4",'quangthanh (2016)'!$A$3,"MA_HT","CLN","MA_QH","CQP")</f>
        <v>0</v>
      </c>
      <c r="T12" s="22">
        <f ca="1">+GETPIVOTDATA("XQT4",'quangthanh (2016)'!$A$3,"MA_HT","CLN","MA_QH","CAN")</f>
        <v>0</v>
      </c>
      <c r="U12" s="22">
        <f ca="1">+GETPIVOTDATA("XQT4",'quangthanh (2016)'!$A$3,"MA_HT","CLN","MA_QH","SKK")</f>
        <v>0</v>
      </c>
      <c r="V12" s="22">
        <f ca="1">+GETPIVOTDATA("XQT4",'quangthanh (2016)'!$A$3,"MA_HT","CLN","MA_QH","SKT")</f>
        <v>0</v>
      </c>
      <c r="W12" s="22">
        <f ca="1">+GETPIVOTDATA("XQT4",'quangthanh (2016)'!$A$3,"MA_HT","CLN","MA_QH","SKN")</f>
        <v>0</v>
      </c>
      <c r="X12" s="22">
        <f ca="1">+GETPIVOTDATA("XQT4",'quangthanh (2016)'!$A$3,"MA_HT","CLN","MA_QH","TMD")</f>
        <v>0</v>
      </c>
      <c r="Y12" s="22">
        <f ca="1">+GETPIVOTDATA("XQT4",'quangthanh (2016)'!$A$3,"MA_HT","CLN","MA_QH","SKC")</f>
        <v>0</v>
      </c>
      <c r="Z12" s="22">
        <f ca="1">+GETPIVOTDATA("XQT4",'quangthanh (2016)'!$A$3,"MA_HT","CLN","MA_QH","SKS")</f>
        <v>0</v>
      </c>
      <c r="AA12" s="52">
        <f ca="1" t="shared" si="4"/>
        <v>0</v>
      </c>
      <c r="AB12" s="22">
        <f ca="1">+GETPIVOTDATA("XQT4",'quangthanh (2016)'!$A$3,"MA_HT","CLN","MA_QH","DGT")</f>
        <v>0</v>
      </c>
      <c r="AC12" s="22">
        <f ca="1">+GETPIVOTDATA("XQT4",'quangthanh (2016)'!$A$3,"MA_HT","CLN","MA_QH","DTL")</f>
        <v>0</v>
      </c>
      <c r="AD12" s="22">
        <f ca="1">+GETPIVOTDATA("XQT4",'quangthanh (2016)'!$A$3,"MA_HT","CLN","MA_QH","DNL")</f>
        <v>0</v>
      </c>
      <c r="AE12" s="22">
        <f ca="1">+GETPIVOTDATA("XQT4",'quangthanh (2016)'!$A$3,"MA_HT","CLN","MA_QH","DBV")</f>
        <v>0</v>
      </c>
      <c r="AF12" s="22">
        <f ca="1">+GETPIVOTDATA("XQT4",'quangthanh (2016)'!$A$3,"MA_HT","CLN","MA_QH","DVH")</f>
        <v>0</v>
      </c>
      <c r="AG12" s="22">
        <f ca="1">+GETPIVOTDATA("XQT4",'quangthanh (2016)'!$A$3,"MA_HT","CLN","MA_QH","DYT")</f>
        <v>0</v>
      </c>
      <c r="AH12" s="22">
        <f ca="1">+GETPIVOTDATA("XQT4",'quangthanh (2016)'!$A$3,"MA_HT","CLN","MA_QH","DGD")</f>
        <v>0</v>
      </c>
      <c r="AI12" s="22">
        <f ca="1">+GETPIVOTDATA("XQT4",'quangthanh (2016)'!$A$3,"MA_HT","CLN","MA_QH","DTT")</f>
        <v>0</v>
      </c>
      <c r="AJ12" s="22">
        <f ca="1">+GETPIVOTDATA("XQT4",'quangthanh (2016)'!$A$3,"MA_HT","CLN","MA_QH","NCK")</f>
        <v>0</v>
      </c>
      <c r="AK12" s="22">
        <f ca="1">+GETPIVOTDATA("XQT4",'quangthanh (2016)'!$A$3,"MA_HT","CLN","MA_QH","DXH")</f>
        <v>0</v>
      </c>
      <c r="AL12" s="22">
        <f ca="1">+GETPIVOTDATA("XQT4",'quangthanh (2016)'!$A$3,"MA_HT","CLN","MA_QH","DCH")</f>
        <v>0</v>
      </c>
      <c r="AM12" s="22">
        <f ca="1">+GETPIVOTDATA("XQT4",'quangthanh (2016)'!$A$3,"MA_HT","CLN","MA_QH","DKG")</f>
        <v>0</v>
      </c>
      <c r="AN12" s="22">
        <f ca="1">+GETPIVOTDATA("XQT4",'quangthanh (2016)'!$A$3,"MA_HT","CLN","MA_QH","DDT")</f>
        <v>0</v>
      </c>
      <c r="AO12" s="22">
        <f ca="1">+GETPIVOTDATA("XQT4",'quangthanh (2016)'!$A$3,"MA_HT","CLN","MA_QH","DDL")</f>
        <v>0</v>
      </c>
      <c r="AP12" s="22">
        <f ca="1">+GETPIVOTDATA("XQT4",'quangthanh (2016)'!$A$3,"MA_HT","CLN","MA_QH","DRA")</f>
        <v>0</v>
      </c>
      <c r="AQ12" s="22">
        <f ca="1">+GETPIVOTDATA("XQT4",'quangthanh (2016)'!$A$3,"MA_HT","CLN","MA_QH","ONT")</f>
        <v>0</v>
      </c>
      <c r="AR12" s="22">
        <f ca="1">+GETPIVOTDATA("XQT4",'quangthanh (2016)'!$A$3,"MA_HT","CLN","MA_QH","ODT")</f>
        <v>0</v>
      </c>
      <c r="AS12" s="22">
        <f ca="1">+GETPIVOTDATA("XQT4",'quangthanh (2016)'!$A$3,"MA_HT","CLN","MA_QH","TSC")</f>
        <v>0</v>
      </c>
      <c r="AT12" s="22">
        <f ca="1">+GETPIVOTDATA("XQT4",'quangthanh (2016)'!$A$3,"MA_HT","CLN","MA_QH","DTS")</f>
        <v>0</v>
      </c>
      <c r="AU12" s="22">
        <f ca="1">+GETPIVOTDATA("XQT4",'quangthanh (2016)'!$A$3,"MA_HT","CLN","MA_QH","DNG")</f>
        <v>0</v>
      </c>
      <c r="AV12" s="22">
        <f ca="1">+GETPIVOTDATA("XQT4",'quangthanh (2016)'!$A$3,"MA_HT","CLN","MA_QH","TON")</f>
        <v>0</v>
      </c>
      <c r="AW12" s="22">
        <f ca="1">+GETPIVOTDATA("XQT4",'quangthanh (2016)'!$A$3,"MA_HT","CLN","MA_QH","NTD")</f>
        <v>0</v>
      </c>
      <c r="AX12" s="22">
        <f ca="1">+GETPIVOTDATA("XQT4",'quangthanh (2016)'!$A$3,"MA_HT","CLN","MA_QH","SKX")</f>
        <v>0</v>
      </c>
      <c r="AY12" s="22">
        <f ca="1">+GETPIVOTDATA("XQT4",'quangthanh (2016)'!$A$3,"MA_HT","CLN","MA_QH","DSH")</f>
        <v>0</v>
      </c>
      <c r="AZ12" s="22">
        <f ca="1">+GETPIVOTDATA("XQT4",'quangthanh (2016)'!$A$3,"MA_HT","CLN","MA_QH","DKV")</f>
        <v>0</v>
      </c>
      <c r="BA12" s="89">
        <f ca="1">+GETPIVOTDATA("XQT4",'quangthanh (2016)'!$A$3,"MA_HT","CLN","MA_QH","TIN")</f>
        <v>0</v>
      </c>
      <c r="BB12" s="50">
        <f ca="1">+GETPIVOTDATA("XQT4",'quangthanh (2016)'!$A$3,"MA_HT","CLN","MA_QH","SON")</f>
        <v>0</v>
      </c>
      <c r="BC12" s="50">
        <f ca="1">+GETPIVOTDATA("XQT4",'quangthanh (2016)'!$A$3,"MA_HT","CLN","MA_QH","MNC")</f>
        <v>0</v>
      </c>
      <c r="BD12" s="22">
        <f ca="1">+GETPIVOTDATA("XQT4",'quangthanh (2016)'!$A$3,"MA_HT","CLN","MA_QH","PNK")</f>
        <v>0</v>
      </c>
      <c r="BE12" s="71">
        <f ca="1">+GETPIVOTDATA("XQT4",'quangthanh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+GETPIVOTDATA("XQT4",'quangthanh (2016)'!$A$3,"MA_HT","RSX","MA_QH","LUC")</f>
        <v>0</v>
      </c>
      <c r="H13" s="22">
        <f ca="1">+GETPIVOTDATA("XQT4",'quangthanh (2016)'!$A$3,"MA_HT","RSX","MA_QH","LUK")</f>
        <v>0</v>
      </c>
      <c r="I13" s="22">
        <f ca="1">+GETPIVOTDATA("XQT4",'quangthanh (2016)'!$A$3,"MA_HT","RSX","MA_QH","LUN")</f>
        <v>0</v>
      </c>
      <c r="J13" s="22">
        <f ca="1">+GETPIVOTDATA("XQT4",'quangthanh (2016)'!$A$3,"MA_HT","RSX","MA_QH","HNK")</f>
        <v>0</v>
      </c>
      <c r="K13" s="22">
        <f ca="1">+GETPIVOTDATA("XQT4",'quangthanh (2016)'!$A$3,"MA_HT","RSX","MA_QH","CLN")</f>
        <v>0</v>
      </c>
      <c r="L13" s="43" t="e">
        <f ca="1">$D13-$BF13</f>
        <v>#REF!</v>
      </c>
      <c r="M13" s="22">
        <f ca="1">+GETPIVOTDATA("XQT4",'quangthanh (2016)'!$A$3,"MA_HT","RSX","MA_QH","RPH")</f>
        <v>0</v>
      </c>
      <c r="N13" s="22">
        <f ca="1">+GETPIVOTDATA("XQT4",'quangthanh (2016)'!$A$3,"MA_HT","RSX","MA_QH","RDD")</f>
        <v>0</v>
      </c>
      <c r="O13" s="22">
        <f ca="1">+GETPIVOTDATA("XQT4",'quangthanh (2016)'!$A$3,"MA_HT","RSX","MA_QH","NTS")</f>
        <v>0</v>
      </c>
      <c r="P13" s="22">
        <f ca="1">+GETPIVOTDATA("XQT4",'quangthanh (2016)'!$A$3,"MA_HT","RSX","MA_QH","LMU")</f>
        <v>0</v>
      </c>
      <c r="Q13" s="22">
        <f ca="1">+GETPIVOTDATA("XQT4",'quangthanh (2016)'!$A$3,"MA_HT","RSX","MA_QH","NKH")</f>
        <v>0</v>
      </c>
      <c r="R13" s="42">
        <f ca="1" t="shared" si="2"/>
        <v>0</v>
      </c>
      <c r="S13" s="22">
        <f ca="1">+GETPIVOTDATA("XQT4",'quangthanh (2016)'!$A$3,"MA_HT","RSX","MA_QH","CQP")</f>
        <v>0</v>
      </c>
      <c r="T13" s="22">
        <f ca="1">+GETPIVOTDATA("XQT4",'quangthanh (2016)'!$A$3,"MA_HT","RSX","MA_QH","CAN")</f>
        <v>0</v>
      </c>
      <c r="U13" s="22">
        <f ca="1">+GETPIVOTDATA("XQT4",'quangthanh (2016)'!$A$3,"MA_HT","RSX","MA_QH","SKK")</f>
        <v>0</v>
      </c>
      <c r="V13" s="22">
        <f ca="1">+GETPIVOTDATA("XQT4",'quangthanh (2016)'!$A$3,"MA_HT","RSX","MA_QH","SKT")</f>
        <v>0</v>
      </c>
      <c r="W13" s="22">
        <f ca="1">+GETPIVOTDATA("XQT4",'quangthanh (2016)'!$A$3,"MA_HT","RSX","MA_QH","SKN")</f>
        <v>0</v>
      </c>
      <c r="X13" s="22">
        <f ca="1">+GETPIVOTDATA("XQT4",'quangthanh (2016)'!$A$3,"MA_HT","RSX","MA_QH","TMD")</f>
        <v>0</v>
      </c>
      <c r="Y13" s="22">
        <f ca="1">+GETPIVOTDATA("XQT4",'quangthanh (2016)'!$A$3,"MA_HT","RSX","MA_QH","SKC")</f>
        <v>0</v>
      </c>
      <c r="Z13" s="22">
        <f ca="1">+GETPIVOTDATA("XQT4",'quangthanh (2016)'!$A$3,"MA_HT","RSX","MA_QH","SKS")</f>
        <v>0</v>
      </c>
      <c r="AA13" s="52">
        <f ca="1" t="shared" si="4"/>
        <v>0</v>
      </c>
      <c r="AB13" s="22">
        <f ca="1">+GETPIVOTDATA("XQT4",'quangthanh (2016)'!$A$3,"MA_HT","RSX","MA_QH","DGT")</f>
        <v>0</v>
      </c>
      <c r="AC13" s="22">
        <f ca="1">+GETPIVOTDATA("XQT4",'quangthanh (2016)'!$A$3,"MA_HT","RSX","MA_QH","DTL")</f>
        <v>0</v>
      </c>
      <c r="AD13" s="22">
        <f ca="1">+GETPIVOTDATA("XQT4",'quangthanh (2016)'!$A$3,"MA_HT","RSX","MA_QH","DNL")</f>
        <v>0</v>
      </c>
      <c r="AE13" s="22">
        <f ca="1">+GETPIVOTDATA("XQT4",'quangthanh (2016)'!$A$3,"MA_HT","RSX","MA_QH","DBV")</f>
        <v>0</v>
      </c>
      <c r="AF13" s="22">
        <f ca="1">+GETPIVOTDATA("XQT4",'quangthanh (2016)'!$A$3,"MA_HT","RSX","MA_QH","DVH")</f>
        <v>0</v>
      </c>
      <c r="AG13" s="22">
        <f ca="1">+GETPIVOTDATA("XQT4",'quangthanh (2016)'!$A$3,"MA_HT","RSX","MA_QH","DYT")</f>
        <v>0</v>
      </c>
      <c r="AH13" s="22">
        <f ca="1">+GETPIVOTDATA("XQT4",'quangthanh (2016)'!$A$3,"MA_HT","RSX","MA_QH","DGD")</f>
        <v>0</v>
      </c>
      <c r="AI13" s="22">
        <f ca="1">+GETPIVOTDATA("XQT4",'quangthanh (2016)'!$A$3,"MA_HT","RSX","MA_QH","DTT")</f>
        <v>0</v>
      </c>
      <c r="AJ13" s="22">
        <f ca="1">+GETPIVOTDATA("XQT4",'quangthanh (2016)'!$A$3,"MA_HT","RSX","MA_QH","NCK")</f>
        <v>0</v>
      </c>
      <c r="AK13" s="22">
        <f ca="1">+GETPIVOTDATA("XQT4",'quangthanh (2016)'!$A$3,"MA_HT","RSX","MA_QH","DXH")</f>
        <v>0</v>
      </c>
      <c r="AL13" s="22">
        <f ca="1">+GETPIVOTDATA("XQT4",'quangthanh (2016)'!$A$3,"MA_HT","RSX","MA_QH","DCH")</f>
        <v>0</v>
      </c>
      <c r="AM13" s="22">
        <f ca="1">+GETPIVOTDATA("XQT4",'quangthanh (2016)'!$A$3,"MA_HT","RSX","MA_QH","DKG")</f>
        <v>0</v>
      </c>
      <c r="AN13" s="22">
        <f ca="1">+GETPIVOTDATA("XQT4",'quangthanh (2016)'!$A$3,"MA_HT","RSX","MA_QH","DDT")</f>
        <v>0</v>
      </c>
      <c r="AO13" s="22">
        <f ca="1">+GETPIVOTDATA("XQT4",'quangthanh (2016)'!$A$3,"MA_HT","RSX","MA_QH","DDL")</f>
        <v>0</v>
      </c>
      <c r="AP13" s="22">
        <f ca="1">+GETPIVOTDATA("XQT4",'quangthanh (2016)'!$A$3,"MA_HT","RSX","MA_QH","DRA")</f>
        <v>0</v>
      </c>
      <c r="AQ13" s="22">
        <f ca="1">+GETPIVOTDATA("XQT4",'quangthanh (2016)'!$A$3,"MA_HT","RSX","MA_QH","ONT")</f>
        <v>0</v>
      </c>
      <c r="AR13" s="22">
        <f ca="1">+GETPIVOTDATA("XQT4",'quangthanh (2016)'!$A$3,"MA_HT","RSX","MA_QH","ODT")</f>
        <v>0</v>
      </c>
      <c r="AS13" s="22">
        <f ca="1">+GETPIVOTDATA("XQT4",'quangthanh (2016)'!$A$3,"MA_HT","RSX","MA_QH","TSC")</f>
        <v>0</v>
      </c>
      <c r="AT13" s="22">
        <f ca="1">+GETPIVOTDATA("XQT4",'quangthanh (2016)'!$A$3,"MA_HT","RSX","MA_QH","DTS")</f>
        <v>0</v>
      </c>
      <c r="AU13" s="22">
        <f ca="1">+GETPIVOTDATA("XQT4",'quangthanh (2016)'!$A$3,"MA_HT","RSX","MA_QH","DNG")</f>
        <v>0</v>
      </c>
      <c r="AV13" s="22">
        <f ca="1">+GETPIVOTDATA("XQT4",'quangthanh (2016)'!$A$3,"MA_HT","RSX","MA_QH","TON")</f>
        <v>0</v>
      </c>
      <c r="AW13" s="22">
        <f ca="1">+GETPIVOTDATA("XQT4",'quangthanh (2016)'!$A$3,"MA_HT","RSX","MA_QH","NTD")</f>
        <v>0</v>
      </c>
      <c r="AX13" s="22">
        <f ca="1">+GETPIVOTDATA("XQT4",'quangthanh (2016)'!$A$3,"MA_HT","RSX","MA_QH","SKX")</f>
        <v>0</v>
      </c>
      <c r="AY13" s="22">
        <f ca="1">+GETPIVOTDATA("XQT4",'quangthanh (2016)'!$A$3,"MA_HT","RSX","MA_QH","DSH")</f>
        <v>0</v>
      </c>
      <c r="AZ13" s="22">
        <f ca="1">+GETPIVOTDATA("XQT4",'quangthanh (2016)'!$A$3,"MA_HT","RSX","MA_QH","DKV")</f>
        <v>0</v>
      </c>
      <c r="BA13" s="89">
        <f ca="1">+GETPIVOTDATA("XQT4",'quangthanh (2016)'!$A$3,"MA_HT","RSX","MA_QH","TIN")</f>
        <v>0</v>
      </c>
      <c r="BB13" s="50">
        <f ca="1">+GETPIVOTDATA("XQT4",'quangthanh (2016)'!$A$3,"MA_HT","RSX","MA_QH","SON")</f>
        <v>0</v>
      </c>
      <c r="BC13" s="50">
        <f ca="1">+GETPIVOTDATA("XQT4",'quangthanh (2016)'!$A$3,"MA_HT","RSX","MA_QH","MNC")</f>
        <v>0</v>
      </c>
      <c r="BD13" s="22">
        <f ca="1">+GETPIVOTDATA("XQT4",'quangthanh (2016)'!$A$3,"MA_HT","RSX","MA_QH","PNK")</f>
        <v>0</v>
      </c>
      <c r="BE13" s="71">
        <f ca="1">+GETPIVOTDATA("XQT4",'quangthanh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+GETPIVOTDATA("XQT4",'quangthanh (2016)'!$A$3,"MA_HT","RPH","MA_QH","LUC")</f>
        <v>0</v>
      </c>
      <c r="H14" s="22">
        <f ca="1">+GETPIVOTDATA("XQT4",'quangthanh (2016)'!$A$3,"MA_HT","RPH","MA_QH","LUK")</f>
        <v>0</v>
      </c>
      <c r="I14" s="22">
        <f ca="1">+GETPIVOTDATA("XQT4",'quangthanh (2016)'!$A$3,"MA_HT","RPH","MA_QH","LUN")</f>
        <v>0</v>
      </c>
      <c r="J14" s="22">
        <f ca="1">+GETPIVOTDATA("XQT4",'quangthanh (2016)'!$A$3,"MA_HT","RPH","MA_QH","HNK")</f>
        <v>0</v>
      </c>
      <c r="K14" s="22">
        <f ca="1">+GETPIVOTDATA("XQT4",'quangthanh (2016)'!$A$3,"MA_HT","RPH","MA_QH","CLN")</f>
        <v>0</v>
      </c>
      <c r="L14" s="22">
        <f ca="1">+GETPIVOTDATA("XQT4",'quangthanh (2016)'!$A$3,"MA_HT","RPH","MA_QH","RSX")</f>
        <v>0</v>
      </c>
      <c r="M14" s="43" t="e">
        <f ca="1">$D14-$BF14</f>
        <v>#REF!</v>
      </c>
      <c r="N14" s="22">
        <f ca="1">+GETPIVOTDATA("XQT4",'quangthanh (2016)'!$A$3,"MA_HT","RPH","MA_QH","RDD")</f>
        <v>0</v>
      </c>
      <c r="O14" s="22">
        <f ca="1">+GETPIVOTDATA("XQT4",'quangthanh (2016)'!$A$3,"MA_HT","RPH","MA_QH","NTS")</f>
        <v>0</v>
      </c>
      <c r="P14" s="22">
        <f ca="1">+GETPIVOTDATA("XQT4",'quangthanh (2016)'!$A$3,"MA_HT","RPH","MA_QH","LMU")</f>
        <v>0</v>
      </c>
      <c r="Q14" s="22">
        <f ca="1">+GETPIVOTDATA("XQT4",'quangthanh (2016)'!$A$3,"MA_HT","RPH","MA_QH","NKH")</f>
        <v>0</v>
      </c>
      <c r="R14" s="42">
        <f ca="1" t="shared" si="2"/>
        <v>0</v>
      </c>
      <c r="S14" s="22">
        <f ca="1">+GETPIVOTDATA("XQT4",'quangthanh (2016)'!$A$3,"MA_HT","RPH","MA_QH","CQP")</f>
        <v>0</v>
      </c>
      <c r="T14" s="22">
        <f ca="1">+GETPIVOTDATA("XQT4",'quangthanh (2016)'!$A$3,"MA_HT","RPH","MA_QH","CAN")</f>
        <v>0</v>
      </c>
      <c r="U14" s="22">
        <f ca="1">+GETPIVOTDATA("XQT4",'quangthanh (2016)'!$A$3,"MA_HT","RPH","MA_QH","SKK")</f>
        <v>0</v>
      </c>
      <c r="V14" s="22">
        <f ca="1">+GETPIVOTDATA("XQT4",'quangthanh (2016)'!$A$3,"MA_HT","RPH","MA_QH","SKT")</f>
        <v>0</v>
      </c>
      <c r="W14" s="22">
        <f ca="1">+GETPIVOTDATA("XQT4",'quangthanh (2016)'!$A$3,"MA_HT","RPH","MA_QH","SKN")</f>
        <v>0</v>
      </c>
      <c r="X14" s="22">
        <f ca="1">+GETPIVOTDATA("XQT4",'quangthanh (2016)'!$A$3,"MA_HT","RPH","MA_QH","TMD")</f>
        <v>0</v>
      </c>
      <c r="Y14" s="22">
        <f ca="1">+GETPIVOTDATA("XQT4",'quangthanh (2016)'!$A$3,"MA_HT","RPH","MA_QH","SKC")</f>
        <v>0</v>
      </c>
      <c r="Z14" s="22">
        <f ca="1">+GETPIVOTDATA("XQT4",'quangthanh (2016)'!$A$3,"MA_HT","RPH","MA_QH","SKS")</f>
        <v>0</v>
      </c>
      <c r="AA14" s="52">
        <f ca="1" t="shared" si="4"/>
        <v>0</v>
      </c>
      <c r="AB14" s="22">
        <f ca="1">+GETPIVOTDATA("XQT4",'quangthanh (2016)'!$A$3,"MA_HT","RPH","MA_QH","DGT")</f>
        <v>0</v>
      </c>
      <c r="AC14" s="22">
        <f ca="1">+GETPIVOTDATA("XQT4",'quangthanh (2016)'!$A$3,"MA_HT","RPH","MA_QH","DTL")</f>
        <v>0</v>
      </c>
      <c r="AD14" s="22">
        <f ca="1">+GETPIVOTDATA("XQT4",'quangthanh (2016)'!$A$3,"MA_HT","RPH","MA_QH","DNL")</f>
        <v>0</v>
      </c>
      <c r="AE14" s="22">
        <f ca="1">+GETPIVOTDATA("XQT4",'quangthanh (2016)'!$A$3,"MA_HT","RPH","MA_QH","DBV")</f>
        <v>0</v>
      </c>
      <c r="AF14" s="22">
        <f ca="1">+GETPIVOTDATA("XQT4",'quangthanh (2016)'!$A$3,"MA_HT","RPH","MA_QH","DVH")</f>
        <v>0</v>
      </c>
      <c r="AG14" s="22">
        <f ca="1">+GETPIVOTDATA("XQT4",'quangthanh (2016)'!$A$3,"MA_HT","RPH","MA_QH","DYT")</f>
        <v>0</v>
      </c>
      <c r="AH14" s="22">
        <f ca="1">+GETPIVOTDATA("XQT4",'quangthanh (2016)'!$A$3,"MA_HT","RPH","MA_QH","DGD")</f>
        <v>0</v>
      </c>
      <c r="AI14" s="22">
        <f ca="1">+GETPIVOTDATA("XQT4",'quangthanh (2016)'!$A$3,"MA_HT","RPH","MA_QH","DTT")</f>
        <v>0</v>
      </c>
      <c r="AJ14" s="22">
        <f ca="1">+GETPIVOTDATA("XQT4",'quangthanh (2016)'!$A$3,"MA_HT","RPH","MA_QH","NCK")</f>
        <v>0</v>
      </c>
      <c r="AK14" s="22">
        <f ca="1">+GETPIVOTDATA("XQT4",'quangthanh (2016)'!$A$3,"MA_HT","RPH","MA_QH","DXH")</f>
        <v>0</v>
      </c>
      <c r="AL14" s="22">
        <f ca="1">+GETPIVOTDATA("XQT4",'quangthanh (2016)'!$A$3,"MA_HT","RPH","MA_QH","DCH")</f>
        <v>0</v>
      </c>
      <c r="AM14" s="22">
        <f ca="1">+GETPIVOTDATA("XQT4",'quangthanh (2016)'!$A$3,"MA_HT","RPH","MA_QH","DKG")</f>
        <v>0</v>
      </c>
      <c r="AN14" s="22">
        <f ca="1">+GETPIVOTDATA("XQT4",'quangthanh (2016)'!$A$3,"MA_HT","RPH","MA_QH","DDT")</f>
        <v>0</v>
      </c>
      <c r="AO14" s="22">
        <f ca="1">+GETPIVOTDATA("XQT4",'quangthanh (2016)'!$A$3,"MA_HT","RPH","MA_QH","DDL")</f>
        <v>0</v>
      </c>
      <c r="AP14" s="22">
        <f ca="1">+GETPIVOTDATA("XQT4",'quangthanh (2016)'!$A$3,"MA_HT","RPH","MA_QH","DRA")</f>
        <v>0</v>
      </c>
      <c r="AQ14" s="22">
        <f ca="1">+GETPIVOTDATA("XQT4",'quangthanh (2016)'!$A$3,"MA_HT","RPH","MA_QH","ONT")</f>
        <v>0</v>
      </c>
      <c r="AR14" s="22">
        <f ca="1">+GETPIVOTDATA("XQT4",'quangthanh (2016)'!$A$3,"MA_HT","RPH","MA_QH","ODT")</f>
        <v>0</v>
      </c>
      <c r="AS14" s="22">
        <f ca="1">+GETPIVOTDATA("XQT4",'quangthanh (2016)'!$A$3,"MA_HT","RPH","MA_QH","TSC")</f>
        <v>0</v>
      </c>
      <c r="AT14" s="22">
        <f ca="1">+GETPIVOTDATA("XQT4",'quangthanh (2016)'!$A$3,"MA_HT","RPH","MA_QH","DTS")</f>
        <v>0</v>
      </c>
      <c r="AU14" s="22">
        <f ca="1">+GETPIVOTDATA("XQT4",'quangthanh (2016)'!$A$3,"MA_HT","RPH","MA_QH","DNG")</f>
        <v>0</v>
      </c>
      <c r="AV14" s="22">
        <f ca="1">+GETPIVOTDATA("XQT4",'quangthanh (2016)'!$A$3,"MA_HT","RPH","MA_QH","TON")</f>
        <v>0</v>
      </c>
      <c r="AW14" s="22">
        <f ca="1">+GETPIVOTDATA("XQT4",'quangthanh (2016)'!$A$3,"MA_HT","RPH","MA_QH","NTD")</f>
        <v>0</v>
      </c>
      <c r="AX14" s="22">
        <f ca="1">+GETPIVOTDATA("XQT4",'quangthanh (2016)'!$A$3,"MA_HT","RPH","MA_QH","SKX")</f>
        <v>0</v>
      </c>
      <c r="AY14" s="22">
        <f ca="1">+GETPIVOTDATA("XQT4",'quangthanh (2016)'!$A$3,"MA_HT","RPH","MA_QH","DSH")</f>
        <v>0</v>
      </c>
      <c r="AZ14" s="22">
        <f ca="1">+GETPIVOTDATA("XQT4",'quangthanh (2016)'!$A$3,"MA_HT","RPH","MA_QH","DKV")</f>
        <v>0</v>
      </c>
      <c r="BA14" s="89">
        <f ca="1">+GETPIVOTDATA("XQT4",'quangthanh (2016)'!$A$3,"MA_HT","RPH","MA_QH","TIN")</f>
        <v>0</v>
      </c>
      <c r="BB14" s="50">
        <f ca="1">+GETPIVOTDATA("XQT4",'quangthanh (2016)'!$A$3,"MA_HT","RPH","MA_QH","SON")</f>
        <v>0</v>
      </c>
      <c r="BC14" s="50">
        <f ca="1">+GETPIVOTDATA("XQT4",'quangthanh (2016)'!$A$3,"MA_HT","RPH","MA_QH","MNC")</f>
        <v>0</v>
      </c>
      <c r="BD14" s="22">
        <f ca="1">+GETPIVOTDATA("XQT4",'quangthanh (2016)'!$A$3,"MA_HT","RPH","MA_QH","PNK")</f>
        <v>0</v>
      </c>
      <c r="BE14" s="71">
        <f ca="1">+GETPIVOTDATA("XQT4",'quangthanh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+GETPIVOTDATA("XQT4",'quangthanh (2016)'!$A$3,"MA_HT","RDD","MA_QH","LUC")</f>
        <v>0</v>
      </c>
      <c r="H15" s="22">
        <f ca="1">+GETPIVOTDATA("XQT4",'quangthanh (2016)'!$A$3,"MA_HT","RDD","MA_QH","LUK")</f>
        <v>0</v>
      </c>
      <c r="I15" s="22">
        <f ca="1">+GETPIVOTDATA("XQT4",'quangthanh (2016)'!$A$3,"MA_HT","RDD","MA_QH","LUN")</f>
        <v>0</v>
      </c>
      <c r="J15" s="22">
        <f ca="1">+GETPIVOTDATA("XQT4",'quangthanh (2016)'!$A$3,"MA_HT","RDD","MA_QH","HNK")</f>
        <v>0</v>
      </c>
      <c r="K15" s="22">
        <f ca="1">+GETPIVOTDATA("XQT4",'quangthanh (2016)'!$A$3,"MA_HT","RDD","MA_QH","CLN")</f>
        <v>0</v>
      </c>
      <c r="L15" s="22">
        <f ca="1">+GETPIVOTDATA("XQT4",'quangthanh (2016)'!$A$3,"MA_HT","RDD","MA_QH","RSX")</f>
        <v>0</v>
      </c>
      <c r="M15" s="22">
        <f ca="1">+GETPIVOTDATA("XQT4",'quangthanh (2016)'!$A$3,"MA_HT","RDD","MA_QH","RPH")</f>
        <v>0</v>
      </c>
      <c r="N15" s="43" t="e">
        <f ca="1">$D15-$BF15</f>
        <v>#REF!</v>
      </c>
      <c r="O15" s="22">
        <f ca="1">+GETPIVOTDATA("XQT4",'quangthanh (2016)'!$A$3,"MA_HT","RDD","MA_QH","NTS")</f>
        <v>0</v>
      </c>
      <c r="P15" s="22">
        <f ca="1">+GETPIVOTDATA("XQT4",'quangthanh (2016)'!$A$3,"MA_HT","RDD","MA_QH","LMU")</f>
        <v>0</v>
      </c>
      <c r="Q15" s="22">
        <f ca="1">+GETPIVOTDATA("XQT4",'quangthanh (2016)'!$A$3,"MA_HT","RDD","MA_QH","NKH")</f>
        <v>0</v>
      </c>
      <c r="R15" s="42">
        <f ca="1" t="shared" si="2"/>
        <v>0</v>
      </c>
      <c r="S15" s="22">
        <f ca="1">+GETPIVOTDATA("XQT4",'quangthanh (2016)'!$A$3,"MA_HT","RDD","MA_QH","CQP")</f>
        <v>0</v>
      </c>
      <c r="T15" s="22">
        <f ca="1">+GETPIVOTDATA("XQT4",'quangthanh (2016)'!$A$3,"MA_HT","RDD","MA_QH","CAN")</f>
        <v>0</v>
      </c>
      <c r="U15" s="22">
        <f ca="1">+GETPIVOTDATA("XQT4",'quangthanh (2016)'!$A$3,"MA_HT","RDD","MA_QH","SKK")</f>
        <v>0</v>
      </c>
      <c r="V15" s="22">
        <f ca="1">+GETPIVOTDATA("XQT4",'quangthanh (2016)'!$A$3,"MA_HT","RDD","MA_QH","SKT")</f>
        <v>0</v>
      </c>
      <c r="W15" s="22">
        <f ca="1">+GETPIVOTDATA("XQT4",'quangthanh (2016)'!$A$3,"MA_HT","RDD","MA_QH","SKN")</f>
        <v>0</v>
      </c>
      <c r="X15" s="22">
        <f ca="1">+GETPIVOTDATA("XQT4",'quangthanh (2016)'!$A$3,"MA_HT","RDD","MA_QH","TMD")</f>
        <v>0</v>
      </c>
      <c r="Y15" s="22">
        <f ca="1">+GETPIVOTDATA("XQT4",'quangthanh (2016)'!$A$3,"MA_HT","RDD","MA_QH","SKC")</f>
        <v>0</v>
      </c>
      <c r="Z15" s="22">
        <f ca="1">+GETPIVOTDATA("XQT4",'quangthanh (2016)'!$A$3,"MA_HT","RDD","MA_QH","SKS")</f>
        <v>0</v>
      </c>
      <c r="AA15" s="52">
        <f ca="1" t="shared" si="4"/>
        <v>0</v>
      </c>
      <c r="AB15" s="22">
        <f ca="1">+GETPIVOTDATA("XQT4",'quangthanh (2016)'!$A$3,"MA_HT","RDD","MA_QH","DGT")</f>
        <v>0</v>
      </c>
      <c r="AC15" s="22">
        <f ca="1">+GETPIVOTDATA("XQT4",'quangthanh (2016)'!$A$3,"MA_HT","RDD","MA_QH","DTL")</f>
        <v>0</v>
      </c>
      <c r="AD15" s="22">
        <f ca="1">+GETPIVOTDATA("XQT4",'quangthanh (2016)'!$A$3,"MA_HT","RDD","MA_QH","DNL")</f>
        <v>0</v>
      </c>
      <c r="AE15" s="22">
        <f ca="1">+GETPIVOTDATA("XQT4",'quangthanh (2016)'!$A$3,"MA_HT","RDD","MA_QH","DBV")</f>
        <v>0</v>
      </c>
      <c r="AF15" s="22">
        <f ca="1">+GETPIVOTDATA("XQT4",'quangthanh (2016)'!$A$3,"MA_HT","RDD","MA_QH","DVH")</f>
        <v>0</v>
      </c>
      <c r="AG15" s="22">
        <f ca="1">+GETPIVOTDATA("XQT4",'quangthanh (2016)'!$A$3,"MA_HT","RDD","MA_QH","DYT")</f>
        <v>0</v>
      </c>
      <c r="AH15" s="22">
        <f ca="1">+GETPIVOTDATA("XQT4",'quangthanh (2016)'!$A$3,"MA_HT","RDD","MA_QH","DGD")</f>
        <v>0</v>
      </c>
      <c r="AI15" s="22">
        <f ca="1">+GETPIVOTDATA("XQT4",'quangthanh (2016)'!$A$3,"MA_HT","RDD","MA_QH","DTT")</f>
        <v>0</v>
      </c>
      <c r="AJ15" s="22">
        <f ca="1">+GETPIVOTDATA("XQT4",'quangthanh (2016)'!$A$3,"MA_HT","RDD","MA_QH","NCK")</f>
        <v>0</v>
      </c>
      <c r="AK15" s="22">
        <f ca="1">+GETPIVOTDATA("XQT4",'quangthanh (2016)'!$A$3,"MA_HT","RDD","MA_QH","DXH")</f>
        <v>0</v>
      </c>
      <c r="AL15" s="22">
        <f ca="1">+GETPIVOTDATA("XQT4",'quangthanh (2016)'!$A$3,"MA_HT","RDD","MA_QH","DCH")</f>
        <v>0</v>
      </c>
      <c r="AM15" s="22">
        <f ca="1">+GETPIVOTDATA("XQT4",'quangthanh (2016)'!$A$3,"MA_HT","RDD","MA_QH","DKG")</f>
        <v>0</v>
      </c>
      <c r="AN15" s="22">
        <f ca="1">+GETPIVOTDATA("XQT4",'quangthanh (2016)'!$A$3,"MA_HT","RDD","MA_QH","DDT")</f>
        <v>0</v>
      </c>
      <c r="AO15" s="22">
        <f ca="1">+GETPIVOTDATA("XQT4",'quangthanh (2016)'!$A$3,"MA_HT","RDD","MA_QH","DDL")</f>
        <v>0</v>
      </c>
      <c r="AP15" s="22">
        <f ca="1">+GETPIVOTDATA("XQT4",'quangthanh (2016)'!$A$3,"MA_HT","RDD","MA_QH","DRA")</f>
        <v>0</v>
      </c>
      <c r="AQ15" s="22">
        <f ca="1">+GETPIVOTDATA("XQT4",'quangthanh (2016)'!$A$3,"MA_HT","RDD","MA_QH","ONT")</f>
        <v>0</v>
      </c>
      <c r="AR15" s="22">
        <f ca="1">+GETPIVOTDATA("XQT4",'quangthanh (2016)'!$A$3,"MA_HT","RDD","MA_QH","ODT")</f>
        <v>0</v>
      </c>
      <c r="AS15" s="22">
        <f ca="1">+GETPIVOTDATA("XQT4",'quangthanh (2016)'!$A$3,"MA_HT","RDD","MA_QH","TSC")</f>
        <v>0</v>
      </c>
      <c r="AT15" s="22">
        <f ca="1">+GETPIVOTDATA("XQT4",'quangthanh (2016)'!$A$3,"MA_HT","RDD","MA_QH","DTS")</f>
        <v>0</v>
      </c>
      <c r="AU15" s="22">
        <f ca="1">+GETPIVOTDATA("XQT4",'quangthanh (2016)'!$A$3,"MA_HT","RDD","MA_QH","DNG")</f>
        <v>0</v>
      </c>
      <c r="AV15" s="22">
        <f ca="1">+GETPIVOTDATA("XQT4",'quangthanh (2016)'!$A$3,"MA_HT","RDD","MA_QH","TON")</f>
        <v>0</v>
      </c>
      <c r="AW15" s="22">
        <f ca="1">+GETPIVOTDATA("XQT4",'quangthanh (2016)'!$A$3,"MA_HT","RDD","MA_QH","NTD")</f>
        <v>0</v>
      </c>
      <c r="AX15" s="22">
        <f ca="1">+GETPIVOTDATA("XQT4",'quangthanh (2016)'!$A$3,"MA_HT","RDD","MA_QH","SKX")</f>
        <v>0</v>
      </c>
      <c r="AY15" s="22">
        <f ca="1">+GETPIVOTDATA("XQT4",'quangthanh (2016)'!$A$3,"MA_HT","RDD","MA_QH","DSH")</f>
        <v>0</v>
      </c>
      <c r="AZ15" s="22">
        <f ca="1">+GETPIVOTDATA("XQT4",'quangthanh (2016)'!$A$3,"MA_HT","RDD","MA_QH","DKV")</f>
        <v>0</v>
      </c>
      <c r="BA15" s="89">
        <f ca="1">+GETPIVOTDATA("XQT4",'quangthanh (2016)'!$A$3,"MA_HT","RDD","MA_QH","TIN")</f>
        <v>0</v>
      </c>
      <c r="BB15" s="50">
        <f ca="1">+GETPIVOTDATA("XQT4",'quangthanh (2016)'!$A$3,"MA_HT","RDD","MA_QH","SON")</f>
        <v>0</v>
      </c>
      <c r="BC15" s="50">
        <f ca="1">+GETPIVOTDATA("XQT4",'quangthanh (2016)'!$A$3,"MA_HT","RDD","MA_QH","MNC")</f>
        <v>0</v>
      </c>
      <c r="BD15" s="22">
        <f ca="1">+GETPIVOTDATA("XQT4",'quangthanh (2016)'!$A$3,"MA_HT","RDD","MA_QH","PNK")</f>
        <v>0</v>
      </c>
      <c r="BE15" s="71">
        <f ca="1">+GETPIVOTDATA("XQT4",'quangthanh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+GETPIVOTDATA("XQT4",'quangthanh (2016)'!$A$3,"MA_HT","NTS","MA_QH","LUC")</f>
        <v>0</v>
      </c>
      <c r="H16" s="22">
        <f ca="1">+GETPIVOTDATA("XQT4",'quangthanh (2016)'!$A$3,"MA_HT","NTS","MA_QH","LUK")</f>
        <v>0</v>
      </c>
      <c r="I16" s="22">
        <f ca="1">+GETPIVOTDATA("XQT4",'quangthanh (2016)'!$A$3,"MA_HT","NTS","MA_QH","LUN")</f>
        <v>0</v>
      </c>
      <c r="J16" s="22">
        <f ca="1">+GETPIVOTDATA("XQT4",'quangthanh (2016)'!$A$3,"MA_HT","NTS","MA_QH","HNK")</f>
        <v>0</v>
      </c>
      <c r="K16" s="22">
        <f ca="1">+GETPIVOTDATA("XQT4",'quangthanh (2016)'!$A$3,"MA_HT","NTS","MA_QH","CLN")</f>
        <v>0</v>
      </c>
      <c r="L16" s="22">
        <f ca="1">+GETPIVOTDATA("XQT4",'quangthanh (2016)'!$A$3,"MA_HT","NTS","MA_QH","RSX")</f>
        <v>0</v>
      </c>
      <c r="M16" s="22">
        <f ca="1">+GETPIVOTDATA("XQT4",'quangthanh (2016)'!$A$3,"MA_HT","NTS","MA_QH","RPH")</f>
        <v>0</v>
      </c>
      <c r="N16" s="22">
        <f ca="1">+GETPIVOTDATA("XQT4",'quangthanh (2016)'!$A$3,"MA_HT","NTS","MA_QH","RDD")</f>
        <v>0</v>
      </c>
      <c r="O16" s="43" t="e">
        <f ca="1">$D16-$BF16</f>
        <v>#REF!</v>
      </c>
      <c r="P16" s="22">
        <f ca="1">+GETPIVOTDATA("XQT4",'quangthanh (2016)'!$A$3,"MA_HT","NTS","MA_QH","LMU")</f>
        <v>0</v>
      </c>
      <c r="Q16" s="22">
        <f ca="1">+GETPIVOTDATA("XQT4",'quangthanh (2016)'!$A$3,"MA_HT","NTS","MA_QH","NKH")</f>
        <v>0</v>
      </c>
      <c r="R16" s="42">
        <f ca="1" t="shared" si="2"/>
        <v>0</v>
      </c>
      <c r="S16" s="22">
        <f ca="1">+GETPIVOTDATA("XQT4",'quangthanh (2016)'!$A$3,"MA_HT","NTS","MA_QH","CQP")</f>
        <v>0</v>
      </c>
      <c r="T16" s="22">
        <f ca="1">+GETPIVOTDATA("XQT4",'quangthanh (2016)'!$A$3,"MA_HT","NTS","MA_QH","CAN")</f>
        <v>0</v>
      </c>
      <c r="U16" s="22">
        <f ca="1">+GETPIVOTDATA("XQT4",'quangthanh (2016)'!$A$3,"MA_HT","NTS","MA_QH","SKK")</f>
        <v>0</v>
      </c>
      <c r="V16" s="22">
        <f ca="1">+GETPIVOTDATA("XQT4",'quangthanh (2016)'!$A$3,"MA_HT","NTS","MA_QH","SKT")</f>
        <v>0</v>
      </c>
      <c r="W16" s="22">
        <f ca="1">+GETPIVOTDATA("XQT4",'quangthanh (2016)'!$A$3,"MA_HT","NTS","MA_QH","SKN")</f>
        <v>0</v>
      </c>
      <c r="X16" s="22">
        <f ca="1">+GETPIVOTDATA("XQT4",'quangthanh (2016)'!$A$3,"MA_HT","NTS","MA_QH","TMD")</f>
        <v>0</v>
      </c>
      <c r="Y16" s="22">
        <f ca="1">+GETPIVOTDATA("XQT4",'quangthanh (2016)'!$A$3,"MA_HT","NTS","MA_QH","SKC")</f>
        <v>0</v>
      </c>
      <c r="Z16" s="22">
        <f ca="1">+GETPIVOTDATA("XQT4",'quangthanh (2016)'!$A$3,"MA_HT","NTS","MA_QH","SKS")</f>
        <v>0</v>
      </c>
      <c r="AA16" s="52">
        <f ca="1" t="shared" si="4"/>
        <v>0</v>
      </c>
      <c r="AB16" s="22">
        <f ca="1">+GETPIVOTDATA("XQT4",'quangthanh (2016)'!$A$3,"MA_HT","NTS","MA_QH","DGT")</f>
        <v>0</v>
      </c>
      <c r="AC16" s="22">
        <f ca="1">+GETPIVOTDATA("XQT4",'quangthanh (2016)'!$A$3,"MA_HT","NTS","MA_QH","DTL")</f>
        <v>0</v>
      </c>
      <c r="AD16" s="22">
        <f ca="1">+GETPIVOTDATA("XQT4",'quangthanh (2016)'!$A$3,"MA_HT","NTS","MA_QH","DNL")</f>
        <v>0</v>
      </c>
      <c r="AE16" s="22">
        <f ca="1">+GETPIVOTDATA("XQT4",'quangthanh (2016)'!$A$3,"MA_HT","NTS","MA_QH","DBV")</f>
        <v>0</v>
      </c>
      <c r="AF16" s="22">
        <f ca="1">+GETPIVOTDATA("XQT4",'quangthanh (2016)'!$A$3,"MA_HT","NTS","MA_QH","DVH")</f>
        <v>0</v>
      </c>
      <c r="AG16" s="22">
        <f ca="1">+GETPIVOTDATA("XQT4",'quangthanh (2016)'!$A$3,"MA_HT","NTS","MA_QH","DYT")</f>
        <v>0</v>
      </c>
      <c r="AH16" s="22">
        <f ca="1">+GETPIVOTDATA("XQT4",'quangthanh (2016)'!$A$3,"MA_HT","NTS","MA_QH","DGD")</f>
        <v>0</v>
      </c>
      <c r="AI16" s="22">
        <f ca="1">+GETPIVOTDATA("XQT4",'quangthanh (2016)'!$A$3,"MA_HT","NTS","MA_QH","DTT")</f>
        <v>0</v>
      </c>
      <c r="AJ16" s="22">
        <f ca="1">+GETPIVOTDATA("XQT4",'quangthanh (2016)'!$A$3,"MA_HT","NTS","MA_QH","NCK")</f>
        <v>0</v>
      </c>
      <c r="AK16" s="22">
        <f ca="1">+GETPIVOTDATA("XQT4",'quangthanh (2016)'!$A$3,"MA_HT","NTS","MA_QH","DXH")</f>
        <v>0</v>
      </c>
      <c r="AL16" s="22">
        <f ca="1">+GETPIVOTDATA("XQT4",'quangthanh (2016)'!$A$3,"MA_HT","NTS","MA_QH","DCH")</f>
        <v>0</v>
      </c>
      <c r="AM16" s="22">
        <f ca="1">+GETPIVOTDATA("XQT4",'quangthanh (2016)'!$A$3,"MA_HT","NTS","MA_QH","DKG")</f>
        <v>0</v>
      </c>
      <c r="AN16" s="22">
        <f ca="1">+GETPIVOTDATA("XQT4",'quangthanh (2016)'!$A$3,"MA_HT","NTS","MA_QH","DDT")</f>
        <v>0</v>
      </c>
      <c r="AO16" s="22">
        <f ca="1">+GETPIVOTDATA("XQT4",'quangthanh (2016)'!$A$3,"MA_HT","NTS","MA_QH","DDL")</f>
        <v>0</v>
      </c>
      <c r="AP16" s="22">
        <f ca="1">+GETPIVOTDATA("XQT4",'quangthanh (2016)'!$A$3,"MA_HT","NTS","MA_QH","DRA")</f>
        <v>0</v>
      </c>
      <c r="AQ16" s="22">
        <f ca="1">+GETPIVOTDATA("XQT4",'quangthanh (2016)'!$A$3,"MA_HT","NTS","MA_QH","ONT")</f>
        <v>0</v>
      </c>
      <c r="AR16" s="22">
        <f ca="1">+GETPIVOTDATA("XQT4",'quangthanh (2016)'!$A$3,"MA_HT","NTS","MA_QH","ODT")</f>
        <v>0</v>
      </c>
      <c r="AS16" s="22">
        <f ca="1">+GETPIVOTDATA("XQT4",'quangthanh (2016)'!$A$3,"MA_HT","NTS","MA_QH","TSC")</f>
        <v>0</v>
      </c>
      <c r="AT16" s="22">
        <f ca="1">+GETPIVOTDATA("XQT4",'quangthanh (2016)'!$A$3,"MA_HT","NTS","MA_QH","DTS")</f>
        <v>0</v>
      </c>
      <c r="AU16" s="22">
        <f ca="1">+GETPIVOTDATA("XQT4",'quangthanh (2016)'!$A$3,"MA_HT","NTS","MA_QH","DNG")</f>
        <v>0</v>
      </c>
      <c r="AV16" s="22">
        <f ca="1">+GETPIVOTDATA("XQT4",'quangthanh (2016)'!$A$3,"MA_HT","NTS","MA_QH","TON")</f>
        <v>0</v>
      </c>
      <c r="AW16" s="22">
        <f ca="1">+GETPIVOTDATA("XQT4",'quangthanh (2016)'!$A$3,"MA_HT","NTS","MA_QH","NTD")</f>
        <v>0</v>
      </c>
      <c r="AX16" s="22">
        <f ca="1">+GETPIVOTDATA("XQT4",'quangthanh (2016)'!$A$3,"MA_HT","NTS","MA_QH","SKX")</f>
        <v>0</v>
      </c>
      <c r="AY16" s="22">
        <f ca="1">+GETPIVOTDATA("XQT4",'quangthanh (2016)'!$A$3,"MA_HT","NTS","MA_QH","DSH")</f>
        <v>0</v>
      </c>
      <c r="AZ16" s="22">
        <f ca="1">+GETPIVOTDATA("XQT4",'quangthanh (2016)'!$A$3,"MA_HT","NTS","MA_QH","DKV")</f>
        <v>0</v>
      </c>
      <c r="BA16" s="89">
        <f ca="1">+GETPIVOTDATA("XQT4",'quangthanh (2016)'!$A$3,"MA_HT","NTS","MA_QH","TIN")</f>
        <v>0</v>
      </c>
      <c r="BB16" s="50">
        <f ca="1">+GETPIVOTDATA("XQT4",'quangthanh (2016)'!$A$3,"MA_HT","NTS","MA_QH","SON")</f>
        <v>0</v>
      </c>
      <c r="BC16" s="50">
        <f ca="1">+GETPIVOTDATA("XQT4",'quangthanh (2016)'!$A$3,"MA_HT","NTS","MA_QH","MNC")</f>
        <v>0</v>
      </c>
      <c r="BD16" s="22">
        <f ca="1">+GETPIVOTDATA("XQT4",'quangthanh (2016)'!$A$3,"MA_HT","NTS","MA_QH","PNK")</f>
        <v>0</v>
      </c>
      <c r="BE16" s="71">
        <f ca="1">+GETPIVOTDATA("XQT4",'quangthanh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+GETPIVOTDATA("XQT4",'quangthanh (2016)'!$A$3,"MA_HT","LMU","MA_QH","LUC")</f>
        <v>0</v>
      </c>
      <c r="H17" s="22">
        <f ca="1">+GETPIVOTDATA("XQT4",'quangthanh (2016)'!$A$3,"MA_HT","LMU","MA_QH","LUK")</f>
        <v>0</v>
      </c>
      <c r="I17" s="22">
        <f ca="1">+GETPIVOTDATA("XQT4",'quangthanh (2016)'!$A$3,"MA_HT","LMU","MA_QH","LUN")</f>
        <v>0</v>
      </c>
      <c r="J17" s="22">
        <f ca="1">+GETPIVOTDATA("XQT4",'quangthanh (2016)'!$A$3,"MA_HT","LMU","MA_QH","HNK")</f>
        <v>0</v>
      </c>
      <c r="K17" s="22">
        <f ca="1">+GETPIVOTDATA("XQT4",'quangthanh (2016)'!$A$3,"MA_HT","LMU","MA_QH","CLN")</f>
        <v>0</v>
      </c>
      <c r="L17" s="22">
        <f ca="1">+GETPIVOTDATA("XQT4",'quangthanh (2016)'!$A$3,"MA_HT","LMU","MA_QH","RSX")</f>
        <v>0</v>
      </c>
      <c r="M17" s="22">
        <f ca="1">+GETPIVOTDATA("XQT4",'quangthanh (2016)'!$A$3,"MA_HT","LMU","MA_QH","RPH")</f>
        <v>0</v>
      </c>
      <c r="N17" s="22">
        <f ca="1">+GETPIVOTDATA("XQT4",'quangthanh (2016)'!$A$3,"MA_HT","LMU","MA_QH","RDD")</f>
        <v>0</v>
      </c>
      <c r="O17" s="22">
        <f ca="1">+GETPIVOTDATA("XQT4",'quangthanh (2016)'!$A$3,"MA_HT","LMU","MA_QH","NTS")</f>
        <v>0</v>
      </c>
      <c r="P17" s="43" t="e">
        <f ca="1">$D17-$BF17</f>
        <v>#REF!</v>
      </c>
      <c r="Q17" s="22">
        <f ca="1">+GETPIVOTDATA("XQT4",'quangthanh (2016)'!$A$3,"MA_HT","LMU","MA_QH","NKH")</f>
        <v>0</v>
      </c>
      <c r="R17" s="42">
        <f ca="1" t="shared" si="2"/>
        <v>0</v>
      </c>
      <c r="S17" s="22">
        <f ca="1">+GETPIVOTDATA("XQT4",'quangthanh (2016)'!$A$3,"MA_HT","LMU","MA_QH","CQP")</f>
        <v>0</v>
      </c>
      <c r="T17" s="22">
        <f ca="1">+GETPIVOTDATA("XQT4",'quangthanh (2016)'!$A$3,"MA_HT","LMU","MA_QH","CAN")</f>
        <v>0</v>
      </c>
      <c r="U17" s="22">
        <f ca="1">+GETPIVOTDATA("XQT4",'quangthanh (2016)'!$A$3,"MA_HT","LMU","MA_QH","SKK")</f>
        <v>0</v>
      </c>
      <c r="V17" s="22">
        <f ca="1">+GETPIVOTDATA("XQT4",'quangthanh (2016)'!$A$3,"MA_HT","LMU","MA_QH","SKT")</f>
        <v>0</v>
      </c>
      <c r="W17" s="22">
        <f ca="1">+GETPIVOTDATA("XQT4",'quangthanh (2016)'!$A$3,"MA_HT","LMU","MA_QH","SKN")</f>
        <v>0</v>
      </c>
      <c r="X17" s="22">
        <f ca="1">+GETPIVOTDATA("XQT4",'quangthanh (2016)'!$A$3,"MA_HT","LMU","MA_QH","TMD")</f>
        <v>0</v>
      </c>
      <c r="Y17" s="22">
        <f ca="1">+GETPIVOTDATA("XQT4",'quangthanh (2016)'!$A$3,"MA_HT","LMU","MA_QH","SKC")</f>
        <v>0</v>
      </c>
      <c r="Z17" s="22">
        <f ca="1">+GETPIVOTDATA("XQT4",'quangthanh (2016)'!$A$3,"MA_HT","LMU","MA_QH","SKS")</f>
        <v>0</v>
      </c>
      <c r="AA17" s="52">
        <f ca="1" t="shared" si="4"/>
        <v>0</v>
      </c>
      <c r="AB17" s="22">
        <f ca="1">+GETPIVOTDATA("XQT4",'quangthanh (2016)'!$A$3,"MA_HT","LMU","MA_QH","DGT")</f>
        <v>0</v>
      </c>
      <c r="AC17" s="22">
        <f ca="1">+GETPIVOTDATA("XQT4",'quangthanh (2016)'!$A$3,"MA_HT","LMU","MA_QH","DTL")</f>
        <v>0</v>
      </c>
      <c r="AD17" s="22">
        <f ca="1">+GETPIVOTDATA("XQT4",'quangthanh (2016)'!$A$3,"MA_HT","LMU","MA_QH","DNL")</f>
        <v>0</v>
      </c>
      <c r="AE17" s="22">
        <f ca="1">+GETPIVOTDATA("XQT4",'quangthanh (2016)'!$A$3,"MA_HT","LMU","MA_QH","DBV")</f>
        <v>0</v>
      </c>
      <c r="AF17" s="22">
        <f ca="1">+GETPIVOTDATA("XQT4",'quangthanh (2016)'!$A$3,"MA_HT","LMU","MA_QH","DVH")</f>
        <v>0</v>
      </c>
      <c r="AG17" s="22">
        <f ca="1">+GETPIVOTDATA("XQT4",'quangthanh (2016)'!$A$3,"MA_HT","LMU","MA_QH","DYT")</f>
        <v>0</v>
      </c>
      <c r="AH17" s="22">
        <f ca="1">+GETPIVOTDATA("XQT4",'quangthanh (2016)'!$A$3,"MA_HT","LMU","MA_QH","DGD")</f>
        <v>0</v>
      </c>
      <c r="AI17" s="22">
        <f ca="1">+GETPIVOTDATA("XQT4",'quangthanh (2016)'!$A$3,"MA_HT","LMU","MA_QH","DTT")</f>
        <v>0</v>
      </c>
      <c r="AJ17" s="22">
        <f ca="1">+GETPIVOTDATA("XQT4",'quangthanh (2016)'!$A$3,"MA_HT","LMU","MA_QH","NCK")</f>
        <v>0</v>
      </c>
      <c r="AK17" s="22">
        <f ca="1">+GETPIVOTDATA("XQT4",'quangthanh (2016)'!$A$3,"MA_HT","LMU","MA_QH","DXH")</f>
        <v>0</v>
      </c>
      <c r="AL17" s="22">
        <f ca="1">+GETPIVOTDATA("XQT4",'quangthanh (2016)'!$A$3,"MA_HT","LMU","MA_QH","DCH")</f>
        <v>0</v>
      </c>
      <c r="AM17" s="22">
        <f ca="1">+GETPIVOTDATA("XQT4",'quangthanh (2016)'!$A$3,"MA_HT","LMU","MA_QH","DKG")</f>
        <v>0</v>
      </c>
      <c r="AN17" s="22">
        <f ca="1">+GETPIVOTDATA("XQT4",'quangthanh (2016)'!$A$3,"MA_HT","LMU","MA_QH","DDT")</f>
        <v>0</v>
      </c>
      <c r="AO17" s="22">
        <f ca="1">+GETPIVOTDATA("XQT4",'quangthanh (2016)'!$A$3,"MA_HT","LMU","MA_QH","DDL")</f>
        <v>0</v>
      </c>
      <c r="AP17" s="22">
        <f ca="1">+GETPIVOTDATA("XQT4",'quangthanh (2016)'!$A$3,"MA_HT","LMU","MA_QH","DRA")</f>
        <v>0</v>
      </c>
      <c r="AQ17" s="22">
        <f ca="1">+GETPIVOTDATA("XQT4",'quangthanh (2016)'!$A$3,"MA_HT","LMU","MA_QH","ONT")</f>
        <v>0</v>
      </c>
      <c r="AR17" s="22">
        <f ca="1">+GETPIVOTDATA("XQT4",'quangthanh (2016)'!$A$3,"MA_HT","LMU","MA_QH","ODT")</f>
        <v>0</v>
      </c>
      <c r="AS17" s="22">
        <f ca="1">+GETPIVOTDATA("XQT4",'quangthanh (2016)'!$A$3,"MA_HT","LMU","MA_QH","TSC")</f>
        <v>0</v>
      </c>
      <c r="AT17" s="22">
        <f ca="1">+GETPIVOTDATA("XQT4",'quangthanh (2016)'!$A$3,"MA_HT","LMU","MA_QH","DTS")</f>
        <v>0</v>
      </c>
      <c r="AU17" s="22">
        <f ca="1">+GETPIVOTDATA("XQT4",'quangthanh (2016)'!$A$3,"MA_HT","LMU","MA_QH","DNG")</f>
        <v>0</v>
      </c>
      <c r="AV17" s="22">
        <f ca="1">+GETPIVOTDATA("XQT4",'quangthanh (2016)'!$A$3,"MA_HT","LMU","MA_QH","TON")</f>
        <v>0</v>
      </c>
      <c r="AW17" s="22">
        <f ca="1">+GETPIVOTDATA("XQT4",'quangthanh (2016)'!$A$3,"MA_HT","LMU","MA_QH","NTD")</f>
        <v>0</v>
      </c>
      <c r="AX17" s="22">
        <f ca="1">+GETPIVOTDATA("XQT4",'quangthanh (2016)'!$A$3,"MA_HT","LMU","MA_QH","SKX")</f>
        <v>0</v>
      </c>
      <c r="AY17" s="22">
        <f ca="1">+GETPIVOTDATA("XQT4",'quangthanh (2016)'!$A$3,"MA_HT","LMU","MA_QH","DSH")</f>
        <v>0</v>
      </c>
      <c r="AZ17" s="22">
        <f ca="1">+GETPIVOTDATA("XQT4",'quangthanh (2016)'!$A$3,"MA_HT","LMU","MA_QH","DKV")</f>
        <v>0</v>
      </c>
      <c r="BA17" s="89">
        <f ca="1">+GETPIVOTDATA("XQT4",'quangthanh (2016)'!$A$3,"MA_HT","LMU","MA_QH","TIN")</f>
        <v>0</v>
      </c>
      <c r="BB17" s="50">
        <f ca="1">+GETPIVOTDATA("XQT4",'quangthanh (2016)'!$A$3,"MA_HT","LMU","MA_QH","SON")</f>
        <v>0</v>
      </c>
      <c r="BC17" s="50">
        <f ca="1">+GETPIVOTDATA("XQT4",'quangthanh (2016)'!$A$3,"MA_HT","LMU","MA_QH","MNC")</f>
        <v>0</v>
      </c>
      <c r="BD17" s="22">
        <f ca="1">+GETPIVOTDATA("XQT4",'quangthanh (2016)'!$A$3,"MA_HT","LMU","MA_QH","PNK")</f>
        <v>0</v>
      </c>
      <c r="BE17" s="71">
        <f ca="1">+GETPIVOTDATA("XQT4",'quangthanh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+GETPIVOTDATA("XQT4",'quangthanh (2016)'!$A$3,"MA_HT","NKH","MA_QH","LUC")</f>
        <v>0</v>
      </c>
      <c r="H18" s="22">
        <f ca="1">+GETPIVOTDATA("XQT4",'quangthanh (2016)'!$A$3,"MA_HT","NKH","MA_QH","LUK")</f>
        <v>0</v>
      </c>
      <c r="I18" s="22">
        <f ca="1">+GETPIVOTDATA("XQT4",'quangthanh (2016)'!$A$3,"MA_HT","NKH","MA_QH","LUN")</f>
        <v>0</v>
      </c>
      <c r="J18" s="22">
        <f ca="1">+GETPIVOTDATA("XQT4",'quangthanh (2016)'!$A$3,"MA_HT","NKH","MA_QH","HNK")</f>
        <v>0</v>
      </c>
      <c r="K18" s="22">
        <f ca="1">+GETPIVOTDATA("XQT4",'quangthanh (2016)'!$A$3,"MA_HT","NKH","MA_QH","CLN")</f>
        <v>0</v>
      </c>
      <c r="L18" s="22">
        <f ca="1">+GETPIVOTDATA("XQT4",'quangthanh (2016)'!$A$3,"MA_HT","NKH","MA_QH","RSX")</f>
        <v>0</v>
      </c>
      <c r="M18" s="22">
        <f ca="1">+GETPIVOTDATA("XQT4",'quangthanh (2016)'!$A$3,"MA_HT","NKH","MA_QH","RPH")</f>
        <v>0</v>
      </c>
      <c r="N18" s="22">
        <f ca="1">+GETPIVOTDATA("XQT4",'quangthanh (2016)'!$A$3,"MA_HT","NKH","MA_QH","RDD")</f>
        <v>0</v>
      </c>
      <c r="O18" s="22">
        <f ca="1">+GETPIVOTDATA("XQT4",'quangthanh (2016)'!$A$3,"MA_HT","NKH","MA_QH","NTS")</f>
        <v>0</v>
      </c>
      <c r="P18" s="22">
        <f ca="1">+GETPIVOTDATA("XQT4",'quangthanh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+GETPIVOTDATA("XQT4",'quangthanh (2016)'!$A$3,"MA_HT","NKH","MA_QH","CQP")</f>
        <v>0</v>
      </c>
      <c r="T18" s="22">
        <f ca="1">+GETPIVOTDATA("XQT4",'quangthanh (2016)'!$A$3,"MA_HT","NKH","MA_QH","CAN")</f>
        <v>0</v>
      </c>
      <c r="U18" s="22">
        <f ca="1">+GETPIVOTDATA("XQT4",'quangthanh (2016)'!$A$3,"MA_HT","NKH","MA_QH","SKK")</f>
        <v>0</v>
      </c>
      <c r="V18" s="22">
        <f ca="1">+GETPIVOTDATA("XQT4",'quangthanh (2016)'!$A$3,"MA_HT","NKH","MA_QH","SKT")</f>
        <v>0</v>
      </c>
      <c r="W18" s="22">
        <f ca="1">+GETPIVOTDATA("XQT4",'quangthanh (2016)'!$A$3,"MA_HT","NKH","MA_QH","SKN")</f>
        <v>0</v>
      </c>
      <c r="X18" s="22">
        <f ca="1">+GETPIVOTDATA("XQT4",'quangthanh (2016)'!$A$3,"MA_HT","NKH","MA_QH","TMD")</f>
        <v>0</v>
      </c>
      <c r="Y18" s="22">
        <f ca="1">+GETPIVOTDATA("XQT4",'quangthanh (2016)'!$A$3,"MA_HT","NKH","MA_QH","SKC")</f>
        <v>0</v>
      </c>
      <c r="Z18" s="22">
        <f ca="1">+GETPIVOTDATA("XQT4",'quangthanh (2016)'!$A$3,"MA_HT","NKH","MA_QH","SKS")</f>
        <v>0</v>
      </c>
      <c r="AA18" s="52">
        <f ca="1" t="shared" si="4"/>
        <v>0</v>
      </c>
      <c r="AB18" s="22">
        <f ca="1">+GETPIVOTDATA("XQT4",'quangthanh (2016)'!$A$3,"MA_HT","NKH","MA_QH","DGT")</f>
        <v>0</v>
      </c>
      <c r="AC18" s="22">
        <f ca="1">+GETPIVOTDATA("XQT4",'quangthanh (2016)'!$A$3,"MA_HT","NKH","MA_QH","DTL")</f>
        <v>0</v>
      </c>
      <c r="AD18" s="22">
        <f ca="1">+GETPIVOTDATA("XQT4",'quangthanh (2016)'!$A$3,"MA_HT","NKH","MA_QH","DNL")</f>
        <v>0</v>
      </c>
      <c r="AE18" s="22">
        <f ca="1">+GETPIVOTDATA("XQT4",'quangthanh (2016)'!$A$3,"MA_HT","NKH","MA_QH","DBV")</f>
        <v>0</v>
      </c>
      <c r="AF18" s="22">
        <f ca="1">+GETPIVOTDATA("XQT4",'quangthanh (2016)'!$A$3,"MA_HT","NKH","MA_QH","DVH")</f>
        <v>0</v>
      </c>
      <c r="AG18" s="22">
        <f ca="1">+GETPIVOTDATA("XQT4",'quangthanh (2016)'!$A$3,"MA_HT","NKH","MA_QH","DYT")</f>
        <v>0</v>
      </c>
      <c r="AH18" s="22">
        <f ca="1">+GETPIVOTDATA("XQT4",'quangthanh (2016)'!$A$3,"MA_HT","NKH","MA_QH","DGD")</f>
        <v>0</v>
      </c>
      <c r="AI18" s="22">
        <f ca="1">+GETPIVOTDATA("XQT4",'quangthanh (2016)'!$A$3,"MA_HT","NKH","MA_QH","DTT")</f>
        <v>0</v>
      </c>
      <c r="AJ18" s="22">
        <f ca="1">+GETPIVOTDATA("XQT4",'quangthanh (2016)'!$A$3,"MA_HT","NKH","MA_QH","NCK")</f>
        <v>0</v>
      </c>
      <c r="AK18" s="22">
        <f ca="1">+GETPIVOTDATA("XQT4",'quangthanh (2016)'!$A$3,"MA_HT","NKH","MA_QH","DXH")</f>
        <v>0</v>
      </c>
      <c r="AL18" s="22">
        <f ca="1">+GETPIVOTDATA("XQT4",'quangthanh (2016)'!$A$3,"MA_HT","NKH","MA_QH","DCH")</f>
        <v>0</v>
      </c>
      <c r="AM18" s="22">
        <f ca="1">+GETPIVOTDATA("XQT4",'quangthanh (2016)'!$A$3,"MA_HT","NKH","MA_QH","DKG")</f>
        <v>0</v>
      </c>
      <c r="AN18" s="22">
        <f ca="1">+GETPIVOTDATA("XQT4",'quangthanh (2016)'!$A$3,"MA_HT","NKH","MA_QH","DDT")</f>
        <v>0</v>
      </c>
      <c r="AO18" s="22">
        <f ca="1">+GETPIVOTDATA("XQT4",'quangthanh (2016)'!$A$3,"MA_HT","NKH","MA_QH","DDL")</f>
        <v>0</v>
      </c>
      <c r="AP18" s="22">
        <f ca="1">+GETPIVOTDATA("XQT4",'quangthanh (2016)'!$A$3,"MA_HT","NKH","MA_QH","DRA")</f>
        <v>0</v>
      </c>
      <c r="AQ18" s="22">
        <f ca="1">+GETPIVOTDATA("XQT4",'quangthanh (2016)'!$A$3,"MA_HT","NKH","MA_QH","ONT")</f>
        <v>0</v>
      </c>
      <c r="AR18" s="22">
        <f ca="1">+GETPIVOTDATA("XQT4",'quangthanh (2016)'!$A$3,"MA_HT","NKH","MA_QH","ODT")</f>
        <v>0</v>
      </c>
      <c r="AS18" s="22">
        <f ca="1">+GETPIVOTDATA("XQT4",'quangthanh (2016)'!$A$3,"MA_HT","NKH","MA_QH","TSC")</f>
        <v>0</v>
      </c>
      <c r="AT18" s="22">
        <f ca="1">+GETPIVOTDATA("XQT4",'quangthanh (2016)'!$A$3,"MA_HT","NKH","MA_QH","DTS")</f>
        <v>0</v>
      </c>
      <c r="AU18" s="22">
        <f ca="1">+GETPIVOTDATA("XQT4",'quangthanh (2016)'!$A$3,"MA_HT","NKH","MA_QH","DNG")</f>
        <v>0</v>
      </c>
      <c r="AV18" s="22">
        <f ca="1">+GETPIVOTDATA("XQT4",'quangthanh (2016)'!$A$3,"MA_HT","NKH","MA_QH","TON")</f>
        <v>0</v>
      </c>
      <c r="AW18" s="22">
        <f ca="1">+GETPIVOTDATA("XQT4",'quangthanh (2016)'!$A$3,"MA_HT","NKH","MA_QH","NTD")</f>
        <v>0</v>
      </c>
      <c r="AX18" s="22">
        <f ca="1">+GETPIVOTDATA("XQT4",'quangthanh (2016)'!$A$3,"MA_HT","NKH","MA_QH","SKX")</f>
        <v>0</v>
      </c>
      <c r="AY18" s="22">
        <f ca="1">+GETPIVOTDATA("XQT4",'quangthanh (2016)'!$A$3,"MA_HT","NKH","MA_QH","DSH")</f>
        <v>0</v>
      </c>
      <c r="AZ18" s="22">
        <f ca="1">+GETPIVOTDATA("XQT4",'quangthanh (2016)'!$A$3,"MA_HT","NKH","MA_QH","DKV")</f>
        <v>0</v>
      </c>
      <c r="BA18" s="89">
        <f ca="1">+GETPIVOTDATA("XQT4",'quangthanh (2016)'!$A$3,"MA_HT","NKH","MA_QH","TIN")</f>
        <v>0</v>
      </c>
      <c r="BB18" s="50">
        <f ca="1">+GETPIVOTDATA("XQT4",'quangthanh (2016)'!$A$3,"MA_HT","NKH","MA_QH","SON")</f>
        <v>0</v>
      </c>
      <c r="BC18" s="50">
        <f ca="1">+GETPIVOTDATA("XQT4",'quangthanh (2016)'!$A$3,"MA_HT","NKH","MA_QH","MNC")</f>
        <v>0</v>
      </c>
      <c r="BD18" s="22">
        <f ca="1">+GETPIVOTDATA("XQT4",'quangthanh (2016)'!$A$3,"MA_HT","NKH","MA_QH","PNK")</f>
        <v>0</v>
      </c>
      <c r="BE18" s="71">
        <f ca="1">+GETPIVOTDATA("XQT4",'quangthanh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+GETPIVOTDATA("XQT4",'quangthanh (2016)'!$A$3,"MA_HT","CQP","MA_QH","LUC")</f>
        <v>0</v>
      </c>
      <c r="H20" s="22">
        <f ca="1">+GETPIVOTDATA("XQT4",'quangthanh (2016)'!$A$3,"MA_HT","CQP","MA_QH","LUK")</f>
        <v>0</v>
      </c>
      <c r="I20" s="22">
        <f ca="1">+GETPIVOTDATA("XQT4",'quangthanh (2016)'!$A$3,"MA_HT","CQP","MA_QH","LUN")</f>
        <v>0</v>
      </c>
      <c r="J20" s="22">
        <f ca="1">+GETPIVOTDATA("XQT4",'quangthanh (2016)'!$A$3,"MA_HT","CQP","MA_QH","HNK")</f>
        <v>0</v>
      </c>
      <c r="K20" s="22">
        <f ca="1">+GETPIVOTDATA("XQT4",'quangthanh (2016)'!$A$3,"MA_HT","CQP","MA_QH","CLN")</f>
        <v>0</v>
      </c>
      <c r="L20" s="22">
        <f ca="1">+GETPIVOTDATA("XQT4",'quangthanh (2016)'!$A$3,"MA_HT","CQP","MA_QH","RSX")</f>
        <v>0</v>
      </c>
      <c r="M20" s="22">
        <f ca="1">+GETPIVOTDATA("XQT4",'quangthanh (2016)'!$A$3,"MA_HT","CQP","MA_QH","RPH")</f>
        <v>0</v>
      </c>
      <c r="N20" s="22">
        <f ca="1">+GETPIVOTDATA("XQT4",'quangthanh (2016)'!$A$3,"MA_HT","CQP","MA_QH","RDD")</f>
        <v>0</v>
      </c>
      <c r="O20" s="22">
        <f ca="1">+GETPIVOTDATA("XQT4",'quangthanh (2016)'!$A$3,"MA_HT","CQP","MA_QH","NTS")</f>
        <v>0</v>
      </c>
      <c r="P20" s="22">
        <f ca="1">+GETPIVOTDATA("XQT4",'quangthanh (2016)'!$A$3,"MA_HT","CQP","MA_QH","LMU")</f>
        <v>0</v>
      </c>
      <c r="Q20" s="22">
        <f ca="1">+GETPIVOTDATA("XQT4",'quangthanh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+GETPIVOTDATA("XQT4",'quangthanh (2016)'!$A$3,"MA_HT","CQP","MA_QH","CAN")</f>
        <v>0</v>
      </c>
      <c r="U20" s="22">
        <f ca="1">+GETPIVOTDATA("XQT4",'quangthanh (2016)'!$A$3,"MA_HT","CQP","MA_QH","SKK")</f>
        <v>0</v>
      </c>
      <c r="V20" s="22">
        <f ca="1">+GETPIVOTDATA("XQT4",'quangthanh (2016)'!$A$3,"MA_HT","CQP","MA_QH","SKT")</f>
        <v>0</v>
      </c>
      <c r="W20" s="22">
        <f ca="1">+GETPIVOTDATA("XQT4",'quangthanh (2016)'!$A$3,"MA_HT","CQP","MA_QH","SKN")</f>
        <v>0</v>
      </c>
      <c r="X20" s="22">
        <f ca="1">+GETPIVOTDATA("XQT4",'quangthanh (2016)'!$A$3,"MA_HT","CQP","MA_QH","TMD")</f>
        <v>0</v>
      </c>
      <c r="Y20" s="22">
        <f ca="1">+GETPIVOTDATA("XQT4",'quangthanh (2016)'!$A$3,"MA_HT","CQP","MA_QH","SKC")</f>
        <v>0</v>
      </c>
      <c r="Z20" s="22">
        <f ca="1">+GETPIVOTDATA("XQT4",'quangthanh (2016)'!$A$3,"MA_HT","CQP","MA_QH","SKS")</f>
        <v>0</v>
      </c>
      <c r="AA20" s="52">
        <f ca="1" t="shared" ref="AA20:AA27" si="12">+SUM(AB20:AM20)</f>
        <v>0</v>
      </c>
      <c r="AB20" s="22">
        <f ca="1">+GETPIVOTDATA("XQT4",'quangthanh (2016)'!$A$3,"MA_HT","CQP","MA_QH","DGT")</f>
        <v>0</v>
      </c>
      <c r="AC20" s="22">
        <f ca="1">+GETPIVOTDATA("XQT4",'quangthanh (2016)'!$A$3,"MA_HT","CQP","MA_QH","DTL")</f>
        <v>0</v>
      </c>
      <c r="AD20" s="22">
        <f ca="1">+GETPIVOTDATA("XQT4",'quangthanh (2016)'!$A$3,"MA_HT","CQP","MA_QH","DNL")</f>
        <v>0</v>
      </c>
      <c r="AE20" s="22">
        <f ca="1">+GETPIVOTDATA("XQT4",'quangthanh (2016)'!$A$3,"MA_HT","CQP","MA_QH","DBV")</f>
        <v>0</v>
      </c>
      <c r="AF20" s="22">
        <f ca="1">+GETPIVOTDATA("XQT4",'quangthanh (2016)'!$A$3,"MA_HT","CQP","MA_QH","DVH")</f>
        <v>0</v>
      </c>
      <c r="AG20" s="22">
        <f ca="1">+GETPIVOTDATA("XQT4",'quangthanh (2016)'!$A$3,"MA_HT","CQP","MA_QH","DYT")</f>
        <v>0</v>
      </c>
      <c r="AH20" s="22">
        <f ca="1">+GETPIVOTDATA("XQT4",'quangthanh (2016)'!$A$3,"MA_HT","CQP","MA_QH","DGD")</f>
        <v>0</v>
      </c>
      <c r="AI20" s="22">
        <f ca="1">+GETPIVOTDATA("XQT4",'quangthanh (2016)'!$A$3,"MA_HT","CQP","MA_QH","DTT")</f>
        <v>0</v>
      </c>
      <c r="AJ20" s="22">
        <f ca="1">+GETPIVOTDATA("XQT4",'quangthanh (2016)'!$A$3,"MA_HT","CQP","MA_QH","NCK")</f>
        <v>0</v>
      </c>
      <c r="AK20" s="22">
        <f ca="1">+GETPIVOTDATA("XQT4",'quangthanh (2016)'!$A$3,"MA_HT","CQP","MA_QH","DXH")</f>
        <v>0</v>
      </c>
      <c r="AL20" s="22">
        <f ca="1">+GETPIVOTDATA("XQT4",'quangthanh (2016)'!$A$3,"MA_HT","CQP","MA_QH","DCH")</f>
        <v>0</v>
      </c>
      <c r="AM20" s="22">
        <f ca="1">+GETPIVOTDATA("XQT4",'quangthanh (2016)'!$A$3,"MA_HT","CQP","MA_QH","DKG")</f>
        <v>0</v>
      </c>
      <c r="AN20" s="22">
        <f ca="1">+GETPIVOTDATA("XQT4",'quangthanh (2016)'!$A$3,"MA_HT","CQP","MA_QH","DDT")</f>
        <v>0</v>
      </c>
      <c r="AO20" s="22">
        <f ca="1">+GETPIVOTDATA("XQT4",'quangthanh (2016)'!$A$3,"MA_HT","CQP","MA_QH","DDL")</f>
        <v>0</v>
      </c>
      <c r="AP20" s="22">
        <f ca="1">+GETPIVOTDATA("XQT4",'quangthanh (2016)'!$A$3,"MA_HT","CQP","MA_QH","DRA")</f>
        <v>0</v>
      </c>
      <c r="AQ20" s="22">
        <f ca="1">+GETPIVOTDATA("XQT4",'quangthanh (2016)'!$A$3,"MA_HT","CQP","MA_QH","ONT")</f>
        <v>0</v>
      </c>
      <c r="AR20" s="22">
        <f ca="1">+GETPIVOTDATA("XQT4",'quangthanh (2016)'!$A$3,"MA_HT","CQP","MA_QH","ODT")</f>
        <v>0</v>
      </c>
      <c r="AS20" s="22">
        <f ca="1">+GETPIVOTDATA("XQT4",'quangthanh (2016)'!$A$3,"MA_HT","CQP","MA_QH","TSC")</f>
        <v>0</v>
      </c>
      <c r="AT20" s="22">
        <f ca="1">+GETPIVOTDATA("XQT4",'quangthanh (2016)'!$A$3,"MA_HT","CQP","MA_QH","DTS")</f>
        <v>0</v>
      </c>
      <c r="AU20" s="22">
        <f ca="1">+GETPIVOTDATA("XQT4",'quangthanh (2016)'!$A$3,"MA_HT","CQP","MA_QH","DNG")</f>
        <v>0</v>
      </c>
      <c r="AV20" s="22">
        <f ca="1">+GETPIVOTDATA("XQT4",'quangthanh (2016)'!$A$3,"MA_HT","CQP","MA_QH","TON")</f>
        <v>0</v>
      </c>
      <c r="AW20" s="22">
        <f ca="1">+GETPIVOTDATA("XQT4",'quangthanh (2016)'!$A$3,"MA_HT","CQP","MA_QH","NTD")</f>
        <v>0</v>
      </c>
      <c r="AX20" s="22">
        <f ca="1">+GETPIVOTDATA("XQT4",'quangthanh (2016)'!$A$3,"MA_HT","CQP","MA_QH","SKX")</f>
        <v>0</v>
      </c>
      <c r="AY20" s="22">
        <f ca="1">+GETPIVOTDATA("XQT4",'quangthanh (2016)'!$A$3,"MA_HT","CQP","MA_QH","DSH")</f>
        <v>0</v>
      </c>
      <c r="AZ20" s="22">
        <f ca="1">+GETPIVOTDATA("XQT4",'quangthanh (2016)'!$A$3,"MA_HT","CQP","MA_QH","DKV")</f>
        <v>0</v>
      </c>
      <c r="BA20" s="89">
        <f ca="1">+GETPIVOTDATA("XQT4",'quangthanh (2016)'!$A$3,"MA_HT","CQP","MA_QH","TIN")</f>
        <v>0</v>
      </c>
      <c r="BB20" s="50">
        <f ca="1">+GETPIVOTDATA("XQT4",'quangthanh (2016)'!$A$3,"MA_HT","CQP","MA_QH","SON")</f>
        <v>0</v>
      </c>
      <c r="BC20" s="50">
        <f ca="1">+GETPIVOTDATA("XQT4",'quangthanh (2016)'!$A$3,"MA_HT","CQP","MA_QH","MNC")</f>
        <v>0</v>
      </c>
      <c r="BD20" s="22">
        <f ca="1">+GETPIVOTDATA("XQT4",'quangthanh (2016)'!$A$3,"MA_HT","CQP","MA_QH","PNK")</f>
        <v>0</v>
      </c>
      <c r="BE20" s="71">
        <f ca="1">+GETPIVOTDATA("XQT4",'quangthanh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+GETPIVOTDATA("XQT4",'quangthanh (2016)'!$A$3,"MA_HT","CAN","MA_QH","LUC")</f>
        <v>0</v>
      </c>
      <c r="H21" s="22">
        <f ca="1">+GETPIVOTDATA("XQT4",'quangthanh (2016)'!$A$3,"MA_HT","CAN","MA_QH","LUK")</f>
        <v>0</v>
      </c>
      <c r="I21" s="22">
        <f ca="1">+GETPIVOTDATA("XQT4",'quangthanh (2016)'!$A$3,"MA_HT","CAN","MA_QH","LUN")</f>
        <v>0</v>
      </c>
      <c r="J21" s="22">
        <f ca="1">+GETPIVOTDATA("XQT4",'quangthanh (2016)'!$A$3,"MA_HT","CAN","MA_QH","HNK")</f>
        <v>0</v>
      </c>
      <c r="K21" s="22">
        <f ca="1">+GETPIVOTDATA("XQT4",'quangthanh (2016)'!$A$3,"MA_HT","CAN","MA_QH","CLN")</f>
        <v>0</v>
      </c>
      <c r="L21" s="22">
        <f ca="1">+GETPIVOTDATA("XQT4",'quangthanh (2016)'!$A$3,"MA_HT","CAN","MA_QH","RSX")</f>
        <v>0</v>
      </c>
      <c r="M21" s="22">
        <f ca="1">+GETPIVOTDATA("XQT4",'quangthanh (2016)'!$A$3,"MA_HT","CAN","MA_QH","RPH")</f>
        <v>0</v>
      </c>
      <c r="N21" s="22">
        <f ca="1">+GETPIVOTDATA("XQT4",'quangthanh (2016)'!$A$3,"MA_HT","CAN","MA_QH","RDD")</f>
        <v>0</v>
      </c>
      <c r="O21" s="22">
        <f ca="1">+GETPIVOTDATA("XQT4",'quangthanh (2016)'!$A$3,"MA_HT","CAN","MA_QH","NTS")</f>
        <v>0</v>
      </c>
      <c r="P21" s="22">
        <f ca="1">+GETPIVOTDATA("XQT4",'quangthanh (2016)'!$A$3,"MA_HT","CAN","MA_QH","LMU")</f>
        <v>0</v>
      </c>
      <c r="Q21" s="22">
        <f ca="1">+GETPIVOTDATA("XQT4",'quangthanh (2016)'!$A$3,"MA_HT","CAN","MA_QH","NKH")</f>
        <v>0</v>
      </c>
      <c r="R21" s="42">
        <f ca="1">SUM(S21,U21:AA21,AN21:BD21)</f>
        <v>0</v>
      </c>
      <c r="S21" s="22">
        <f ca="1">+GETPIVOTDATA("XQT4",'quangthanh (2016)'!$A$3,"MA_HT","CAN","MA_QH","CQP")</f>
        <v>0</v>
      </c>
      <c r="T21" s="43" t="e">
        <f ca="1">$D21-$BF21</f>
        <v>#REF!</v>
      </c>
      <c r="U21" s="22">
        <f ca="1">+GETPIVOTDATA("XQT4",'quangthanh (2016)'!$A$3,"MA_HT","CAN","MA_QH","SKK")</f>
        <v>0</v>
      </c>
      <c r="V21" s="22">
        <f ca="1">+GETPIVOTDATA("XQT4",'quangthanh (2016)'!$A$3,"MA_HT","CAN","MA_QH","SKT")</f>
        <v>0</v>
      </c>
      <c r="W21" s="22">
        <f ca="1">+GETPIVOTDATA("XQT4",'quangthanh (2016)'!$A$3,"MA_HT","CAN","MA_QH","SKN")</f>
        <v>0</v>
      </c>
      <c r="X21" s="22">
        <f ca="1">+GETPIVOTDATA("XQT4",'quangthanh (2016)'!$A$3,"MA_HT","CAN","MA_QH","TMD")</f>
        <v>0</v>
      </c>
      <c r="Y21" s="22">
        <f ca="1">+GETPIVOTDATA("XQT4",'quangthanh (2016)'!$A$3,"MA_HT","CAN","MA_QH","SKC")</f>
        <v>0</v>
      </c>
      <c r="Z21" s="22">
        <f ca="1">+GETPIVOTDATA("XQT4",'quangthanh (2016)'!$A$3,"MA_HT","CAN","MA_QH","SKS")</f>
        <v>0</v>
      </c>
      <c r="AA21" s="52">
        <f ca="1" t="shared" si="12"/>
        <v>0</v>
      </c>
      <c r="AB21" s="22">
        <f ca="1">+GETPIVOTDATA("XQT4",'quangthanh (2016)'!$A$3,"MA_HT","CAN","MA_QH","DGT")</f>
        <v>0</v>
      </c>
      <c r="AC21" s="22">
        <f ca="1">+GETPIVOTDATA("XQT4",'quangthanh (2016)'!$A$3,"MA_HT","CAN","MA_QH","DTL")</f>
        <v>0</v>
      </c>
      <c r="AD21" s="22">
        <f ca="1">+GETPIVOTDATA("XQT4",'quangthanh (2016)'!$A$3,"MA_HT","CAN","MA_QH","DNL")</f>
        <v>0</v>
      </c>
      <c r="AE21" s="22">
        <f ca="1">+GETPIVOTDATA("XQT4",'quangthanh (2016)'!$A$3,"MA_HT","CAN","MA_QH","DBV")</f>
        <v>0</v>
      </c>
      <c r="AF21" s="22">
        <f ca="1">+GETPIVOTDATA("XQT4",'quangthanh (2016)'!$A$3,"MA_HT","CAN","MA_QH","DVH")</f>
        <v>0</v>
      </c>
      <c r="AG21" s="22">
        <f ca="1">+GETPIVOTDATA("XQT4",'quangthanh (2016)'!$A$3,"MA_HT","CAN","MA_QH","DYT")</f>
        <v>0</v>
      </c>
      <c r="AH21" s="22">
        <f ca="1">+GETPIVOTDATA("XQT4",'quangthanh (2016)'!$A$3,"MA_HT","CAN","MA_QH","DGD")</f>
        <v>0</v>
      </c>
      <c r="AI21" s="22">
        <f ca="1">+GETPIVOTDATA("XQT4",'quangthanh (2016)'!$A$3,"MA_HT","CAN","MA_QH","DTT")</f>
        <v>0</v>
      </c>
      <c r="AJ21" s="22">
        <f ca="1">+GETPIVOTDATA("XQT4",'quangthanh (2016)'!$A$3,"MA_HT","CAN","MA_QH","NCK")</f>
        <v>0</v>
      </c>
      <c r="AK21" s="22">
        <f ca="1">+GETPIVOTDATA("XQT4",'quangthanh (2016)'!$A$3,"MA_HT","CAN","MA_QH","DXH")</f>
        <v>0</v>
      </c>
      <c r="AL21" s="22">
        <f ca="1">+GETPIVOTDATA("XQT4",'quangthanh (2016)'!$A$3,"MA_HT","CAN","MA_QH","DCH")</f>
        <v>0</v>
      </c>
      <c r="AM21" s="22">
        <f ca="1">+GETPIVOTDATA("XQT4",'quangthanh (2016)'!$A$3,"MA_HT","CAN","MA_QH","DKG")</f>
        <v>0</v>
      </c>
      <c r="AN21" s="22">
        <f ca="1">+GETPIVOTDATA("XQT4",'quangthanh (2016)'!$A$3,"MA_HT","CAN","MA_QH","DDT")</f>
        <v>0</v>
      </c>
      <c r="AO21" s="22">
        <f ca="1">+GETPIVOTDATA("XQT4",'quangthanh (2016)'!$A$3,"MA_HT","CAN","MA_QH","DDL")</f>
        <v>0</v>
      </c>
      <c r="AP21" s="22">
        <f ca="1">+GETPIVOTDATA("XQT4",'quangthanh (2016)'!$A$3,"MA_HT","CAN","MA_QH","DRA")</f>
        <v>0</v>
      </c>
      <c r="AQ21" s="22">
        <f ca="1">+GETPIVOTDATA("XQT4",'quangthanh (2016)'!$A$3,"MA_HT","CAN","MA_QH","ONT")</f>
        <v>0</v>
      </c>
      <c r="AR21" s="22">
        <f ca="1">+GETPIVOTDATA("XQT4",'quangthanh (2016)'!$A$3,"MA_HT","CAN","MA_QH","ODT")</f>
        <v>0</v>
      </c>
      <c r="AS21" s="22">
        <f ca="1">+GETPIVOTDATA("XQT4",'quangthanh (2016)'!$A$3,"MA_HT","CAN","MA_QH","TSC")</f>
        <v>0</v>
      </c>
      <c r="AT21" s="22">
        <f ca="1">+GETPIVOTDATA("XQT4",'quangthanh (2016)'!$A$3,"MA_HT","CAN","MA_QH","DTS")</f>
        <v>0</v>
      </c>
      <c r="AU21" s="22">
        <f ca="1">+GETPIVOTDATA("XQT4",'quangthanh (2016)'!$A$3,"MA_HT","CAN","MA_QH","DNG")</f>
        <v>0</v>
      </c>
      <c r="AV21" s="22">
        <f ca="1">+GETPIVOTDATA("XQT4",'quangthanh (2016)'!$A$3,"MA_HT","CAN","MA_QH","TON")</f>
        <v>0</v>
      </c>
      <c r="AW21" s="22">
        <f ca="1">+GETPIVOTDATA("XQT4",'quangthanh (2016)'!$A$3,"MA_HT","CAN","MA_QH","NTD")</f>
        <v>0</v>
      </c>
      <c r="AX21" s="22">
        <f ca="1">+GETPIVOTDATA("XQT4",'quangthanh (2016)'!$A$3,"MA_HT","CAN","MA_QH","SKX")</f>
        <v>0</v>
      </c>
      <c r="AY21" s="22">
        <f ca="1">+GETPIVOTDATA("XQT4",'quangthanh (2016)'!$A$3,"MA_HT","CAN","MA_QH","DSH")</f>
        <v>0</v>
      </c>
      <c r="AZ21" s="22">
        <f ca="1">+GETPIVOTDATA("XQT4",'quangthanh (2016)'!$A$3,"MA_HT","CAN","MA_QH","DKV")</f>
        <v>0</v>
      </c>
      <c r="BA21" s="89">
        <f ca="1">+GETPIVOTDATA("XQT4",'quangthanh (2016)'!$A$3,"MA_HT","CAN","MA_QH","TIN")</f>
        <v>0</v>
      </c>
      <c r="BB21" s="50">
        <f ca="1">+GETPIVOTDATA("XQT4",'quangthanh (2016)'!$A$3,"MA_HT","CAN","MA_QH","SON")</f>
        <v>0</v>
      </c>
      <c r="BC21" s="50">
        <f ca="1">+GETPIVOTDATA("XQT4",'quangthanh (2016)'!$A$3,"MA_HT","CAN","MA_QH","MNC")</f>
        <v>0</v>
      </c>
      <c r="BD21" s="22">
        <f ca="1">+GETPIVOTDATA("XQT4",'quangthanh (2016)'!$A$3,"MA_HT","CAN","MA_QH","PNK")</f>
        <v>0</v>
      </c>
      <c r="BE21" s="71">
        <f ca="1">+GETPIVOTDATA("XQT4",'quangthanh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+GETPIVOTDATA("XQT4",'quangthanh (2016)'!$A$3,"MA_HT","SKK","MA_QH","LUC")</f>
        <v>0</v>
      </c>
      <c r="H22" s="22">
        <f ca="1">+GETPIVOTDATA("XQT4",'quangthanh (2016)'!$A$3,"MA_HT","SKK","MA_QH","LUK")</f>
        <v>0</v>
      </c>
      <c r="I22" s="22">
        <f ca="1">+GETPIVOTDATA("XQT4",'quangthanh (2016)'!$A$3,"MA_HT","SKK","MA_QH","LUN")</f>
        <v>0</v>
      </c>
      <c r="J22" s="22">
        <f ca="1">+GETPIVOTDATA("XQT4",'quangthanh (2016)'!$A$3,"MA_HT","SKK","MA_QH","HNK")</f>
        <v>0</v>
      </c>
      <c r="K22" s="22">
        <f ca="1">+GETPIVOTDATA("XQT4",'quangthanh (2016)'!$A$3,"MA_HT","SKK","MA_QH","CLN")</f>
        <v>0</v>
      </c>
      <c r="L22" s="22">
        <f ca="1">+GETPIVOTDATA("XQT4",'quangthanh (2016)'!$A$3,"MA_HT","SKK","MA_QH","RSX")</f>
        <v>0</v>
      </c>
      <c r="M22" s="22">
        <f ca="1">+GETPIVOTDATA("XQT4",'quangthanh (2016)'!$A$3,"MA_HT","SKK","MA_QH","RPH")</f>
        <v>0</v>
      </c>
      <c r="N22" s="22">
        <f ca="1">+GETPIVOTDATA("XQT4",'quangthanh (2016)'!$A$3,"MA_HT","SKK","MA_QH","RDD")</f>
        <v>0</v>
      </c>
      <c r="O22" s="22">
        <f ca="1">+GETPIVOTDATA("XQT4",'quangthanh (2016)'!$A$3,"MA_HT","SKK","MA_QH","NTS")</f>
        <v>0</v>
      </c>
      <c r="P22" s="22">
        <f ca="1">+GETPIVOTDATA("XQT4",'quangthanh (2016)'!$A$3,"MA_HT","SKK","MA_QH","LMU")</f>
        <v>0</v>
      </c>
      <c r="Q22" s="22">
        <f ca="1">+GETPIVOTDATA("XQT4",'quangthanh (2016)'!$A$3,"MA_HT","SKK","MA_QH","NKH")</f>
        <v>0</v>
      </c>
      <c r="R22" s="42">
        <f ca="1">SUM(S22:T22,V22:AA22,AN22:BD22)</f>
        <v>0</v>
      </c>
      <c r="S22" s="22">
        <f ca="1">+GETPIVOTDATA("XQT4",'quangthanh (2016)'!$A$3,"MA_HT","SKK","MA_QH","CQP")</f>
        <v>0</v>
      </c>
      <c r="T22" s="22">
        <f ca="1">+GETPIVOTDATA("XQT4",'quangthanh (2016)'!$A$3,"MA_HT","SKK","MA_QH","CAN")</f>
        <v>0</v>
      </c>
      <c r="U22" s="43" t="e">
        <f ca="1">$D22-$BF22</f>
        <v>#REF!</v>
      </c>
      <c r="V22" s="22">
        <f ca="1">+GETPIVOTDATA("XQT4",'quangthanh (2016)'!$A$3,"MA_HT","SKK","MA_QH","SKT")</f>
        <v>0</v>
      </c>
      <c r="W22" s="22">
        <f ca="1">+GETPIVOTDATA("XQT4",'quangthanh (2016)'!$A$3,"MA_HT","SKK","MA_QH","SKN")</f>
        <v>0</v>
      </c>
      <c r="X22" s="22">
        <f ca="1">+GETPIVOTDATA("XQT4",'quangthanh (2016)'!$A$3,"MA_HT","SKK","MA_QH","TMD")</f>
        <v>0</v>
      </c>
      <c r="Y22" s="22">
        <f ca="1">+GETPIVOTDATA("XQT4",'quangthanh (2016)'!$A$3,"MA_HT","SKK","MA_QH","SKC")</f>
        <v>0</v>
      </c>
      <c r="Z22" s="22">
        <f ca="1">+GETPIVOTDATA("XQT4",'quangthanh (2016)'!$A$3,"MA_HT","SKK","MA_QH","SKS")</f>
        <v>0</v>
      </c>
      <c r="AA22" s="52">
        <f ca="1" t="shared" si="12"/>
        <v>0</v>
      </c>
      <c r="AB22" s="22">
        <f ca="1">+GETPIVOTDATA("XQT4",'quangthanh (2016)'!$A$3,"MA_HT","SKK","MA_QH","DGT")</f>
        <v>0</v>
      </c>
      <c r="AC22" s="22">
        <f ca="1">+GETPIVOTDATA("XQT4",'quangthanh (2016)'!$A$3,"MA_HT","SKK","MA_QH","DTL")</f>
        <v>0</v>
      </c>
      <c r="AD22" s="22">
        <f ca="1">+GETPIVOTDATA("XQT4",'quangthanh (2016)'!$A$3,"MA_HT","SKK","MA_QH","DNL")</f>
        <v>0</v>
      </c>
      <c r="AE22" s="22">
        <f ca="1">+GETPIVOTDATA("XQT4",'quangthanh (2016)'!$A$3,"MA_HT","SKK","MA_QH","DBV")</f>
        <v>0</v>
      </c>
      <c r="AF22" s="22">
        <f ca="1">+GETPIVOTDATA("XQT4",'quangthanh (2016)'!$A$3,"MA_HT","SKK","MA_QH","DVH")</f>
        <v>0</v>
      </c>
      <c r="AG22" s="22">
        <f ca="1">+GETPIVOTDATA("XQT4",'quangthanh (2016)'!$A$3,"MA_HT","SKK","MA_QH","DYT")</f>
        <v>0</v>
      </c>
      <c r="AH22" s="22">
        <f ca="1">+GETPIVOTDATA("XQT4",'quangthanh (2016)'!$A$3,"MA_HT","SKK","MA_QH","DGD")</f>
        <v>0</v>
      </c>
      <c r="AI22" s="22">
        <f ca="1">+GETPIVOTDATA("XQT4",'quangthanh (2016)'!$A$3,"MA_HT","SKK","MA_QH","DTT")</f>
        <v>0</v>
      </c>
      <c r="AJ22" s="22">
        <f ca="1">+GETPIVOTDATA("XQT4",'quangthanh (2016)'!$A$3,"MA_HT","SKK","MA_QH","NCK")</f>
        <v>0</v>
      </c>
      <c r="AK22" s="22">
        <f ca="1">+GETPIVOTDATA("XQT4",'quangthanh (2016)'!$A$3,"MA_HT","SKK","MA_QH","DXH")</f>
        <v>0</v>
      </c>
      <c r="AL22" s="22">
        <f ca="1">+GETPIVOTDATA("XQT4",'quangthanh (2016)'!$A$3,"MA_HT","SKK","MA_QH","DCH")</f>
        <v>0</v>
      </c>
      <c r="AM22" s="22">
        <f ca="1">+GETPIVOTDATA("XQT4",'quangthanh (2016)'!$A$3,"MA_HT","SKK","MA_QH","DKG")</f>
        <v>0</v>
      </c>
      <c r="AN22" s="22">
        <f ca="1">+GETPIVOTDATA("XQT4",'quangthanh (2016)'!$A$3,"MA_HT","SKK","MA_QH","DDT")</f>
        <v>0</v>
      </c>
      <c r="AO22" s="22">
        <f ca="1">+GETPIVOTDATA("XQT4",'quangthanh (2016)'!$A$3,"MA_HT","SKK","MA_QH","DDL")</f>
        <v>0</v>
      </c>
      <c r="AP22" s="22">
        <f ca="1">+GETPIVOTDATA("XQT4",'quangthanh (2016)'!$A$3,"MA_HT","SKK","MA_QH","DRA")</f>
        <v>0</v>
      </c>
      <c r="AQ22" s="22">
        <f ca="1">+GETPIVOTDATA("XQT4",'quangthanh (2016)'!$A$3,"MA_HT","SKK","MA_QH","ONT")</f>
        <v>0</v>
      </c>
      <c r="AR22" s="22">
        <f ca="1">+GETPIVOTDATA("XQT4",'quangthanh (2016)'!$A$3,"MA_HT","SKK","MA_QH","ODT")</f>
        <v>0</v>
      </c>
      <c r="AS22" s="22">
        <f ca="1">+GETPIVOTDATA("XQT4",'quangthanh (2016)'!$A$3,"MA_HT","SKK","MA_QH","TSC")</f>
        <v>0</v>
      </c>
      <c r="AT22" s="22">
        <f ca="1">+GETPIVOTDATA("XQT4",'quangthanh (2016)'!$A$3,"MA_HT","SKK","MA_QH","DTS")</f>
        <v>0</v>
      </c>
      <c r="AU22" s="22">
        <f ca="1">+GETPIVOTDATA("XQT4",'quangthanh (2016)'!$A$3,"MA_HT","SKK","MA_QH","DNG")</f>
        <v>0</v>
      </c>
      <c r="AV22" s="22">
        <f ca="1">+GETPIVOTDATA("XQT4",'quangthanh (2016)'!$A$3,"MA_HT","SKK","MA_QH","TON")</f>
        <v>0</v>
      </c>
      <c r="AW22" s="22">
        <f ca="1">+GETPIVOTDATA("XQT4",'quangthanh (2016)'!$A$3,"MA_HT","SKK","MA_QH","NTD")</f>
        <v>0</v>
      </c>
      <c r="AX22" s="22">
        <f ca="1">+GETPIVOTDATA("XQT4",'quangthanh (2016)'!$A$3,"MA_HT","SKK","MA_QH","SKX")</f>
        <v>0</v>
      </c>
      <c r="AY22" s="22">
        <f ca="1">+GETPIVOTDATA("XQT4",'quangthanh (2016)'!$A$3,"MA_HT","SKK","MA_QH","DSH")</f>
        <v>0</v>
      </c>
      <c r="AZ22" s="22">
        <f ca="1">+GETPIVOTDATA("XQT4",'quangthanh (2016)'!$A$3,"MA_HT","SKK","MA_QH","DKV")</f>
        <v>0</v>
      </c>
      <c r="BA22" s="89">
        <f ca="1">+GETPIVOTDATA("XQT4",'quangthanh (2016)'!$A$3,"MA_HT","SKK","MA_QH","TIN")</f>
        <v>0</v>
      </c>
      <c r="BB22" s="50">
        <f ca="1">+GETPIVOTDATA("XQT4",'quangthanh (2016)'!$A$3,"MA_HT","SKK","MA_QH","SON")</f>
        <v>0</v>
      </c>
      <c r="BC22" s="50">
        <f ca="1">+GETPIVOTDATA("XQT4",'quangthanh (2016)'!$A$3,"MA_HT","SKK","MA_QH","MNC")</f>
        <v>0</v>
      </c>
      <c r="BD22" s="22">
        <f ca="1">+GETPIVOTDATA("XQT4",'quangthanh (2016)'!$A$3,"MA_HT","SKK","MA_QH","PNK")</f>
        <v>0</v>
      </c>
      <c r="BE22" s="71">
        <f ca="1">+GETPIVOTDATA("XQT4",'quangthanh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+GETPIVOTDATA("XQT4",'quangthanh (2016)'!$A$3,"MA_HT","SKT","MA_QH","LUC")</f>
        <v>0</v>
      </c>
      <c r="H23" s="22">
        <f ca="1">+GETPIVOTDATA("XQT4",'quangthanh (2016)'!$A$3,"MA_HT","SKT","MA_QH","LUK")</f>
        <v>0</v>
      </c>
      <c r="I23" s="22">
        <f ca="1">+GETPIVOTDATA("XQT4",'quangthanh (2016)'!$A$3,"MA_HT","SKT","MA_QH","LUN")</f>
        <v>0</v>
      </c>
      <c r="J23" s="22">
        <f ca="1">+GETPIVOTDATA("XQT4",'quangthanh (2016)'!$A$3,"MA_HT","SKT","MA_QH","HNK")</f>
        <v>0</v>
      </c>
      <c r="K23" s="22">
        <f ca="1">+GETPIVOTDATA("XQT4",'quangthanh (2016)'!$A$3,"MA_HT","SKT","MA_QH","CLN")</f>
        <v>0</v>
      </c>
      <c r="L23" s="22">
        <f ca="1">+GETPIVOTDATA("XQT4",'quangthanh (2016)'!$A$3,"MA_HT","SKT","MA_QH","RSX")</f>
        <v>0</v>
      </c>
      <c r="M23" s="22">
        <f ca="1">+GETPIVOTDATA("XQT4",'quangthanh (2016)'!$A$3,"MA_HT","SKT","MA_QH","RPH")</f>
        <v>0</v>
      </c>
      <c r="N23" s="22">
        <f ca="1">+GETPIVOTDATA("XQT4",'quangthanh (2016)'!$A$3,"MA_HT","SKT","MA_QH","RDD")</f>
        <v>0</v>
      </c>
      <c r="O23" s="22">
        <f ca="1">+GETPIVOTDATA("XQT4",'quangthanh (2016)'!$A$3,"MA_HT","SKT","MA_QH","NTS")</f>
        <v>0</v>
      </c>
      <c r="P23" s="22">
        <f ca="1">+GETPIVOTDATA("XQT4",'quangthanh (2016)'!$A$3,"MA_HT","SKT","MA_QH","LMU")</f>
        <v>0</v>
      </c>
      <c r="Q23" s="22">
        <f ca="1">+GETPIVOTDATA("XQT4",'quangthanh (2016)'!$A$3,"MA_HT","SKT","MA_QH","NKH")</f>
        <v>0</v>
      </c>
      <c r="R23" s="42">
        <f ca="1">SUM(S23:U23,W23:AA23,AN23:BD23)</f>
        <v>0</v>
      </c>
      <c r="S23" s="22">
        <f ca="1">+GETPIVOTDATA("XQT4",'quangthanh (2016)'!$A$3,"MA_HT","SKT","MA_QH","CQP")</f>
        <v>0</v>
      </c>
      <c r="T23" s="22">
        <f ca="1">+GETPIVOTDATA("XQT4",'quangthanh (2016)'!$A$3,"MA_HT","SKT","MA_QH","CAN")</f>
        <v>0</v>
      </c>
      <c r="U23" s="22">
        <f ca="1">+GETPIVOTDATA("XQT4",'quangthanh (2016)'!$A$3,"MA_HT","SKT","MA_QH","SKK")</f>
        <v>0</v>
      </c>
      <c r="V23" s="43" t="e">
        <f ca="1">$D23-$BF23</f>
        <v>#REF!</v>
      </c>
      <c r="W23" s="22">
        <f ca="1">+GETPIVOTDATA("XQT4",'quangthanh (2016)'!$A$3,"MA_HT","SKT","MA_QH","SKN")</f>
        <v>0</v>
      </c>
      <c r="X23" s="22">
        <f ca="1">+GETPIVOTDATA("XQT4",'quangthanh (2016)'!$A$3,"MA_HT","SKT","MA_QH","TMD")</f>
        <v>0</v>
      </c>
      <c r="Y23" s="22">
        <f ca="1">+GETPIVOTDATA("XQT4",'quangthanh (2016)'!$A$3,"MA_HT","SKT","MA_QH","SKC")</f>
        <v>0</v>
      </c>
      <c r="Z23" s="22">
        <f ca="1">+GETPIVOTDATA("XQT4",'quangthanh (2016)'!$A$3,"MA_HT","SKT","MA_QH","SKS")</f>
        <v>0</v>
      </c>
      <c r="AA23" s="52">
        <f ca="1" t="shared" si="12"/>
        <v>0</v>
      </c>
      <c r="AB23" s="22">
        <f ca="1">+GETPIVOTDATA("XQT4",'quangthanh (2016)'!$A$3,"MA_HT","SKT","MA_QH","DGT")</f>
        <v>0</v>
      </c>
      <c r="AC23" s="22">
        <f ca="1">+GETPIVOTDATA("XQT4",'quangthanh (2016)'!$A$3,"MA_HT","SKT","MA_QH","DTL")</f>
        <v>0</v>
      </c>
      <c r="AD23" s="22">
        <f ca="1">+GETPIVOTDATA("XQT4",'quangthanh (2016)'!$A$3,"MA_HT","SKT","MA_QH","DNL")</f>
        <v>0</v>
      </c>
      <c r="AE23" s="22">
        <f ca="1">+GETPIVOTDATA("XQT4",'quangthanh (2016)'!$A$3,"MA_HT","SKT","MA_QH","DBV")</f>
        <v>0</v>
      </c>
      <c r="AF23" s="22">
        <f ca="1">+GETPIVOTDATA("XQT4",'quangthanh (2016)'!$A$3,"MA_HT","SKT","MA_QH","DVH")</f>
        <v>0</v>
      </c>
      <c r="AG23" s="22">
        <f ca="1">+GETPIVOTDATA("XQT4",'quangthanh (2016)'!$A$3,"MA_HT","SKT","MA_QH","DYT")</f>
        <v>0</v>
      </c>
      <c r="AH23" s="22">
        <f ca="1">+GETPIVOTDATA("XQT4",'quangthanh (2016)'!$A$3,"MA_HT","SKT","MA_QH","DGD")</f>
        <v>0</v>
      </c>
      <c r="AI23" s="22">
        <f ca="1">+GETPIVOTDATA("XQT4",'quangthanh (2016)'!$A$3,"MA_HT","SKT","MA_QH","DTT")</f>
        <v>0</v>
      </c>
      <c r="AJ23" s="22">
        <f ca="1">+GETPIVOTDATA("XQT4",'quangthanh (2016)'!$A$3,"MA_HT","SKT","MA_QH","NCK")</f>
        <v>0</v>
      </c>
      <c r="AK23" s="22">
        <f ca="1">+GETPIVOTDATA("XQT4",'quangthanh (2016)'!$A$3,"MA_HT","SKT","MA_QH","DXH")</f>
        <v>0</v>
      </c>
      <c r="AL23" s="22">
        <f ca="1">+GETPIVOTDATA("XQT4",'quangthanh (2016)'!$A$3,"MA_HT","SKT","MA_QH","DCH")</f>
        <v>0</v>
      </c>
      <c r="AM23" s="22">
        <f ca="1">+GETPIVOTDATA("XQT4",'quangthanh (2016)'!$A$3,"MA_HT","SKT","MA_QH","DKG")</f>
        <v>0</v>
      </c>
      <c r="AN23" s="22">
        <f ca="1">+GETPIVOTDATA("XQT4",'quangthanh (2016)'!$A$3,"MA_HT","SKT","MA_QH","DDT")</f>
        <v>0</v>
      </c>
      <c r="AO23" s="22">
        <f ca="1">+GETPIVOTDATA("XQT4",'quangthanh (2016)'!$A$3,"MA_HT","SKT","MA_QH","DDL")</f>
        <v>0</v>
      </c>
      <c r="AP23" s="22">
        <f ca="1">+GETPIVOTDATA("XQT4",'quangthanh (2016)'!$A$3,"MA_HT","SKT","MA_QH","DRA")</f>
        <v>0</v>
      </c>
      <c r="AQ23" s="22">
        <f ca="1">+GETPIVOTDATA("XQT4",'quangthanh (2016)'!$A$3,"MA_HT","SKT","MA_QH","ONT")</f>
        <v>0</v>
      </c>
      <c r="AR23" s="22">
        <f ca="1">+GETPIVOTDATA("XQT4",'quangthanh (2016)'!$A$3,"MA_HT","SKT","MA_QH","ODT")</f>
        <v>0</v>
      </c>
      <c r="AS23" s="22">
        <f ca="1">+GETPIVOTDATA("XQT4",'quangthanh (2016)'!$A$3,"MA_HT","SKT","MA_QH","TSC")</f>
        <v>0</v>
      </c>
      <c r="AT23" s="22">
        <f ca="1">+GETPIVOTDATA("XQT4",'quangthanh (2016)'!$A$3,"MA_HT","SKT","MA_QH","DTS")</f>
        <v>0</v>
      </c>
      <c r="AU23" s="22">
        <f ca="1">+GETPIVOTDATA("XQT4",'quangthanh (2016)'!$A$3,"MA_HT","SKT","MA_QH","DNG")</f>
        <v>0</v>
      </c>
      <c r="AV23" s="22">
        <f ca="1">+GETPIVOTDATA("XQT4",'quangthanh (2016)'!$A$3,"MA_HT","SKT","MA_QH","TON")</f>
        <v>0</v>
      </c>
      <c r="AW23" s="22">
        <f ca="1">+GETPIVOTDATA("XQT4",'quangthanh (2016)'!$A$3,"MA_HT","SKT","MA_QH","NTD")</f>
        <v>0</v>
      </c>
      <c r="AX23" s="22">
        <f ca="1">+GETPIVOTDATA("XQT4",'quangthanh (2016)'!$A$3,"MA_HT","SKT","MA_QH","SKX")</f>
        <v>0</v>
      </c>
      <c r="AY23" s="22">
        <f ca="1">+GETPIVOTDATA("XQT4",'quangthanh (2016)'!$A$3,"MA_HT","SKT","MA_QH","DSH")</f>
        <v>0</v>
      </c>
      <c r="AZ23" s="22">
        <f ca="1">+GETPIVOTDATA("XQT4",'quangthanh (2016)'!$A$3,"MA_HT","SKT","MA_QH","DKV")</f>
        <v>0</v>
      </c>
      <c r="BA23" s="89">
        <f ca="1">+GETPIVOTDATA("XQT4",'quangthanh (2016)'!$A$3,"MA_HT","SKT","MA_QH","TIN")</f>
        <v>0</v>
      </c>
      <c r="BB23" s="50">
        <f ca="1">+GETPIVOTDATA("XQT4",'quangthanh (2016)'!$A$3,"MA_HT","SKT","MA_QH","SON")</f>
        <v>0</v>
      </c>
      <c r="BC23" s="50">
        <f ca="1">+GETPIVOTDATA("XQT4",'quangthanh (2016)'!$A$3,"MA_HT","SKT","MA_QH","MNC")</f>
        <v>0</v>
      </c>
      <c r="BD23" s="22">
        <f ca="1">+GETPIVOTDATA("XQT4",'quangthanh (2016)'!$A$3,"MA_HT","SKT","MA_QH","PNK")</f>
        <v>0</v>
      </c>
      <c r="BE23" s="71">
        <f ca="1">+GETPIVOTDATA("XQT4",'quangthanh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+GETPIVOTDATA("XQT4",'quangthanh (2016)'!$A$3,"MA_HT","SKN","MA_QH","LUC")</f>
        <v>0</v>
      </c>
      <c r="H24" s="22">
        <f ca="1">+GETPIVOTDATA("XQT4",'quangthanh (2016)'!$A$3,"MA_HT","SKN","MA_QH","LUK")</f>
        <v>0</v>
      </c>
      <c r="I24" s="22">
        <f ca="1">+GETPIVOTDATA("XQT4",'quangthanh (2016)'!$A$3,"MA_HT","SKN","MA_QH","LUN")</f>
        <v>0</v>
      </c>
      <c r="J24" s="22">
        <f ca="1">+GETPIVOTDATA("XQT4",'quangthanh (2016)'!$A$3,"MA_HT","SKN","MA_QH","HNK")</f>
        <v>0</v>
      </c>
      <c r="K24" s="22">
        <f ca="1">+GETPIVOTDATA("XQT4",'quangthanh (2016)'!$A$3,"MA_HT","SKN","MA_QH","CLN")</f>
        <v>0</v>
      </c>
      <c r="L24" s="22">
        <f ca="1">+GETPIVOTDATA("XQT4",'quangthanh (2016)'!$A$3,"MA_HT","SKN","MA_QH","RSX")</f>
        <v>0</v>
      </c>
      <c r="M24" s="22">
        <f ca="1">+GETPIVOTDATA("XQT4",'quangthanh (2016)'!$A$3,"MA_HT","SKN","MA_QH","RPH")</f>
        <v>0</v>
      </c>
      <c r="N24" s="22">
        <f ca="1">+GETPIVOTDATA("XQT4",'quangthanh (2016)'!$A$3,"MA_HT","SKN","MA_QH","RDD")</f>
        <v>0</v>
      </c>
      <c r="O24" s="22">
        <f ca="1">+GETPIVOTDATA("XQT4",'quangthanh (2016)'!$A$3,"MA_HT","SKN","MA_QH","NTS")</f>
        <v>0</v>
      </c>
      <c r="P24" s="22">
        <f ca="1">+GETPIVOTDATA("XQT4",'quangthanh (2016)'!$A$3,"MA_HT","SKN","MA_QH","LMU")</f>
        <v>0</v>
      </c>
      <c r="Q24" s="22">
        <f ca="1">+GETPIVOTDATA("XQT4",'quangthanh (2016)'!$A$3,"MA_HT","SKN","MA_QH","NKH")</f>
        <v>0</v>
      </c>
      <c r="R24" s="42">
        <f ca="1">SUM(S24:V24,X24:AA24,AN24:BD24)</f>
        <v>0</v>
      </c>
      <c r="S24" s="22">
        <f ca="1">+GETPIVOTDATA("XQT4",'quangthanh (2016)'!$A$3,"MA_HT","SKN","MA_QH","CQP")</f>
        <v>0</v>
      </c>
      <c r="T24" s="22">
        <f ca="1">+GETPIVOTDATA("XQT4",'quangthanh (2016)'!$A$3,"MA_HT","SKN","MA_QH","CAN")</f>
        <v>0</v>
      </c>
      <c r="U24" s="22">
        <f ca="1">+GETPIVOTDATA("XQT4",'quangthanh (2016)'!$A$3,"MA_HT","SKN","MA_QH","SKK")</f>
        <v>0</v>
      </c>
      <c r="V24" s="22">
        <f ca="1">+GETPIVOTDATA("XQT4",'quangthanh (2016)'!$A$3,"MA_HT","SKN","MA_QH","SKT")</f>
        <v>0</v>
      </c>
      <c r="W24" s="43" t="e">
        <f ca="1">$D24-$BF24</f>
        <v>#REF!</v>
      </c>
      <c r="X24" s="22">
        <f ca="1">+GETPIVOTDATA("XQT4",'quangthanh (2016)'!$A$3,"MA_HT","SKN","MA_QH","TMD")</f>
        <v>0</v>
      </c>
      <c r="Y24" s="22">
        <f ca="1">+GETPIVOTDATA("XQT4",'quangthanh (2016)'!$A$3,"MA_HT","SKN","MA_QH","SKC")</f>
        <v>0</v>
      </c>
      <c r="Z24" s="22">
        <f ca="1">+GETPIVOTDATA("XQT4",'quangthanh (2016)'!$A$3,"MA_HT","SKN","MA_QH","SKS")</f>
        <v>0</v>
      </c>
      <c r="AA24" s="52">
        <f ca="1" t="shared" si="12"/>
        <v>0</v>
      </c>
      <c r="AB24" s="22">
        <f ca="1">+GETPIVOTDATA("XQT4",'quangthanh (2016)'!$A$3,"MA_HT","SKN","MA_QH","DGT")</f>
        <v>0</v>
      </c>
      <c r="AC24" s="22">
        <f ca="1">+GETPIVOTDATA("XQT4",'quangthanh (2016)'!$A$3,"MA_HT","SKN","MA_QH","DTL")</f>
        <v>0</v>
      </c>
      <c r="AD24" s="22">
        <f ca="1">+GETPIVOTDATA("XQT4",'quangthanh (2016)'!$A$3,"MA_HT","SKN","MA_QH","DNL")</f>
        <v>0</v>
      </c>
      <c r="AE24" s="22">
        <f ca="1">+GETPIVOTDATA("XQT4",'quangthanh (2016)'!$A$3,"MA_HT","SKN","MA_QH","DBV")</f>
        <v>0</v>
      </c>
      <c r="AF24" s="22">
        <f ca="1">+GETPIVOTDATA("XQT4",'quangthanh (2016)'!$A$3,"MA_HT","SKN","MA_QH","DVH")</f>
        <v>0</v>
      </c>
      <c r="AG24" s="22">
        <f ca="1">+GETPIVOTDATA("XQT4",'quangthanh (2016)'!$A$3,"MA_HT","SKN","MA_QH","DYT")</f>
        <v>0</v>
      </c>
      <c r="AH24" s="22">
        <f ca="1">+GETPIVOTDATA("XQT4",'quangthanh (2016)'!$A$3,"MA_HT","SKN","MA_QH","DGD")</f>
        <v>0</v>
      </c>
      <c r="AI24" s="22">
        <f ca="1">+GETPIVOTDATA("XQT4",'quangthanh (2016)'!$A$3,"MA_HT","SKN","MA_QH","DTT")</f>
        <v>0</v>
      </c>
      <c r="AJ24" s="22">
        <f ca="1">+GETPIVOTDATA("XQT4",'quangthanh (2016)'!$A$3,"MA_HT","SKN","MA_QH","NCK")</f>
        <v>0</v>
      </c>
      <c r="AK24" s="22">
        <f ca="1">+GETPIVOTDATA("XQT4",'quangthanh (2016)'!$A$3,"MA_HT","SKN","MA_QH","DXH")</f>
        <v>0</v>
      </c>
      <c r="AL24" s="22">
        <f ca="1">+GETPIVOTDATA("XQT4",'quangthanh (2016)'!$A$3,"MA_HT","SKN","MA_QH","DCH")</f>
        <v>0</v>
      </c>
      <c r="AM24" s="22">
        <f ca="1">+GETPIVOTDATA("XQT4",'quangthanh (2016)'!$A$3,"MA_HT","SKN","MA_QH","DKG")</f>
        <v>0</v>
      </c>
      <c r="AN24" s="22">
        <f ca="1">+GETPIVOTDATA("XQT4",'quangthanh (2016)'!$A$3,"MA_HT","SKN","MA_QH","DDT")</f>
        <v>0</v>
      </c>
      <c r="AO24" s="22">
        <f ca="1">+GETPIVOTDATA("XQT4",'quangthanh (2016)'!$A$3,"MA_HT","SKN","MA_QH","DDL")</f>
        <v>0</v>
      </c>
      <c r="AP24" s="22">
        <f ca="1">+GETPIVOTDATA("XQT4",'quangthanh (2016)'!$A$3,"MA_HT","SKN","MA_QH","DRA")</f>
        <v>0</v>
      </c>
      <c r="AQ24" s="22">
        <f ca="1">+GETPIVOTDATA("XQT4",'quangthanh (2016)'!$A$3,"MA_HT","SKN","MA_QH","ONT")</f>
        <v>0</v>
      </c>
      <c r="AR24" s="22">
        <f ca="1">+GETPIVOTDATA("XQT4",'quangthanh (2016)'!$A$3,"MA_HT","SKN","MA_QH","ODT")</f>
        <v>0</v>
      </c>
      <c r="AS24" s="22">
        <f ca="1">+GETPIVOTDATA("XQT4",'quangthanh (2016)'!$A$3,"MA_HT","SKN","MA_QH","TSC")</f>
        <v>0</v>
      </c>
      <c r="AT24" s="22">
        <f ca="1">+GETPIVOTDATA("XQT4",'quangthanh (2016)'!$A$3,"MA_HT","SKN","MA_QH","DTS")</f>
        <v>0</v>
      </c>
      <c r="AU24" s="22">
        <f ca="1">+GETPIVOTDATA("XQT4",'quangthanh (2016)'!$A$3,"MA_HT","SKN","MA_QH","DNG")</f>
        <v>0</v>
      </c>
      <c r="AV24" s="22">
        <f ca="1">+GETPIVOTDATA("XQT4",'quangthanh (2016)'!$A$3,"MA_HT","SKN","MA_QH","TON")</f>
        <v>0</v>
      </c>
      <c r="AW24" s="22">
        <f ca="1">+GETPIVOTDATA("XQT4",'quangthanh (2016)'!$A$3,"MA_HT","SKN","MA_QH","NTD")</f>
        <v>0</v>
      </c>
      <c r="AX24" s="22">
        <f ca="1">+GETPIVOTDATA("XQT4",'quangthanh (2016)'!$A$3,"MA_HT","SKN","MA_QH","SKX")</f>
        <v>0</v>
      </c>
      <c r="AY24" s="22">
        <f ca="1">+GETPIVOTDATA("XQT4",'quangthanh (2016)'!$A$3,"MA_HT","SKN","MA_QH","DSH")</f>
        <v>0</v>
      </c>
      <c r="AZ24" s="22">
        <f ca="1">+GETPIVOTDATA("XQT4",'quangthanh (2016)'!$A$3,"MA_HT","SKN","MA_QH","DKV")</f>
        <v>0</v>
      </c>
      <c r="BA24" s="89">
        <f ca="1">+GETPIVOTDATA("XQT4",'quangthanh (2016)'!$A$3,"MA_HT","SKN","MA_QH","TIN")</f>
        <v>0</v>
      </c>
      <c r="BB24" s="50">
        <f ca="1">+GETPIVOTDATA("XQT4",'quangthanh (2016)'!$A$3,"MA_HT","SKN","MA_QH","SON")</f>
        <v>0</v>
      </c>
      <c r="BC24" s="50">
        <f ca="1">+GETPIVOTDATA("XQT4",'quangthanh (2016)'!$A$3,"MA_HT","SKN","MA_QH","MNC")</f>
        <v>0</v>
      </c>
      <c r="BD24" s="22">
        <f ca="1">+GETPIVOTDATA("XQT4",'quangthanh (2016)'!$A$3,"MA_HT","SKN","MA_QH","PNK")</f>
        <v>0</v>
      </c>
      <c r="BE24" s="71">
        <f ca="1">+GETPIVOTDATA("XQT4",'quangthanh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+GETPIVOTDATA("XQT4",'quangthanh (2016)'!$A$3,"MA_HT","TMD","MA_QH","LUC")</f>
        <v>0</v>
      </c>
      <c r="H25" s="22">
        <f ca="1">+GETPIVOTDATA("XQT4",'quangthanh (2016)'!$A$3,"MA_HT","TMD","MA_QH","LUK")</f>
        <v>0</v>
      </c>
      <c r="I25" s="22">
        <f ca="1">+GETPIVOTDATA("XQT4",'quangthanh (2016)'!$A$3,"MA_HT","TMD","MA_QH","LUN")</f>
        <v>0</v>
      </c>
      <c r="J25" s="22">
        <f ca="1">+GETPIVOTDATA("XQT4",'quangthanh (2016)'!$A$3,"MA_HT","TMD","MA_QH","HNK")</f>
        <v>0</v>
      </c>
      <c r="K25" s="22">
        <f ca="1">+GETPIVOTDATA("XQT4",'quangthanh (2016)'!$A$3,"MA_HT","TMD","MA_QH","CLN")</f>
        <v>0</v>
      </c>
      <c r="L25" s="22">
        <f ca="1">+GETPIVOTDATA("XQT4",'quangthanh (2016)'!$A$3,"MA_HT","TMD","MA_QH","RSX")</f>
        <v>0</v>
      </c>
      <c r="M25" s="22">
        <f ca="1">+GETPIVOTDATA("XQT4",'quangthanh (2016)'!$A$3,"MA_HT","TMD","MA_QH","RPH")</f>
        <v>0</v>
      </c>
      <c r="N25" s="22">
        <f ca="1">+GETPIVOTDATA("XQT4",'quangthanh (2016)'!$A$3,"MA_HT","TMD","MA_QH","RDD")</f>
        <v>0</v>
      </c>
      <c r="O25" s="22">
        <f ca="1">+GETPIVOTDATA("XQT4",'quangthanh (2016)'!$A$3,"MA_HT","TMD","MA_QH","NTS")</f>
        <v>0</v>
      </c>
      <c r="P25" s="22">
        <f ca="1">+GETPIVOTDATA("XQT4",'quangthanh (2016)'!$A$3,"MA_HT","TMD","MA_QH","LMU")</f>
        <v>0</v>
      </c>
      <c r="Q25" s="22">
        <f ca="1">+GETPIVOTDATA("XQT4",'quangthanh (2016)'!$A$3,"MA_HT","TMD","MA_QH","NKH")</f>
        <v>0</v>
      </c>
      <c r="R25" s="42">
        <f ca="1">SUM(S25:W25,Y25:AA25,AN25:BD25)</f>
        <v>0</v>
      </c>
      <c r="S25" s="22">
        <f ca="1">+GETPIVOTDATA("XQT4",'quangthanh (2016)'!$A$3,"MA_HT","TMD","MA_QH","CQP")</f>
        <v>0</v>
      </c>
      <c r="T25" s="22">
        <f ca="1">+GETPIVOTDATA("XQT4",'quangthanh (2016)'!$A$3,"MA_HT","TMD","MA_QH","CAN")</f>
        <v>0</v>
      </c>
      <c r="U25" s="22">
        <f ca="1">+GETPIVOTDATA("XQT4",'quangthanh (2016)'!$A$3,"MA_HT","TMD","MA_QH","SKK")</f>
        <v>0</v>
      </c>
      <c r="V25" s="22">
        <f ca="1">+GETPIVOTDATA("XQT4",'quangthanh (2016)'!$A$3,"MA_HT","TMD","MA_QH","SKT")</f>
        <v>0</v>
      </c>
      <c r="W25" s="22">
        <f ca="1">+GETPIVOTDATA("XQT4",'quangthanh (2016)'!$A$3,"MA_HT","TMD","MA_QH","SKN")</f>
        <v>0</v>
      </c>
      <c r="X25" s="43" t="e">
        <f ca="1">$D25-$BF25</f>
        <v>#REF!</v>
      </c>
      <c r="Y25" s="22">
        <f ca="1">+GETPIVOTDATA("XQT4",'quangthanh (2016)'!$A$3,"MA_HT","TMD","MA_QH","SKC")</f>
        <v>0</v>
      </c>
      <c r="Z25" s="22">
        <f ca="1">+GETPIVOTDATA("XQT4",'quangthanh (2016)'!$A$3,"MA_HT","TMD","MA_QH","SKS")</f>
        <v>0</v>
      </c>
      <c r="AA25" s="52">
        <f ca="1" t="shared" si="12"/>
        <v>0</v>
      </c>
      <c r="AB25" s="22">
        <f ca="1">+GETPIVOTDATA("XQT4",'quangthanh (2016)'!$A$3,"MA_HT","TMD","MA_QH","DGT")</f>
        <v>0</v>
      </c>
      <c r="AC25" s="22">
        <f ca="1">+GETPIVOTDATA("XQT4",'quangthanh (2016)'!$A$3,"MA_HT","TMD","MA_QH","DTL")</f>
        <v>0</v>
      </c>
      <c r="AD25" s="22">
        <f ca="1">+GETPIVOTDATA("XQT4",'quangthanh (2016)'!$A$3,"MA_HT","TMD","MA_QH","DNL")</f>
        <v>0</v>
      </c>
      <c r="AE25" s="22">
        <f ca="1">+GETPIVOTDATA("XQT4",'quangthanh (2016)'!$A$3,"MA_HT","TMD","MA_QH","DBV")</f>
        <v>0</v>
      </c>
      <c r="AF25" s="22">
        <f ca="1">+GETPIVOTDATA("XQT4",'quangthanh (2016)'!$A$3,"MA_HT","TMD","MA_QH","DVH")</f>
        <v>0</v>
      </c>
      <c r="AG25" s="22">
        <f ca="1">+GETPIVOTDATA("XQT4",'quangthanh (2016)'!$A$3,"MA_HT","TMD","MA_QH","DYT")</f>
        <v>0</v>
      </c>
      <c r="AH25" s="22">
        <f ca="1">+GETPIVOTDATA("XQT4",'quangthanh (2016)'!$A$3,"MA_HT","TMD","MA_QH","DGD")</f>
        <v>0</v>
      </c>
      <c r="AI25" s="22">
        <f ca="1">+GETPIVOTDATA("XQT4",'quangthanh (2016)'!$A$3,"MA_HT","TMD","MA_QH","DTT")</f>
        <v>0</v>
      </c>
      <c r="AJ25" s="22">
        <f ca="1">+GETPIVOTDATA("XQT4",'quangthanh (2016)'!$A$3,"MA_HT","TMD","MA_QH","NCK")</f>
        <v>0</v>
      </c>
      <c r="AK25" s="22">
        <f ca="1">+GETPIVOTDATA("XQT4",'quangthanh (2016)'!$A$3,"MA_HT","TMD","MA_QH","DXH")</f>
        <v>0</v>
      </c>
      <c r="AL25" s="22">
        <f ca="1">+GETPIVOTDATA("XQT4",'quangthanh (2016)'!$A$3,"MA_HT","TMD","MA_QH","DCH")</f>
        <v>0</v>
      </c>
      <c r="AM25" s="22">
        <f ca="1">+GETPIVOTDATA("XQT4",'quangthanh (2016)'!$A$3,"MA_HT","TMD","MA_QH","DKG")</f>
        <v>0</v>
      </c>
      <c r="AN25" s="22">
        <f ca="1">+GETPIVOTDATA("XQT4",'quangthanh (2016)'!$A$3,"MA_HT","TMD","MA_QH","DDT")</f>
        <v>0</v>
      </c>
      <c r="AO25" s="22">
        <f ca="1">+GETPIVOTDATA("XQT4",'quangthanh (2016)'!$A$3,"MA_HT","TMD","MA_QH","DDL")</f>
        <v>0</v>
      </c>
      <c r="AP25" s="22">
        <f ca="1">+GETPIVOTDATA("XQT4",'quangthanh (2016)'!$A$3,"MA_HT","TMD","MA_QH","DRA")</f>
        <v>0</v>
      </c>
      <c r="AQ25" s="22">
        <f ca="1">+GETPIVOTDATA("XQT4",'quangthanh (2016)'!$A$3,"MA_HT","TMD","MA_QH","ONT")</f>
        <v>0</v>
      </c>
      <c r="AR25" s="22">
        <f ca="1">+GETPIVOTDATA("XQT4",'quangthanh (2016)'!$A$3,"MA_HT","TMD","MA_QH","ODT")</f>
        <v>0</v>
      </c>
      <c r="AS25" s="22">
        <f ca="1">+GETPIVOTDATA("XQT4",'quangthanh (2016)'!$A$3,"MA_HT","TMD","MA_QH","TSC")</f>
        <v>0</v>
      </c>
      <c r="AT25" s="22">
        <f ca="1">+GETPIVOTDATA("XQT4",'quangthanh (2016)'!$A$3,"MA_HT","TMD","MA_QH","DTS")</f>
        <v>0</v>
      </c>
      <c r="AU25" s="22">
        <f ca="1">+GETPIVOTDATA("XQT4",'quangthanh (2016)'!$A$3,"MA_HT","TMD","MA_QH","DNG")</f>
        <v>0</v>
      </c>
      <c r="AV25" s="22">
        <f ca="1">+GETPIVOTDATA("XQT4",'quangthanh (2016)'!$A$3,"MA_HT","TMD","MA_QH","TON")</f>
        <v>0</v>
      </c>
      <c r="AW25" s="22">
        <f ca="1">+GETPIVOTDATA("XQT4",'quangthanh (2016)'!$A$3,"MA_HT","TMD","MA_QH","NTD")</f>
        <v>0</v>
      </c>
      <c r="AX25" s="22">
        <f ca="1">+GETPIVOTDATA("XQT4",'quangthanh (2016)'!$A$3,"MA_HT","TMD","MA_QH","SKX")</f>
        <v>0</v>
      </c>
      <c r="AY25" s="22">
        <f ca="1">+GETPIVOTDATA("XQT4",'quangthanh (2016)'!$A$3,"MA_HT","TMD","MA_QH","DSH")</f>
        <v>0</v>
      </c>
      <c r="AZ25" s="22">
        <f ca="1">+GETPIVOTDATA("XQT4",'quangthanh (2016)'!$A$3,"MA_HT","TMD","MA_QH","DKV")</f>
        <v>0</v>
      </c>
      <c r="BA25" s="89">
        <f ca="1">+GETPIVOTDATA("XQT4",'quangthanh (2016)'!$A$3,"MA_HT","TMD","MA_QH","TIN")</f>
        <v>0</v>
      </c>
      <c r="BB25" s="50">
        <f ca="1">+GETPIVOTDATA("XQT4",'quangthanh (2016)'!$A$3,"MA_HT","TMD","MA_QH","SON")</f>
        <v>0</v>
      </c>
      <c r="BC25" s="50">
        <f ca="1">+GETPIVOTDATA("XQT4",'quangthanh (2016)'!$A$3,"MA_HT","TMD","MA_QH","MNC")</f>
        <v>0</v>
      </c>
      <c r="BD25" s="22">
        <f ca="1">+GETPIVOTDATA("XQT4",'quangthanh (2016)'!$A$3,"MA_HT","TMD","MA_QH","PNK")</f>
        <v>0</v>
      </c>
      <c r="BE25" s="71">
        <f ca="1">+GETPIVOTDATA("XQT4",'quangthanh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+GETPIVOTDATA("XQT4",'quangthanh (2016)'!$A$3,"MA_HT","SKC","MA_QH","LUC")</f>
        <v>0</v>
      </c>
      <c r="H26" s="22">
        <f ca="1">+GETPIVOTDATA("XQT4",'quangthanh (2016)'!$A$3,"MA_HT","SKC","MA_QH","LUK")</f>
        <v>0</v>
      </c>
      <c r="I26" s="22">
        <f ca="1">+GETPIVOTDATA("XQT4",'quangthanh (2016)'!$A$3,"MA_HT","SKC","MA_QH","LUN")</f>
        <v>0</v>
      </c>
      <c r="J26" s="22">
        <f ca="1">+GETPIVOTDATA("XQT4",'quangthanh (2016)'!$A$3,"MA_HT","SKC","MA_QH","HNK")</f>
        <v>0</v>
      </c>
      <c r="K26" s="22">
        <f ca="1">+GETPIVOTDATA("XQT4",'quangthanh (2016)'!$A$3,"MA_HT","SKC","MA_QH","CLN")</f>
        <v>0</v>
      </c>
      <c r="L26" s="22">
        <f ca="1">+GETPIVOTDATA("XQT4",'quangthanh (2016)'!$A$3,"MA_HT","SKC","MA_QH","RSX")</f>
        <v>0</v>
      </c>
      <c r="M26" s="22">
        <f ca="1">+GETPIVOTDATA("XQT4",'quangthanh (2016)'!$A$3,"MA_HT","SKC","MA_QH","RPH")</f>
        <v>0</v>
      </c>
      <c r="N26" s="22">
        <f ca="1">+GETPIVOTDATA("XQT4",'quangthanh (2016)'!$A$3,"MA_HT","SKC","MA_QH","RDD")</f>
        <v>0</v>
      </c>
      <c r="O26" s="22">
        <f ca="1">+GETPIVOTDATA("XQT4",'quangthanh (2016)'!$A$3,"MA_HT","SKC","MA_QH","NTS")</f>
        <v>0</v>
      </c>
      <c r="P26" s="22">
        <f ca="1">+GETPIVOTDATA("XQT4",'quangthanh (2016)'!$A$3,"MA_HT","SKC","MA_QH","LMU")</f>
        <v>0</v>
      </c>
      <c r="Q26" s="22">
        <f ca="1">+GETPIVOTDATA("XQT4",'quangthanh (2016)'!$A$3,"MA_HT","SKC","MA_QH","NKH")</f>
        <v>0</v>
      </c>
      <c r="R26" s="42">
        <f ca="1">SUM(S26:X26,Z26,AN26:BD26)</f>
        <v>0</v>
      </c>
      <c r="S26" s="22">
        <f ca="1">+GETPIVOTDATA("XQT4",'quangthanh (2016)'!$A$3,"MA_HT","SKC","MA_QH","CQP")</f>
        <v>0</v>
      </c>
      <c r="T26" s="22">
        <f ca="1">+GETPIVOTDATA("XQT4",'quangthanh (2016)'!$A$3,"MA_HT","SKC","MA_QH","CAN")</f>
        <v>0</v>
      </c>
      <c r="U26" s="22">
        <f ca="1">+GETPIVOTDATA("XQT4",'quangthanh (2016)'!$A$3,"MA_HT","SKC","MA_QH","SKK")</f>
        <v>0</v>
      </c>
      <c r="V26" s="22">
        <f ca="1">+GETPIVOTDATA("XQT4",'quangthanh (2016)'!$A$3,"MA_HT","SKC","MA_QH","SKT")</f>
        <v>0</v>
      </c>
      <c r="W26" s="22">
        <f ca="1">+GETPIVOTDATA("XQT4",'quangthanh (2016)'!$A$3,"MA_HT","SKC","MA_QH","SKN")</f>
        <v>0</v>
      </c>
      <c r="X26" s="22">
        <f ca="1">+GETPIVOTDATA("XQT4",'quangthanh (2016)'!$A$3,"MA_HT","SKC","MA_QH","TMD")</f>
        <v>0</v>
      </c>
      <c r="Y26" s="43" t="e">
        <f ca="1">$D26-$BF26</f>
        <v>#REF!</v>
      </c>
      <c r="Z26" s="22">
        <f ca="1">+GETPIVOTDATA("XQT4",'quangthanh (2016)'!$A$3,"MA_HT","SKC","MA_QH","SKS")</f>
        <v>0</v>
      </c>
      <c r="AA26" s="52">
        <f ca="1" t="shared" si="12"/>
        <v>0</v>
      </c>
      <c r="AB26" s="22">
        <f ca="1">+GETPIVOTDATA("XQT4",'quangthanh (2016)'!$A$3,"MA_HT","SKC","MA_QH","DGT")</f>
        <v>0</v>
      </c>
      <c r="AC26" s="22">
        <f ca="1">+GETPIVOTDATA("XQT4",'quangthanh (2016)'!$A$3,"MA_HT","SKC","MA_QH","DTL")</f>
        <v>0</v>
      </c>
      <c r="AD26" s="22">
        <f ca="1">+GETPIVOTDATA("XQT4",'quangthanh (2016)'!$A$3,"MA_HT","SKC","MA_QH","DNL")</f>
        <v>0</v>
      </c>
      <c r="AE26" s="22">
        <f ca="1">+GETPIVOTDATA("XQT4",'quangthanh (2016)'!$A$3,"MA_HT","SKC","MA_QH","DBV")</f>
        <v>0</v>
      </c>
      <c r="AF26" s="22">
        <f ca="1">+GETPIVOTDATA("XQT4",'quangthanh (2016)'!$A$3,"MA_HT","SKC","MA_QH","DVH")</f>
        <v>0</v>
      </c>
      <c r="AG26" s="22">
        <f ca="1">+GETPIVOTDATA("XQT4",'quangthanh (2016)'!$A$3,"MA_HT","SKC","MA_QH","DYT")</f>
        <v>0</v>
      </c>
      <c r="AH26" s="22">
        <f ca="1">+GETPIVOTDATA("XQT4",'quangthanh (2016)'!$A$3,"MA_HT","SKC","MA_QH","DGD")</f>
        <v>0</v>
      </c>
      <c r="AI26" s="22">
        <f ca="1">+GETPIVOTDATA("XQT4",'quangthanh (2016)'!$A$3,"MA_HT","SKC","MA_QH","DTT")</f>
        <v>0</v>
      </c>
      <c r="AJ26" s="22">
        <f ca="1">+GETPIVOTDATA("XQT4",'quangthanh (2016)'!$A$3,"MA_HT","SKC","MA_QH","NCK")</f>
        <v>0</v>
      </c>
      <c r="AK26" s="22">
        <f ca="1">+GETPIVOTDATA("XQT4",'quangthanh (2016)'!$A$3,"MA_HT","SKC","MA_QH","DXH")</f>
        <v>0</v>
      </c>
      <c r="AL26" s="22">
        <f ca="1">+GETPIVOTDATA("XQT4",'quangthanh (2016)'!$A$3,"MA_HT","SKC","MA_QH","DCH")</f>
        <v>0</v>
      </c>
      <c r="AM26" s="22">
        <f ca="1">+GETPIVOTDATA("XQT4",'quangthanh (2016)'!$A$3,"MA_HT","SKC","MA_QH","DKG")</f>
        <v>0</v>
      </c>
      <c r="AN26" s="22">
        <f ca="1">+GETPIVOTDATA("XQT4",'quangthanh (2016)'!$A$3,"MA_HT","SKC","MA_QH","DDT")</f>
        <v>0</v>
      </c>
      <c r="AO26" s="22">
        <f ca="1">+GETPIVOTDATA("XQT4",'quangthanh (2016)'!$A$3,"MA_HT","SKC","MA_QH","DDL")</f>
        <v>0</v>
      </c>
      <c r="AP26" s="22">
        <f ca="1">+GETPIVOTDATA("XQT4",'quangthanh (2016)'!$A$3,"MA_HT","SKC","MA_QH","DRA")</f>
        <v>0</v>
      </c>
      <c r="AQ26" s="22">
        <f ca="1">+GETPIVOTDATA("XQT4",'quangthanh (2016)'!$A$3,"MA_HT","SKC","MA_QH","ONT")</f>
        <v>0</v>
      </c>
      <c r="AR26" s="22">
        <f ca="1">+GETPIVOTDATA("XQT4",'quangthanh (2016)'!$A$3,"MA_HT","SKC","MA_QH","ODT")</f>
        <v>0</v>
      </c>
      <c r="AS26" s="22">
        <f ca="1">+GETPIVOTDATA("XQT4",'quangthanh (2016)'!$A$3,"MA_HT","SKC","MA_QH","TSC")</f>
        <v>0</v>
      </c>
      <c r="AT26" s="22">
        <f ca="1">+GETPIVOTDATA("XQT4",'quangthanh (2016)'!$A$3,"MA_HT","SKC","MA_QH","DTS")</f>
        <v>0</v>
      </c>
      <c r="AU26" s="22">
        <f ca="1">+GETPIVOTDATA("XQT4",'quangthanh (2016)'!$A$3,"MA_HT","SKC","MA_QH","DNG")</f>
        <v>0</v>
      </c>
      <c r="AV26" s="22">
        <f ca="1">+GETPIVOTDATA("XQT4",'quangthanh (2016)'!$A$3,"MA_HT","SKC","MA_QH","TON")</f>
        <v>0</v>
      </c>
      <c r="AW26" s="22">
        <f ca="1">+GETPIVOTDATA("XQT4",'quangthanh (2016)'!$A$3,"MA_HT","SKC","MA_QH","NTD")</f>
        <v>0</v>
      </c>
      <c r="AX26" s="22">
        <f ca="1">+GETPIVOTDATA("XQT4",'quangthanh (2016)'!$A$3,"MA_HT","SKC","MA_QH","SKX")</f>
        <v>0</v>
      </c>
      <c r="AY26" s="22">
        <f ca="1">+GETPIVOTDATA("XQT4",'quangthanh (2016)'!$A$3,"MA_HT","SKC","MA_QH","DSH")</f>
        <v>0</v>
      </c>
      <c r="AZ26" s="22">
        <f ca="1">+GETPIVOTDATA("XQT4",'quangthanh (2016)'!$A$3,"MA_HT","SKC","MA_QH","DKV")</f>
        <v>0</v>
      </c>
      <c r="BA26" s="89">
        <f ca="1">+GETPIVOTDATA("XQT4",'quangthanh (2016)'!$A$3,"MA_HT","SKC","MA_QH","TIN")</f>
        <v>0</v>
      </c>
      <c r="BB26" s="50">
        <f ca="1">+GETPIVOTDATA("XQT4",'quangthanh (2016)'!$A$3,"MA_HT","SKC","MA_QH","SON")</f>
        <v>0</v>
      </c>
      <c r="BC26" s="50">
        <f ca="1">+GETPIVOTDATA("XQT4",'quangthanh (2016)'!$A$3,"MA_HT","SKC","MA_QH","MNC")</f>
        <v>0</v>
      </c>
      <c r="BD26" s="22">
        <f ca="1">+GETPIVOTDATA("XQT4",'quangthanh (2016)'!$A$3,"MA_HT","SKC","MA_QH","PNK")</f>
        <v>0</v>
      </c>
      <c r="BE26" s="71">
        <f ca="1">+GETPIVOTDATA("XQT4",'quangthanh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+GETPIVOTDATA("XQT4",'quangthanh (2016)'!$A$3,"MA_HT","SKS","MA_QH","LUC")</f>
        <v>0</v>
      </c>
      <c r="H27" s="22">
        <f ca="1">+GETPIVOTDATA("XQT4",'quangthanh (2016)'!$A$3,"MA_HT","SKS","MA_QH","LUK")</f>
        <v>0</v>
      </c>
      <c r="I27" s="22">
        <f ca="1">+GETPIVOTDATA("XQT4",'quangthanh (2016)'!$A$3,"MA_HT","SKS","MA_QH","LUN")</f>
        <v>0</v>
      </c>
      <c r="J27" s="22">
        <f ca="1">+GETPIVOTDATA("XQT4",'quangthanh (2016)'!$A$3,"MA_HT","SKS","MA_QH","HNK")</f>
        <v>0</v>
      </c>
      <c r="K27" s="22">
        <f ca="1">+GETPIVOTDATA("XQT4",'quangthanh (2016)'!$A$3,"MA_HT","SKS","MA_QH","CLN")</f>
        <v>0</v>
      </c>
      <c r="L27" s="22">
        <f ca="1">+GETPIVOTDATA("XQT4",'quangthanh (2016)'!$A$3,"MA_HT","SKS","MA_QH","RSX")</f>
        <v>0</v>
      </c>
      <c r="M27" s="22">
        <f ca="1">+GETPIVOTDATA("XQT4",'quangthanh (2016)'!$A$3,"MA_HT","SKS","MA_QH","RPH")</f>
        <v>0</v>
      </c>
      <c r="N27" s="22">
        <f ca="1">+GETPIVOTDATA("XQT4",'quangthanh (2016)'!$A$3,"MA_HT","SKS","MA_QH","RDD")</f>
        <v>0</v>
      </c>
      <c r="O27" s="22">
        <f ca="1">+GETPIVOTDATA("XQT4",'quangthanh (2016)'!$A$3,"MA_HT","SKS","MA_QH","NTS")</f>
        <v>0</v>
      </c>
      <c r="P27" s="22">
        <f ca="1">+GETPIVOTDATA("XQT4",'quangthanh (2016)'!$A$3,"MA_HT","SKS","MA_QH","LMU")</f>
        <v>0</v>
      </c>
      <c r="Q27" s="22">
        <f ca="1">+GETPIVOTDATA("XQT4",'quangthanh (2016)'!$A$3,"MA_HT","SKS","MA_QH","NKH")</f>
        <v>0</v>
      </c>
      <c r="R27" s="42">
        <f ca="1">SUM(S27:Y27,AA27,AN27:BD27)</f>
        <v>0</v>
      </c>
      <c r="S27" s="22">
        <f ca="1">+GETPIVOTDATA("XQT4",'quangthanh (2016)'!$A$3,"MA_HT","SKS","MA_QH","CQP")</f>
        <v>0</v>
      </c>
      <c r="T27" s="22">
        <f ca="1">+GETPIVOTDATA("XQT4",'quangthanh (2016)'!$A$3,"MA_HT","SKS","MA_QH","CAN")</f>
        <v>0</v>
      </c>
      <c r="U27" s="22">
        <f ca="1">+GETPIVOTDATA("XQT4",'quangthanh (2016)'!$A$3,"MA_HT","SKS","MA_QH","SKK")</f>
        <v>0</v>
      </c>
      <c r="V27" s="22">
        <f ca="1">+GETPIVOTDATA("XQT4",'quangthanh (2016)'!$A$3,"MA_HT","SKS","MA_QH","SKT")</f>
        <v>0</v>
      </c>
      <c r="W27" s="22">
        <f ca="1">+GETPIVOTDATA("XQT4",'quangthanh (2016)'!$A$3,"MA_HT","SKS","MA_QH","SKN")</f>
        <v>0</v>
      </c>
      <c r="X27" s="22">
        <f ca="1">+GETPIVOTDATA("XQT4",'quangthanh (2016)'!$A$3,"MA_HT","SKS","MA_QH","TMD")</f>
        <v>0</v>
      </c>
      <c r="Y27" s="22">
        <f ca="1">+GETPIVOTDATA("XQT4",'quangthanh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+GETPIVOTDATA("XQT4",'quangthanh (2016)'!$A$3,"MA_HT","SKS","MA_QH","DGT")</f>
        <v>0</v>
      </c>
      <c r="AC27" s="22">
        <f ca="1">+GETPIVOTDATA("XQT4",'quangthanh (2016)'!$A$3,"MA_HT","SKS","MA_QH","DTL")</f>
        <v>0</v>
      </c>
      <c r="AD27" s="22">
        <f ca="1">+GETPIVOTDATA("XQT4",'quangthanh (2016)'!$A$3,"MA_HT","SKS","MA_QH","DNL")</f>
        <v>0</v>
      </c>
      <c r="AE27" s="22">
        <f ca="1">+GETPIVOTDATA("XQT4",'quangthanh (2016)'!$A$3,"MA_HT","SKS","MA_QH","DBV")</f>
        <v>0</v>
      </c>
      <c r="AF27" s="22">
        <f ca="1">+GETPIVOTDATA("XQT4",'quangthanh (2016)'!$A$3,"MA_HT","SKS","MA_QH","DVH")</f>
        <v>0</v>
      </c>
      <c r="AG27" s="22">
        <f ca="1">+GETPIVOTDATA("XQT4",'quangthanh (2016)'!$A$3,"MA_HT","SKS","MA_QH","DYT")</f>
        <v>0</v>
      </c>
      <c r="AH27" s="22">
        <f ca="1">+GETPIVOTDATA("XQT4",'quangthanh (2016)'!$A$3,"MA_HT","SKS","MA_QH","DGD")</f>
        <v>0</v>
      </c>
      <c r="AI27" s="22">
        <f ca="1">+GETPIVOTDATA("XQT4",'quangthanh (2016)'!$A$3,"MA_HT","SKS","MA_QH","DTT")</f>
        <v>0</v>
      </c>
      <c r="AJ27" s="22">
        <f ca="1">+GETPIVOTDATA("XQT4",'quangthanh (2016)'!$A$3,"MA_HT","SKS","MA_QH","NCK")</f>
        <v>0</v>
      </c>
      <c r="AK27" s="22">
        <f ca="1">+GETPIVOTDATA("XQT4",'quangthanh (2016)'!$A$3,"MA_HT","SKS","MA_QH","DXH")</f>
        <v>0</v>
      </c>
      <c r="AL27" s="22">
        <f ca="1">+GETPIVOTDATA("XQT4",'quangthanh (2016)'!$A$3,"MA_HT","SKS","MA_QH","DCH")</f>
        <v>0</v>
      </c>
      <c r="AM27" s="22">
        <f ca="1">+GETPIVOTDATA("XQT4",'quangthanh (2016)'!$A$3,"MA_HT","SKS","MA_QH","DKG")</f>
        <v>0</v>
      </c>
      <c r="AN27" s="22">
        <f ca="1">+GETPIVOTDATA("XQT4",'quangthanh (2016)'!$A$3,"MA_HT","SKS","MA_QH","DDT")</f>
        <v>0</v>
      </c>
      <c r="AO27" s="22">
        <f ca="1">+GETPIVOTDATA("XQT4",'quangthanh (2016)'!$A$3,"MA_HT","SKS","MA_QH","DDL")</f>
        <v>0</v>
      </c>
      <c r="AP27" s="22">
        <f ca="1">+GETPIVOTDATA("XQT4",'quangthanh (2016)'!$A$3,"MA_HT","SKS","MA_QH","DRA")</f>
        <v>0</v>
      </c>
      <c r="AQ27" s="22">
        <f ca="1">+GETPIVOTDATA("XQT4",'quangthanh (2016)'!$A$3,"MA_HT","SKS","MA_QH","ONT")</f>
        <v>0</v>
      </c>
      <c r="AR27" s="22">
        <f ca="1">+GETPIVOTDATA("XQT4",'quangthanh (2016)'!$A$3,"MA_HT","SKS","MA_QH","ODT")</f>
        <v>0</v>
      </c>
      <c r="AS27" s="22">
        <f ca="1">+GETPIVOTDATA("XQT4",'quangthanh (2016)'!$A$3,"MA_HT","SKS","MA_QH","TSC")</f>
        <v>0</v>
      </c>
      <c r="AT27" s="22">
        <f ca="1">+GETPIVOTDATA("XQT4",'quangthanh (2016)'!$A$3,"MA_HT","SKS","MA_QH","DTS")</f>
        <v>0</v>
      </c>
      <c r="AU27" s="22">
        <f ca="1">+GETPIVOTDATA("XQT4",'quangthanh (2016)'!$A$3,"MA_HT","SKS","MA_QH","DNG")</f>
        <v>0</v>
      </c>
      <c r="AV27" s="22">
        <f ca="1">+GETPIVOTDATA("XQT4",'quangthanh (2016)'!$A$3,"MA_HT","SKS","MA_QH","TON")</f>
        <v>0</v>
      </c>
      <c r="AW27" s="22">
        <f ca="1">+GETPIVOTDATA("XQT4",'quangthanh (2016)'!$A$3,"MA_HT","SKS","MA_QH","NTD")</f>
        <v>0</v>
      </c>
      <c r="AX27" s="22">
        <f ca="1">+GETPIVOTDATA("XQT4",'quangthanh (2016)'!$A$3,"MA_HT","SKS","MA_QH","SKX")</f>
        <v>0</v>
      </c>
      <c r="AY27" s="22">
        <f ca="1">+GETPIVOTDATA("XQT4",'quangthanh (2016)'!$A$3,"MA_HT","SKS","MA_QH","DSH")</f>
        <v>0</v>
      </c>
      <c r="AZ27" s="22">
        <f ca="1">+GETPIVOTDATA("XQT4",'quangthanh (2016)'!$A$3,"MA_HT","SKS","MA_QH","DKV")</f>
        <v>0</v>
      </c>
      <c r="BA27" s="89">
        <f ca="1">+GETPIVOTDATA("XQT4",'quangthanh (2016)'!$A$3,"MA_HT","SKS","MA_QH","TIN")</f>
        <v>0</v>
      </c>
      <c r="BB27" s="50">
        <f ca="1">+GETPIVOTDATA("XQT4",'quangthanh (2016)'!$A$3,"MA_HT","SKS","MA_QH","SON")</f>
        <v>0</v>
      </c>
      <c r="BC27" s="50">
        <f ca="1">+GETPIVOTDATA("XQT4",'quangthanh (2016)'!$A$3,"MA_HT","SKS","MA_QH","MNC")</f>
        <v>0</v>
      </c>
      <c r="BD27" s="22">
        <f ca="1">+GETPIVOTDATA("XQT4",'quangthanh (2016)'!$A$3,"MA_HT","SKS","MA_QH","PNK")</f>
        <v>0</v>
      </c>
      <c r="BE27" s="71">
        <f ca="1">+GETPIVOTDATA("XQT4",'quangthanh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+GETPIVOTDATA("XQT4",'quangthanh (2016)'!$A$3,"MA_HT","DGT","MA_QH","LUC")</f>
        <v>0</v>
      </c>
      <c r="H29" s="50">
        <f ca="1">+GETPIVOTDATA("XQT4",'quangthanh (2016)'!$A$3,"MA_HT","DGT","MA_QH","LUK")</f>
        <v>0</v>
      </c>
      <c r="I29" s="50">
        <f ca="1">+GETPIVOTDATA("XQT4",'quangthanh (2016)'!$A$3,"MA_HT","DGT","MA_QH","LUN")</f>
        <v>0</v>
      </c>
      <c r="J29" s="50">
        <f ca="1">+GETPIVOTDATA("XQT4",'quangthanh (2016)'!$A$3,"MA_HT","DGT","MA_QH","HNK")</f>
        <v>0</v>
      </c>
      <c r="K29" s="50">
        <f ca="1">+GETPIVOTDATA("XQT4",'quangthanh (2016)'!$A$3,"MA_HT","DGT","MA_QH","CLN")</f>
        <v>0</v>
      </c>
      <c r="L29" s="50">
        <f ca="1">+GETPIVOTDATA("XQT4",'quangthanh (2016)'!$A$3,"MA_HT","DGT","MA_QH","RSX")</f>
        <v>0</v>
      </c>
      <c r="M29" s="50">
        <f ca="1">+GETPIVOTDATA("XQT4",'quangthanh (2016)'!$A$3,"MA_HT","DGT","MA_QH","RPH")</f>
        <v>0</v>
      </c>
      <c r="N29" s="50">
        <f ca="1">+GETPIVOTDATA("XQT4",'quangthanh (2016)'!$A$3,"MA_HT","DGT","MA_QH","RDD")</f>
        <v>0</v>
      </c>
      <c r="O29" s="50">
        <f ca="1">+GETPIVOTDATA("XQT4",'quangthanh (2016)'!$A$3,"MA_HT","DGT","MA_QH","NTS")</f>
        <v>0</v>
      </c>
      <c r="P29" s="50">
        <f ca="1">+GETPIVOTDATA("XQT4",'quangthanh (2016)'!$A$3,"MA_HT","DGT","MA_QH","LMU")</f>
        <v>0</v>
      </c>
      <c r="Q29" s="50">
        <f ca="1">+GETPIVOTDATA("XQT4",'quangthanh (2016)'!$A$3,"MA_HT","DGT","MA_QH","NKH")</f>
        <v>0</v>
      </c>
      <c r="R29" s="48">
        <f ca="1">SUM(S29:AA29,AN29:BD29)</f>
        <v>0</v>
      </c>
      <c r="S29" s="50">
        <f ca="1">+GETPIVOTDATA("XQT4",'quangthanh (2016)'!$A$3,"MA_HT","DGT","MA_QH","CQP")</f>
        <v>0</v>
      </c>
      <c r="T29" s="50">
        <f ca="1">+GETPIVOTDATA("XQT4",'quangthanh (2016)'!$A$3,"MA_HT","DGT","MA_QH","CAN")</f>
        <v>0</v>
      </c>
      <c r="U29" s="50">
        <f ca="1">+GETPIVOTDATA("XQT4",'quangthanh (2016)'!$A$3,"MA_HT","DGT","MA_QH","SKK")</f>
        <v>0</v>
      </c>
      <c r="V29" s="50">
        <f ca="1">+GETPIVOTDATA("XQT4",'quangthanh (2016)'!$A$3,"MA_HT","DGT","MA_QH","SKT")</f>
        <v>0</v>
      </c>
      <c r="W29" s="50">
        <f ca="1">+GETPIVOTDATA("XQT4",'quangthanh (2016)'!$A$3,"MA_HT","DGT","MA_QH","SKN")</f>
        <v>0</v>
      </c>
      <c r="X29" s="50">
        <f ca="1">+GETPIVOTDATA("XQT4",'quangthanh (2016)'!$A$3,"MA_HT","DGT","MA_QH","TMD")</f>
        <v>0</v>
      </c>
      <c r="Y29" s="50">
        <f ca="1">+GETPIVOTDATA("XQT4",'quangthanh (2016)'!$A$3,"MA_HT","DGT","MA_QH","SKC")</f>
        <v>0</v>
      </c>
      <c r="Z29" s="50">
        <f ca="1">+GETPIVOTDATA("XQT4",'quangthanh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+GETPIVOTDATA("XQT4",'quangthanh (2016)'!$A$3,"MA_HT","DGT","MA_QH","DTL")</f>
        <v>0</v>
      </c>
      <c r="AD29" s="50">
        <f ca="1">+GETPIVOTDATA("XQT4",'quangthanh (2016)'!$A$3,"MA_HT","DGT","MA_QH","DNL")</f>
        <v>0</v>
      </c>
      <c r="AE29" s="50">
        <f ca="1">+GETPIVOTDATA("XQT4",'quangthanh (2016)'!$A$3,"MA_HT","DGT","MA_QH","DBV")</f>
        <v>0</v>
      </c>
      <c r="AF29" s="50">
        <f ca="1">+GETPIVOTDATA("XQT4",'quangthanh (2016)'!$A$3,"MA_HT","DGT","MA_QH","DVH")</f>
        <v>0</v>
      </c>
      <c r="AG29" s="50">
        <f ca="1">+GETPIVOTDATA("XQT4",'quangthanh (2016)'!$A$3,"MA_HT","DGT","MA_QH","DYT")</f>
        <v>0</v>
      </c>
      <c r="AH29" s="50">
        <f ca="1">+GETPIVOTDATA("XQT4",'quangthanh (2016)'!$A$3,"MA_HT","DGT","MA_QH","DGD")</f>
        <v>0</v>
      </c>
      <c r="AI29" s="50">
        <f ca="1">+GETPIVOTDATA("XQT4",'quangthanh (2016)'!$A$3,"MA_HT","DGT","MA_QH","DTT")</f>
        <v>0</v>
      </c>
      <c r="AJ29" s="50">
        <f ca="1">+GETPIVOTDATA("XQT4",'quangthanh (2016)'!$A$3,"MA_HT","DGT","MA_QH","NCK")</f>
        <v>0</v>
      </c>
      <c r="AK29" s="50">
        <f ca="1">+GETPIVOTDATA("XQT4",'quangthanh (2016)'!$A$3,"MA_HT","DGT","MA_QH","DXH")</f>
        <v>0</v>
      </c>
      <c r="AL29" s="50">
        <f ca="1">+GETPIVOTDATA("XQT4",'quangthanh (2016)'!$A$3,"MA_HT","DGT","MA_QH","DCH")</f>
        <v>0</v>
      </c>
      <c r="AM29" s="50">
        <f ca="1">+GETPIVOTDATA("XQT4",'quangthanh (2016)'!$A$3,"MA_HT","DGT","MA_QH","DKG")</f>
        <v>0</v>
      </c>
      <c r="AN29" s="50">
        <f ca="1">+GETPIVOTDATA("XQT4",'quangthanh (2016)'!$A$3,"MA_HT","DGT","MA_QH","DDT")</f>
        <v>0</v>
      </c>
      <c r="AO29" s="50">
        <f ca="1">+GETPIVOTDATA("XQT4",'quangthanh (2016)'!$A$3,"MA_HT","DGT","MA_QH","DDL")</f>
        <v>0</v>
      </c>
      <c r="AP29" s="50">
        <f ca="1">+GETPIVOTDATA("XQT4",'quangthanh (2016)'!$A$3,"MA_HT","DGT","MA_QH","DRA")</f>
        <v>0</v>
      </c>
      <c r="AQ29" s="50">
        <f ca="1">+GETPIVOTDATA("XQT4",'quangthanh (2016)'!$A$3,"MA_HT","DGT","MA_QH","ONT")</f>
        <v>0</v>
      </c>
      <c r="AR29" s="50">
        <f ca="1">+GETPIVOTDATA("XQT4",'quangthanh (2016)'!$A$3,"MA_HT","DGT","MA_QH","ODT")</f>
        <v>0</v>
      </c>
      <c r="AS29" s="50">
        <f ca="1">+GETPIVOTDATA("XQT4",'quangthanh (2016)'!$A$3,"MA_HT","DGT","MA_QH","TSC")</f>
        <v>0</v>
      </c>
      <c r="AT29" s="50">
        <f ca="1">+GETPIVOTDATA("XQT4",'quangthanh (2016)'!$A$3,"MA_HT","DGT","MA_QH","DTS")</f>
        <v>0</v>
      </c>
      <c r="AU29" s="50">
        <f ca="1">+GETPIVOTDATA("XQT4",'quangthanh (2016)'!$A$3,"MA_HT","DGT","MA_QH","DNG")</f>
        <v>0</v>
      </c>
      <c r="AV29" s="50">
        <f ca="1">+GETPIVOTDATA("XQT4",'quangthanh (2016)'!$A$3,"MA_HT","DGT","MA_QH","TON")</f>
        <v>0</v>
      </c>
      <c r="AW29" s="50">
        <f ca="1">+GETPIVOTDATA("XQT4",'quangthanh (2016)'!$A$3,"MA_HT","DGT","MA_QH","NTD")</f>
        <v>0</v>
      </c>
      <c r="AX29" s="50">
        <f ca="1">+GETPIVOTDATA("XQT4",'quangthanh (2016)'!$A$3,"MA_HT","DGT","MA_QH","SKX")</f>
        <v>0</v>
      </c>
      <c r="AY29" s="50">
        <f ca="1">+GETPIVOTDATA("XQT4",'quangthanh (2016)'!$A$3,"MA_HT","DGT","MA_QH","DSH")</f>
        <v>0</v>
      </c>
      <c r="AZ29" s="50">
        <f ca="1">+GETPIVOTDATA("XQT4",'quangthanh (2016)'!$A$3,"MA_HT","DGT","MA_QH","DKV")</f>
        <v>0</v>
      </c>
      <c r="BA29" s="88">
        <f ca="1">+GETPIVOTDATA("XQT4",'quangthanh (2016)'!$A$3,"MA_HT","DGT","MA_QH","TIN")</f>
        <v>0</v>
      </c>
      <c r="BB29" s="50">
        <f ca="1">+GETPIVOTDATA("XQT4",'quangthanh (2016)'!$A$3,"MA_HT","DGT","MA_QH","SON")</f>
        <v>0</v>
      </c>
      <c r="BC29" s="50">
        <f ca="1">+GETPIVOTDATA("XQT4",'quangthanh (2016)'!$A$3,"MA_HT","DGT","MA_QH","MNC")</f>
        <v>0</v>
      </c>
      <c r="BD29" s="50">
        <f ca="1">+GETPIVOTDATA("XQT4",'quangthanh (2016)'!$A$3,"MA_HT","DGT","MA_QH","PNK")</f>
        <v>0</v>
      </c>
      <c r="BE29" s="80">
        <f ca="1">+GETPIVOTDATA("XQT4",'quangthanh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+GETPIVOTDATA("XQT4",'quangthanh (2016)'!$A$3,"MA_HT","DTL","MA_QH","LUC")</f>
        <v>0</v>
      </c>
      <c r="H30" s="50">
        <f ca="1">+GETPIVOTDATA("XQT4",'quangthanh (2016)'!$A$3,"MA_HT","DTL","MA_QH","LUK")</f>
        <v>0</v>
      </c>
      <c r="I30" s="50">
        <f ca="1">+GETPIVOTDATA("XQT4",'quangthanh (2016)'!$A$3,"MA_HT","DTL","MA_QH","LUN")</f>
        <v>0</v>
      </c>
      <c r="J30" s="50">
        <f ca="1">+GETPIVOTDATA("XQT4",'quangthanh (2016)'!$A$3,"MA_HT","DTL","MA_QH","HNK")</f>
        <v>0</v>
      </c>
      <c r="K30" s="50">
        <f ca="1">+GETPIVOTDATA("XQT4",'quangthanh (2016)'!$A$3,"MA_HT","DTL","MA_QH","CLN")</f>
        <v>0</v>
      </c>
      <c r="L30" s="50">
        <f ca="1">+GETPIVOTDATA("XQT4",'quangthanh (2016)'!$A$3,"MA_HT","DTL","MA_QH","RSX")</f>
        <v>0</v>
      </c>
      <c r="M30" s="50">
        <f ca="1">+GETPIVOTDATA("XQT4",'quangthanh (2016)'!$A$3,"MA_HT","DTL","MA_QH","RPH")</f>
        <v>0</v>
      </c>
      <c r="N30" s="50">
        <f ca="1">+GETPIVOTDATA("XQT4",'quangthanh (2016)'!$A$3,"MA_HT","DTL","MA_QH","RDD")</f>
        <v>0</v>
      </c>
      <c r="O30" s="50">
        <f ca="1">+GETPIVOTDATA("XQT4",'quangthanh (2016)'!$A$3,"MA_HT","DTL","MA_QH","NTS")</f>
        <v>0</v>
      </c>
      <c r="P30" s="50">
        <f ca="1">+GETPIVOTDATA("XQT4",'quangthanh (2016)'!$A$3,"MA_HT","DTL","MA_QH","LMU")</f>
        <v>0</v>
      </c>
      <c r="Q30" s="50">
        <f ca="1">+GETPIVOTDATA("XQT4",'quangthanh (2016)'!$A$3,"MA_HT","DTL","MA_QH","NKH")</f>
        <v>0</v>
      </c>
      <c r="R30" s="48">
        <f ca="1" t="shared" ref="R30:R40" si="20">SUM(S30:AA30,AN30:BD30)</f>
        <v>0</v>
      </c>
      <c r="S30" s="50">
        <f ca="1">+GETPIVOTDATA("XQT4",'quangthanh (2016)'!$A$3,"MA_HT","DTL","MA_QH","CQP")</f>
        <v>0</v>
      </c>
      <c r="T30" s="50">
        <f ca="1">+GETPIVOTDATA("XQT4",'quangthanh (2016)'!$A$3,"MA_HT","DTL","MA_QH","CAN")</f>
        <v>0</v>
      </c>
      <c r="U30" s="50">
        <f ca="1">+GETPIVOTDATA("XQT4",'quangthanh (2016)'!$A$3,"MA_HT","DTL","MA_QH","SKK")</f>
        <v>0</v>
      </c>
      <c r="V30" s="50">
        <f ca="1">+GETPIVOTDATA("XQT4",'quangthanh (2016)'!$A$3,"MA_HT","DTL","MA_QH","SKT")</f>
        <v>0</v>
      </c>
      <c r="W30" s="50">
        <f ca="1">+GETPIVOTDATA("XQT4",'quangthanh (2016)'!$A$3,"MA_HT","DTL","MA_QH","SKN")</f>
        <v>0</v>
      </c>
      <c r="X30" s="50">
        <f ca="1">+GETPIVOTDATA("XQT4",'quangthanh (2016)'!$A$3,"MA_HT","DTL","MA_QH","TMD")</f>
        <v>0</v>
      </c>
      <c r="Y30" s="50">
        <f ca="1">+GETPIVOTDATA("XQT4",'quangthanh (2016)'!$A$3,"MA_HT","DTL","MA_QH","SKC")</f>
        <v>0</v>
      </c>
      <c r="Z30" s="50">
        <f ca="1">+GETPIVOTDATA("XQT4",'quangthanh (2016)'!$A$3,"MA_HT","DTL","MA_QH","SKS")</f>
        <v>0</v>
      </c>
      <c r="AA30" s="52">
        <f ca="1">+SUM(AB30,AD30:AM30)</f>
        <v>0</v>
      </c>
      <c r="AB30" s="50">
        <f ca="1">+GETPIVOTDATA("XQT4",'quangthanh (2016)'!$A$3,"MA_HT","DTL","MA_QH","DGT")</f>
        <v>0</v>
      </c>
      <c r="AC30" s="49" t="e">
        <f ca="1">$D30-$BF30</f>
        <v>#REF!</v>
      </c>
      <c r="AD30" s="50">
        <f ca="1">+GETPIVOTDATA("XQT4",'quangthanh (2016)'!$A$3,"MA_HT","DTL","MA_QH","DNL")</f>
        <v>0</v>
      </c>
      <c r="AE30" s="50">
        <f ca="1">+GETPIVOTDATA("XQT4",'quangthanh (2016)'!$A$3,"MA_HT","DTL","MA_QH","DBV")</f>
        <v>0</v>
      </c>
      <c r="AF30" s="50">
        <f ca="1">+GETPIVOTDATA("XQT4",'quangthanh (2016)'!$A$3,"MA_HT","DTL","MA_QH","DVH")</f>
        <v>0</v>
      </c>
      <c r="AG30" s="50">
        <f ca="1">+GETPIVOTDATA("XQT4",'quangthanh (2016)'!$A$3,"MA_HT","DTL","MA_QH","DYT")</f>
        <v>0</v>
      </c>
      <c r="AH30" s="50">
        <f ca="1">+GETPIVOTDATA("XQT4",'quangthanh (2016)'!$A$3,"MA_HT","DTL","MA_QH","DGD")</f>
        <v>0</v>
      </c>
      <c r="AI30" s="50">
        <f ca="1">+GETPIVOTDATA("XQT4",'quangthanh (2016)'!$A$3,"MA_HT","DTL","MA_QH","DTT")</f>
        <v>0</v>
      </c>
      <c r="AJ30" s="50">
        <f ca="1">+GETPIVOTDATA("XQT4",'quangthanh (2016)'!$A$3,"MA_HT","DTL","MA_QH","NCK")</f>
        <v>0</v>
      </c>
      <c r="AK30" s="50">
        <f ca="1">+GETPIVOTDATA("XQT4",'quangthanh (2016)'!$A$3,"MA_HT","DTL","MA_QH","DXH")</f>
        <v>0</v>
      </c>
      <c r="AL30" s="50">
        <f ca="1">+GETPIVOTDATA("XQT4",'quangthanh (2016)'!$A$3,"MA_HT","DTL","MA_QH","DCH")</f>
        <v>0</v>
      </c>
      <c r="AM30" s="50">
        <f ca="1">+GETPIVOTDATA("XQT4",'quangthanh (2016)'!$A$3,"MA_HT","DTL","MA_QH","DKG")</f>
        <v>0</v>
      </c>
      <c r="AN30" s="50">
        <f ca="1">+GETPIVOTDATA("XQT4",'quangthanh (2016)'!$A$3,"MA_HT","DTL","MA_QH","DDT")</f>
        <v>0</v>
      </c>
      <c r="AO30" s="50">
        <f ca="1">+GETPIVOTDATA("XQT4",'quangthanh (2016)'!$A$3,"MA_HT","DTL","MA_QH","DDL")</f>
        <v>0</v>
      </c>
      <c r="AP30" s="50">
        <f ca="1">+GETPIVOTDATA("XQT4",'quangthanh (2016)'!$A$3,"MA_HT","DTL","MA_QH","DRA")</f>
        <v>0</v>
      </c>
      <c r="AQ30" s="50">
        <f ca="1">+GETPIVOTDATA("XQT4",'quangthanh (2016)'!$A$3,"MA_HT","DTL","MA_QH","ONT")</f>
        <v>0</v>
      </c>
      <c r="AR30" s="50">
        <f ca="1">+GETPIVOTDATA("XQT4",'quangthanh (2016)'!$A$3,"MA_HT","DTL","MA_QH","ODT")</f>
        <v>0</v>
      </c>
      <c r="AS30" s="50">
        <f ca="1">+GETPIVOTDATA("XQT4",'quangthanh (2016)'!$A$3,"MA_HT","DTL","MA_QH","TSC")</f>
        <v>0</v>
      </c>
      <c r="AT30" s="50">
        <f ca="1">+GETPIVOTDATA("XQT4",'quangthanh (2016)'!$A$3,"MA_HT","DTL","MA_QH","DTS")</f>
        <v>0</v>
      </c>
      <c r="AU30" s="50">
        <f ca="1">+GETPIVOTDATA("XQT4",'quangthanh (2016)'!$A$3,"MA_HT","DTL","MA_QH","DNG")</f>
        <v>0</v>
      </c>
      <c r="AV30" s="50">
        <f ca="1">+GETPIVOTDATA("XQT4",'quangthanh (2016)'!$A$3,"MA_HT","DTL","MA_QH","TON")</f>
        <v>0</v>
      </c>
      <c r="AW30" s="50">
        <f ca="1">+GETPIVOTDATA("XQT4",'quangthanh (2016)'!$A$3,"MA_HT","DTL","MA_QH","NTD")</f>
        <v>0</v>
      </c>
      <c r="AX30" s="50">
        <f ca="1">+GETPIVOTDATA("XQT4",'quangthanh (2016)'!$A$3,"MA_HT","DTL","MA_QH","SKX")</f>
        <v>0</v>
      </c>
      <c r="AY30" s="50">
        <f ca="1">+GETPIVOTDATA("XQT4",'quangthanh (2016)'!$A$3,"MA_HT","DTL","MA_QH","DSH")</f>
        <v>0</v>
      </c>
      <c r="AZ30" s="50">
        <f ca="1">+GETPIVOTDATA("XQT4",'quangthanh (2016)'!$A$3,"MA_HT","DTL","MA_QH","DKV")</f>
        <v>0</v>
      </c>
      <c r="BA30" s="88">
        <f ca="1">+GETPIVOTDATA("XQT4",'quangthanh (2016)'!$A$3,"MA_HT","DTL","MA_QH","TIN")</f>
        <v>0</v>
      </c>
      <c r="BB30" s="50">
        <f ca="1">+GETPIVOTDATA("XQT4",'quangthanh (2016)'!$A$3,"MA_HT","DTL","MA_QH","SON")</f>
        <v>0</v>
      </c>
      <c r="BC30" s="50">
        <f ca="1">+GETPIVOTDATA("XQT4",'quangthanh (2016)'!$A$3,"MA_HT","DTL","MA_QH","MNC")</f>
        <v>0</v>
      </c>
      <c r="BD30" s="50">
        <f ca="1">+GETPIVOTDATA("XQT4",'quangthanh (2016)'!$A$3,"MA_HT","DTL","MA_QH","PNK")</f>
        <v>0</v>
      </c>
      <c r="BE30" s="80">
        <f ca="1">+GETPIVOTDATA("XQT4",'quangthanh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+GETPIVOTDATA("XQT4",'quangthanh (2016)'!$A$3,"MA_HT","DNL","MA_QH","LUC")</f>
        <v>0</v>
      </c>
      <c r="H31" s="50">
        <f ca="1">+GETPIVOTDATA("XQT4",'quangthanh (2016)'!$A$3,"MA_HT","DNL","MA_QH","LUK")</f>
        <v>0</v>
      </c>
      <c r="I31" s="50">
        <f ca="1">+GETPIVOTDATA("XQT4",'quangthanh (2016)'!$A$3,"MA_HT","DNL","MA_QH","LUN")</f>
        <v>0</v>
      </c>
      <c r="J31" s="50">
        <f ca="1">+GETPIVOTDATA("XQT4",'quangthanh (2016)'!$A$3,"MA_HT","DNL","MA_QH","HNK")</f>
        <v>0</v>
      </c>
      <c r="K31" s="50">
        <f ca="1">+GETPIVOTDATA("XQT4",'quangthanh (2016)'!$A$3,"MA_HT","DNL","MA_QH","CLN")</f>
        <v>0</v>
      </c>
      <c r="L31" s="50">
        <f ca="1">+GETPIVOTDATA("XQT4",'quangthanh (2016)'!$A$3,"MA_HT","DNL","MA_QH","RSX")</f>
        <v>0</v>
      </c>
      <c r="M31" s="50">
        <f ca="1">+GETPIVOTDATA("XQT4",'quangthanh (2016)'!$A$3,"MA_HT","DNL","MA_QH","RPH")</f>
        <v>0</v>
      </c>
      <c r="N31" s="50">
        <f ca="1">+GETPIVOTDATA("XQT4",'quangthanh (2016)'!$A$3,"MA_HT","DNL","MA_QH","RDD")</f>
        <v>0</v>
      </c>
      <c r="O31" s="50">
        <f ca="1">+GETPIVOTDATA("XQT4",'quangthanh (2016)'!$A$3,"MA_HT","DNL","MA_QH","NTS")</f>
        <v>0</v>
      </c>
      <c r="P31" s="50">
        <f ca="1">+GETPIVOTDATA("XQT4",'quangthanh (2016)'!$A$3,"MA_HT","DNL","MA_QH","LMU")</f>
        <v>0</v>
      </c>
      <c r="Q31" s="50">
        <f ca="1">+GETPIVOTDATA("XQT4",'quangthanh (2016)'!$A$3,"MA_HT","DNL","MA_QH","NKH")</f>
        <v>0</v>
      </c>
      <c r="R31" s="48">
        <f ca="1" t="shared" si="20"/>
        <v>0</v>
      </c>
      <c r="S31" s="50">
        <f ca="1">+GETPIVOTDATA("XQT4",'quangthanh (2016)'!$A$3,"MA_HT","DNL","MA_QH","CQP")</f>
        <v>0</v>
      </c>
      <c r="T31" s="50">
        <f ca="1">+GETPIVOTDATA("XQT4",'quangthanh (2016)'!$A$3,"MA_HT","DNL","MA_QH","CAN")</f>
        <v>0</v>
      </c>
      <c r="U31" s="50">
        <f ca="1">+GETPIVOTDATA("XQT4",'quangthanh (2016)'!$A$3,"MA_HT","DNL","MA_QH","SKK")</f>
        <v>0</v>
      </c>
      <c r="V31" s="50">
        <f ca="1">+GETPIVOTDATA("XQT4",'quangthanh (2016)'!$A$3,"MA_HT","DNL","MA_QH","SKT")</f>
        <v>0</v>
      </c>
      <c r="W31" s="50">
        <f ca="1">+GETPIVOTDATA("XQT4",'quangthanh (2016)'!$A$3,"MA_HT","DNL","MA_QH","SKN")</f>
        <v>0</v>
      </c>
      <c r="X31" s="50">
        <f ca="1">+GETPIVOTDATA("XQT4",'quangthanh (2016)'!$A$3,"MA_HT","DNL","MA_QH","TMD")</f>
        <v>0</v>
      </c>
      <c r="Y31" s="50">
        <f ca="1">+GETPIVOTDATA("XQT4",'quangthanh (2016)'!$A$3,"MA_HT","DNL","MA_QH","SKC")</f>
        <v>0</v>
      </c>
      <c r="Z31" s="50">
        <f ca="1">+GETPIVOTDATA("XQT4",'quangthanh (2016)'!$A$3,"MA_HT","DNL","MA_QH","SKS")</f>
        <v>0</v>
      </c>
      <c r="AA31" s="52">
        <f ca="1">+SUM(AB31:AC31,AE31:AM31)</f>
        <v>0</v>
      </c>
      <c r="AB31" s="50">
        <f ca="1">+GETPIVOTDATA("XQT4",'quangthanh (2016)'!$A$3,"MA_HT","DNL","MA_QH","DGT")</f>
        <v>0</v>
      </c>
      <c r="AC31" s="50">
        <f ca="1">+GETPIVOTDATA("XQT4",'quangthanh (2016)'!$A$3,"MA_HT","DNL","MA_QH","DTL")</f>
        <v>0</v>
      </c>
      <c r="AD31" s="49" t="e">
        <f ca="1">$D31-$BF31</f>
        <v>#REF!</v>
      </c>
      <c r="AE31" s="50">
        <f ca="1">+GETPIVOTDATA("XQT4",'quangthanh (2016)'!$A$3,"MA_HT","DNL","MA_QH","DBV")</f>
        <v>0</v>
      </c>
      <c r="AF31" s="50">
        <f ca="1">+GETPIVOTDATA("XQT4",'quangthanh (2016)'!$A$3,"MA_HT","DNL","MA_QH","DVH")</f>
        <v>0</v>
      </c>
      <c r="AG31" s="50">
        <f ca="1">+GETPIVOTDATA("XQT4",'quangthanh (2016)'!$A$3,"MA_HT","DNL","MA_QH","DYT")</f>
        <v>0</v>
      </c>
      <c r="AH31" s="50">
        <f ca="1">+GETPIVOTDATA("XQT4",'quangthanh (2016)'!$A$3,"MA_HT","DNL","MA_QH","DGD")</f>
        <v>0</v>
      </c>
      <c r="AI31" s="50">
        <f ca="1">+GETPIVOTDATA("XQT4",'quangthanh (2016)'!$A$3,"MA_HT","DNL","MA_QH","DTT")</f>
        <v>0</v>
      </c>
      <c r="AJ31" s="50">
        <f ca="1">+GETPIVOTDATA("XQT4",'quangthanh (2016)'!$A$3,"MA_HT","DNL","MA_QH","NCK")</f>
        <v>0</v>
      </c>
      <c r="AK31" s="50">
        <f ca="1">+GETPIVOTDATA("XQT4",'quangthanh (2016)'!$A$3,"MA_HT","DNL","MA_QH","DXH")</f>
        <v>0</v>
      </c>
      <c r="AL31" s="50">
        <f ca="1">+GETPIVOTDATA("XQT4",'quangthanh (2016)'!$A$3,"MA_HT","DNL","MA_QH","DCH")</f>
        <v>0</v>
      </c>
      <c r="AM31" s="50">
        <f ca="1">+GETPIVOTDATA("XQT4",'quangthanh (2016)'!$A$3,"MA_HT","DNL","MA_QH","DKG")</f>
        <v>0</v>
      </c>
      <c r="AN31" s="50">
        <f ca="1">+GETPIVOTDATA("XQT4",'quangthanh (2016)'!$A$3,"MA_HT","DNL","MA_QH","DDT")</f>
        <v>0</v>
      </c>
      <c r="AO31" s="50">
        <f ca="1">+GETPIVOTDATA("XQT4",'quangthanh (2016)'!$A$3,"MA_HT","DNL","MA_QH","DDL")</f>
        <v>0</v>
      </c>
      <c r="AP31" s="50">
        <f ca="1">+GETPIVOTDATA("XQT4",'quangthanh (2016)'!$A$3,"MA_HT","DNL","MA_QH","DRA")</f>
        <v>0</v>
      </c>
      <c r="AQ31" s="50">
        <f ca="1">+GETPIVOTDATA("XQT4",'quangthanh (2016)'!$A$3,"MA_HT","DNL","MA_QH","ONT")</f>
        <v>0</v>
      </c>
      <c r="AR31" s="50">
        <f ca="1">+GETPIVOTDATA("XQT4",'quangthanh (2016)'!$A$3,"MA_HT","DNL","MA_QH","ODT")</f>
        <v>0</v>
      </c>
      <c r="AS31" s="50">
        <f ca="1">+GETPIVOTDATA("XQT4",'quangthanh (2016)'!$A$3,"MA_HT","DNL","MA_QH","TSC")</f>
        <v>0</v>
      </c>
      <c r="AT31" s="50">
        <f ca="1">+GETPIVOTDATA("XQT4",'quangthanh (2016)'!$A$3,"MA_HT","DNL","MA_QH","DTS")</f>
        <v>0</v>
      </c>
      <c r="AU31" s="50">
        <f ca="1">+GETPIVOTDATA("XQT4",'quangthanh (2016)'!$A$3,"MA_HT","DNL","MA_QH","DNG")</f>
        <v>0</v>
      </c>
      <c r="AV31" s="50">
        <f ca="1">+GETPIVOTDATA("XQT4",'quangthanh (2016)'!$A$3,"MA_HT","DNL","MA_QH","TON")</f>
        <v>0</v>
      </c>
      <c r="AW31" s="50">
        <f ca="1">+GETPIVOTDATA("XQT4",'quangthanh (2016)'!$A$3,"MA_HT","DNL","MA_QH","NTD")</f>
        <v>0</v>
      </c>
      <c r="AX31" s="50">
        <f ca="1">+GETPIVOTDATA("XQT4",'quangthanh (2016)'!$A$3,"MA_HT","DNL","MA_QH","SKX")</f>
        <v>0</v>
      </c>
      <c r="AY31" s="50">
        <f ca="1">+GETPIVOTDATA("XQT4",'quangthanh (2016)'!$A$3,"MA_HT","DNL","MA_QH","DSH")</f>
        <v>0</v>
      </c>
      <c r="AZ31" s="50">
        <f ca="1">+GETPIVOTDATA("XQT4",'quangthanh (2016)'!$A$3,"MA_HT","DNL","MA_QH","DKV")</f>
        <v>0</v>
      </c>
      <c r="BA31" s="88">
        <f ca="1">+GETPIVOTDATA("XQT4",'quangthanh (2016)'!$A$3,"MA_HT","DNL","MA_QH","TIN")</f>
        <v>0</v>
      </c>
      <c r="BB31" s="50">
        <f ca="1">+GETPIVOTDATA("XQT4",'quangthanh (2016)'!$A$3,"MA_HT","DNL","MA_QH","SON")</f>
        <v>0</v>
      </c>
      <c r="BC31" s="50">
        <f ca="1">+GETPIVOTDATA("XQT4",'quangthanh (2016)'!$A$3,"MA_HT","DNL","MA_QH","MNC")</f>
        <v>0</v>
      </c>
      <c r="BD31" s="50">
        <f ca="1">+GETPIVOTDATA("XQT4",'quangthanh (2016)'!$A$3,"MA_HT","DNL","MA_QH","PNK")</f>
        <v>0</v>
      </c>
      <c r="BE31" s="80">
        <f ca="1">+GETPIVOTDATA("XQT4",'quangthanh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+GETPIVOTDATA("XQT4",'quangthanh (2016)'!$A$3,"MA_HT","DBV","MA_QH","LUC")</f>
        <v>0</v>
      </c>
      <c r="H32" s="50">
        <f ca="1">+GETPIVOTDATA("XQT4",'quangthanh (2016)'!$A$3,"MA_HT","DBV","MA_QH","LUK")</f>
        <v>0</v>
      </c>
      <c r="I32" s="50">
        <f ca="1">+GETPIVOTDATA("XQT4",'quangthanh (2016)'!$A$3,"MA_HT","DBV","MA_QH","LUN")</f>
        <v>0</v>
      </c>
      <c r="J32" s="50">
        <f ca="1">+GETPIVOTDATA("XQT4",'quangthanh (2016)'!$A$3,"MA_HT","DBV","MA_QH","HNK")</f>
        <v>0</v>
      </c>
      <c r="K32" s="50">
        <f ca="1">+GETPIVOTDATA("XQT4",'quangthanh (2016)'!$A$3,"MA_HT","DBV","MA_QH","CLN")</f>
        <v>0</v>
      </c>
      <c r="L32" s="50">
        <f ca="1">+GETPIVOTDATA("XQT4",'quangthanh (2016)'!$A$3,"MA_HT","DBV","MA_QH","RSX")</f>
        <v>0</v>
      </c>
      <c r="M32" s="50">
        <f ca="1">+GETPIVOTDATA("XQT4",'quangthanh (2016)'!$A$3,"MA_HT","DBV","MA_QH","RPH")</f>
        <v>0</v>
      </c>
      <c r="N32" s="50">
        <f ca="1">+GETPIVOTDATA("XQT4",'quangthanh (2016)'!$A$3,"MA_HT","DBV","MA_QH","RDD")</f>
        <v>0</v>
      </c>
      <c r="O32" s="50">
        <f ca="1">+GETPIVOTDATA("XQT4",'quangthanh (2016)'!$A$3,"MA_HT","DBV","MA_QH","NTS")</f>
        <v>0</v>
      </c>
      <c r="P32" s="50">
        <f ca="1">+GETPIVOTDATA("XQT4",'quangthanh (2016)'!$A$3,"MA_HT","DBV","MA_QH","LMU")</f>
        <v>0</v>
      </c>
      <c r="Q32" s="50">
        <f ca="1">+GETPIVOTDATA("XQT4",'quangthanh (2016)'!$A$3,"MA_HT","DBV","MA_QH","NKH")</f>
        <v>0</v>
      </c>
      <c r="R32" s="48">
        <f ca="1" t="shared" si="20"/>
        <v>0</v>
      </c>
      <c r="S32" s="50">
        <f ca="1">+GETPIVOTDATA("XQT4",'quangthanh (2016)'!$A$3,"MA_HT","DBV","MA_QH","CQP")</f>
        <v>0</v>
      </c>
      <c r="T32" s="50">
        <f ca="1">+GETPIVOTDATA("XQT4",'quangthanh (2016)'!$A$3,"MA_HT","DBV","MA_QH","CAN")</f>
        <v>0</v>
      </c>
      <c r="U32" s="50">
        <f ca="1">+GETPIVOTDATA("XQT4",'quangthanh (2016)'!$A$3,"MA_HT","DBV","MA_QH","SKK")</f>
        <v>0</v>
      </c>
      <c r="V32" s="50">
        <f ca="1">+GETPIVOTDATA("XQT4",'quangthanh (2016)'!$A$3,"MA_HT","DBV","MA_QH","SKT")</f>
        <v>0</v>
      </c>
      <c r="W32" s="50">
        <f ca="1">+GETPIVOTDATA("XQT4",'quangthanh (2016)'!$A$3,"MA_HT","DBV","MA_QH","SKN")</f>
        <v>0</v>
      </c>
      <c r="X32" s="50">
        <f ca="1">+GETPIVOTDATA("XQT4",'quangthanh (2016)'!$A$3,"MA_HT","DBV","MA_QH","TMD")</f>
        <v>0</v>
      </c>
      <c r="Y32" s="50">
        <f ca="1">+GETPIVOTDATA("XQT4",'quangthanh (2016)'!$A$3,"MA_HT","DBV","MA_QH","SKC")</f>
        <v>0</v>
      </c>
      <c r="Z32" s="50">
        <f ca="1">+GETPIVOTDATA("XQT4",'quangthanh (2016)'!$A$3,"MA_HT","DBV","MA_QH","SKS")</f>
        <v>0</v>
      </c>
      <c r="AA32" s="52">
        <f ca="1">+SUM(AB32:AD32,AF32:AM32)</f>
        <v>0</v>
      </c>
      <c r="AB32" s="50">
        <f ca="1">+GETPIVOTDATA("XQT4",'quangthanh (2016)'!$A$3,"MA_HT","DBV","MA_QH","DGT")</f>
        <v>0</v>
      </c>
      <c r="AC32" s="50">
        <f ca="1">+GETPIVOTDATA("XQT4",'quangthanh (2016)'!$A$3,"MA_HT","DBV","MA_QH","DTL")</f>
        <v>0</v>
      </c>
      <c r="AD32" s="50">
        <f ca="1">+GETPIVOTDATA("XQT4",'quangthanh (2016)'!$A$3,"MA_HT","DBV","MA_QH","DNL")</f>
        <v>0</v>
      </c>
      <c r="AE32" s="49" t="e">
        <f ca="1">$D32-$BF32</f>
        <v>#REF!</v>
      </c>
      <c r="AF32" s="50">
        <f ca="1">+GETPIVOTDATA("XQT4",'quangthanh (2016)'!$A$3,"MA_HT","DBV","MA_QH","DVH")</f>
        <v>0</v>
      </c>
      <c r="AG32" s="50">
        <f ca="1">+GETPIVOTDATA("XQT4",'quangthanh (2016)'!$A$3,"MA_HT","DBV","MA_QH","DYT")</f>
        <v>0</v>
      </c>
      <c r="AH32" s="50">
        <f ca="1">+GETPIVOTDATA("XQT4",'quangthanh (2016)'!$A$3,"MA_HT","DBV","MA_QH","DGD")</f>
        <v>0</v>
      </c>
      <c r="AI32" s="50">
        <f ca="1">+GETPIVOTDATA("XQT4",'quangthanh (2016)'!$A$3,"MA_HT","DBV","MA_QH","DTT")</f>
        <v>0</v>
      </c>
      <c r="AJ32" s="50">
        <f ca="1">+GETPIVOTDATA("XQT4",'quangthanh (2016)'!$A$3,"MA_HT","DBV","MA_QH","NCK")</f>
        <v>0</v>
      </c>
      <c r="AK32" s="50">
        <f ca="1">+GETPIVOTDATA("XQT4",'quangthanh (2016)'!$A$3,"MA_HT","DBV","MA_QH","DXH")</f>
        <v>0</v>
      </c>
      <c r="AL32" s="50">
        <f ca="1">+GETPIVOTDATA("XQT4",'quangthanh (2016)'!$A$3,"MA_HT","DBV","MA_QH","DCH")</f>
        <v>0</v>
      </c>
      <c r="AM32" s="50">
        <f ca="1">+GETPIVOTDATA("XQT4",'quangthanh (2016)'!$A$3,"MA_HT","DBV","MA_QH","DKG")</f>
        <v>0</v>
      </c>
      <c r="AN32" s="50">
        <f ca="1">+GETPIVOTDATA("XQT4",'quangthanh (2016)'!$A$3,"MA_HT","DBV","MA_QH","DDT")</f>
        <v>0</v>
      </c>
      <c r="AO32" s="50">
        <f ca="1">+GETPIVOTDATA("XQT4",'quangthanh (2016)'!$A$3,"MA_HT","DBV","MA_QH","DDL")</f>
        <v>0</v>
      </c>
      <c r="AP32" s="50">
        <f ca="1">+GETPIVOTDATA("XQT4",'quangthanh (2016)'!$A$3,"MA_HT","DBV","MA_QH","DRA")</f>
        <v>0</v>
      </c>
      <c r="AQ32" s="50">
        <f ca="1">+GETPIVOTDATA("XQT4",'quangthanh (2016)'!$A$3,"MA_HT","DBV","MA_QH","ONT")</f>
        <v>0</v>
      </c>
      <c r="AR32" s="50">
        <f ca="1">+GETPIVOTDATA("XQT4",'quangthanh (2016)'!$A$3,"MA_HT","DBV","MA_QH","ODT")</f>
        <v>0</v>
      </c>
      <c r="AS32" s="50">
        <f ca="1">+GETPIVOTDATA("XQT4",'quangthanh (2016)'!$A$3,"MA_HT","DBV","MA_QH","TSC")</f>
        <v>0</v>
      </c>
      <c r="AT32" s="50">
        <f ca="1">+GETPIVOTDATA("XQT4",'quangthanh (2016)'!$A$3,"MA_HT","DBV","MA_QH","DTS")</f>
        <v>0</v>
      </c>
      <c r="AU32" s="50">
        <f ca="1">+GETPIVOTDATA("XQT4",'quangthanh (2016)'!$A$3,"MA_HT","DBV","MA_QH","DNG")</f>
        <v>0</v>
      </c>
      <c r="AV32" s="50">
        <f ca="1">+GETPIVOTDATA("XQT4",'quangthanh (2016)'!$A$3,"MA_HT","DBV","MA_QH","TON")</f>
        <v>0</v>
      </c>
      <c r="AW32" s="50">
        <f ca="1">+GETPIVOTDATA("XQT4",'quangthanh (2016)'!$A$3,"MA_HT","DBV","MA_QH","NTD")</f>
        <v>0</v>
      </c>
      <c r="AX32" s="50">
        <f ca="1">+GETPIVOTDATA("XQT4",'quangthanh (2016)'!$A$3,"MA_HT","DBV","MA_QH","SKX")</f>
        <v>0</v>
      </c>
      <c r="AY32" s="50">
        <f ca="1">+GETPIVOTDATA("XQT4",'quangthanh (2016)'!$A$3,"MA_HT","DBV","MA_QH","DSH")</f>
        <v>0</v>
      </c>
      <c r="AZ32" s="50">
        <f ca="1">+GETPIVOTDATA("XQT4",'quangthanh (2016)'!$A$3,"MA_HT","DBV","MA_QH","DKV")</f>
        <v>0</v>
      </c>
      <c r="BA32" s="88">
        <f ca="1">+GETPIVOTDATA("XQT4",'quangthanh (2016)'!$A$3,"MA_HT","DBV","MA_QH","TIN")</f>
        <v>0</v>
      </c>
      <c r="BB32" s="50">
        <f ca="1">+GETPIVOTDATA("XQT4",'quangthanh (2016)'!$A$3,"MA_HT","DBV","MA_QH","SON")</f>
        <v>0</v>
      </c>
      <c r="BC32" s="50">
        <f ca="1">+GETPIVOTDATA("XQT4",'quangthanh (2016)'!$A$3,"MA_HT","DBV","MA_QH","MNC")</f>
        <v>0</v>
      </c>
      <c r="BD32" s="50">
        <f ca="1">+GETPIVOTDATA("XQT4",'quangthanh (2016)'!$A$3,"MA_HT","DBV","MA_QH","PNK")</f>
        <v>0</v>
      </c>
      <c r="BE32" s="80">
        <f ca="1">+GETPIVOTDATA("XQT4",'quangthanh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+GETPIVOTDATA("XQT4",'quangthanh (2016)'!$A$3,"MA_HT","DVH","MA_QH","LUC")</f>
        <v>0</v>
      </c>
      <c r="H33" s="50">
        <f ca="1">+GETPIVOTDATA("XQT4",'quangthanh (2016)'!$A$3,"MA_HT","DVH","MA_QH","LUK")</f>
        <v>0</v>
      </c>
      <c r="I33" s="50">
        <f ca="1">+GETPIVOTDATA("XQT4",'quangthanh (2016)'!$A$3,"MA_HT","DVH","MA_QH","LUN")</f>
        <v>0</v>
      </c>
      <c r="J33" s="50">
        <f ca="1">+GETPIVOTDATA("XQT4",'quangthanh (2016)'!$A$3,"MA_HT","DVH","MA_QH","HNK")</f>
        <v>0</v>
      </c>
      <c r="K33" s="50">
        <f ca="1">+GETPIVOTDATA("XQT4",'quangthanh (2016)'!$A$3,"MA_HT","DVH","MA_QH","CLN")</f>
        <v>0</v>
      </c>
      <c r="L33" s="50">
        <f ca="1">+GETPIVOTDATA("XQT4",'quangthanh (2016)'!$A$3,"MA_HT","DVH","MA_QH","RSX")</f>
        <v>0</v>
      </c>
      <c r="M33" s="50">
        <f ca="1">+GETPIVOTDATA("XQT4",'quangthanh (2016)'!$A$3,"MA_HT","DVH","MA_QH","RPH")</f>
        <v>0</v>
      </c>
      <c r="N33" s="50">
        <f ca="1">+GETPIVOTDATA("XQT4",'quangthanh (2016)'!$A$3,"MA_HT","DVH","MA_QH","RDD")</f>
        <v>0</v>
      </c>
      <c r="O33" s="50">
        <f ca="1">+GETPIVOTDATA("XQT4",'quangthanh (2016)'!$A$3,"MA_HT","DVH","MA_QH","NTS")</f>
        <v>0</v>
      </c>
      <c r="P33" s="50">
        <f ca="1">+GETPIVOTDATA("XQT4",'quangthanh (2016)'!$A$3,"MA_HT","DVH","MA_QH","LMU")</f>
        <v>0</v>
      </c>
      <c r="Q33" s="50">
        <f ca="1">+GETPIVOTDATA("XQT4",'quangthanh (2016)'!$A$3,"MA_HT","DVH","MA_QH","NKH")</f>
        <v>0</v>
      </c>
      <c r="R33" s="48">
        <f ca="1" t="shared" si="20"/>
        <v>0</v>
      </c>
      <c r="S33" s="50">
        <f ca="1">+GETPIVOTDATA("XQT4",'quangthanh (2016)'!$A$3,"MA_HT","DVH","MA_QH","CQP")</f>
        <v>0</v>
      </c>
      <c r="T33" s="50">
        <f ca="1">+GETPIVOTDATA("XQT4",'quangthanh (2016)'!$A$3,"MA_HT","DVH","MA_QH","CAN")</f>
        <v>0</v>
      </c>
      <c r="U33" s="50">
        <f ca="1">+GETPIVOTDATA("XQT4",'quangthanh (2016)'!$A$3,"MA_HT","DVH","MA_QH","SKK")</f>
        <v>0</v>
      </c>
      <c r="V33" s="50">
        <f ca="1">+GETPIVOTDATA("XQT4",'quangthanh (2016)'!$A$3,"MA_HT","DVH","MA_QH","SKT")</f>
        <v>0</v>
      </c>
      <c r="W33" s="50">
        <f ca="1">+GETPIVOTDATA("XQT4",'quangthanh (2016)'!$A$3,"MA_HT","DVH","MA_QH","SKN")</f>
        <v>0</v>
      </c>
      <c r="X33" s="50">
        <f ca="1">+GETPIVOTDATA("XQT4",'quangthanh (2016)'!$A$3,"MA_HT","DVH","MA_QH","TMD")</f>
        <v>0</v>
      </c>
      <c r="Y33" s="50">
        <f ca="1">+GETPIVOTDATA("XQT4",'quangthanh (2016)'!$A$3,"MA_HT","DVH","MA_QH","SKC")</f>
        <v>0</v>
      </c>
      <c r="Z33" s="50">
        <f ca="1">+GETPIVOTDATA("XQT4",'quangthanh (2016)'!$A$3,"MA_HT","DVH","MA_QH","SKS")</f>
        <v>0</v>
      </c>
      <c r="AA33" s="52">
        <f ca="1">+SUM(AB33:AE33,AG33:AM33)</f>
        <v>0</v>
      </c>
      <c r="AB33" s="50">
        <f ca="1">+GETPIVOTDATA("XQT4",'quangthanh (2016)'!$A$3,"MA_HT","DVH","MA_QH","DGT")</f>
        <v>0</v>
      </c>
      <c r="AC33" s="50">
        <f ca="1">+GETPIVOTDATA("XQT4",'quangthanh (2016)'!$A$3,"MA_HT","DVH","MA_QH","DTL")</f>
        <v>0</v>
      </c>
      <c r="AD33" s="50">
        <f ca="1">+GETPIVOTDATA("XQT4",'quangthanh (2016)'!$A$3,"MA_HT","DVH","MA_QH","DNL")</f>
        <v>0</v>
      </c>
      <c r="AE33" s="50">
        <f ca="1">+GETPIVOTDATA("XQT4",'quangthanh (2016)'!$A$3,"MA_HT","DVH","MA_QH","DBV")</f>
        <v>0</v>
      </c>
      <c r="AF33" s="49" t="e">
        <f ca="1">$D33-$BF33</f>
        <v>#REF!</v>
      </c>
      <c r="AG33" s="50">
        <f ca="1">+GETPIVOTDATA("XQT4",'quangthanh (2016)'!$A$3,"MA_HT","DVH","MA_QH","DYT")</f>
        <v>0</v>
      </c>
      <c r="AH33" s="50">
        <f ca="1">+GETPIVOTDATA("XQT4",'quangthanh (2016)'!$A$3,"MA_HT","DVH","MA_QH","DGD")</f>
        <v>0</v>
      </c>
      <c r="AI33" s="50">
        <f ca="1">+GETPIVOTDATA("XQT4",'quangthanh (2016)'!$A$3,"MA_HT","DVH","MA_QH","DTT")</f>
        <v>0</v>
      </c>
      <c r="AJ33" s="50">
        <f ca="1">+GETPIVOTDATA("XQT4",'quangthanh (2016)'!$A$3,"MA_HT","DVH","MA_QH","NCK")</f>
        <v>0</v>
      </c>
      <c r="AK33" s="50">
        <f ca="1">+GETPIVOTDATA("XQT4",'quangthanh (2016)'!$A$3,"MA_HT","DVH","MA_QH","DXH")</f>
        <v>0</v>
      </c>
      <c r="AL33" s="50">
        <f ca="1">+GETPIVOTDATA("XQT4",'quangthanh (2016)'!$A$3,"MA_HT","DVH","MA_QH","DCH")</f>
        <v>0</v>
      </c>
      <c r="AM33" s="50">
        <f ca="1">+GETPIVOTDATA("XQT4",'quangthanh (2016)'!$A$3,"MA_HT","DVH","MA_QH","DKG")</f>
        <v>0</v>
      </c>
      <c r="AN33" s="50">
        <f ca="1">+GETPIVOTDATA("XQT4",'quangthanh (2016)'!$A$3,"MA_HT","DVH","MA_QH","DDT")</f>
        <v>0</v>
      </c>
      <c r="AO33" s="50">
        <f ca="1">+GETPIVOTDATA("XQT4",'quangthanh (2016)'!$A$3,"MA_HT","DVH","MA_QH","DDL")</f>
        <v>0</v>
      </c>
      <c r="AP33" s="50">
        <f ca="1">+GETPIVOTDATA("XQT4",'quangthanh (2016)'!$A$3,"MA_HT","DVH","MA_QH","DRA")</f>
        <v>0</v>
      </c>
      <c r="AQ33" s="50">
        <f ca="1">+GETPIVOTDATA("XQT4",'quangthanh (2016)'!$A$3,"MA_HT","DVH","MA_QH","ONT")</f>
        <v>0</v>
      </c>
      <c r="AR33" s="50">
        <f ca="1">+GETPIVOTDATA("XQT4",'quangthanh (2016)'!$A$3,"MA_HT","DVH","MA_QH","ODT")</f>
        <v>0</v>
      </c>
      <c r="AS33" s="50">
        <f ca="1">+GETPIVOTDATA("XQT4",'quangthanh (2016)'!$A$3,"MA_HT","DVH","MA_QH","TSC")</f>
        <v>0</v>
      </c>
      <c r="AT33" s="50">
        <f ca="1">+GETPIVOTDATA("XQT4",'quangthanh (2016)'!$A$3,"MA_HT","DVH","MA_QH","DTS")</f>
        <v>0</v>
      </c>
      <c r="AU33" s="50">
        <f ca="1">+GETPIVOTDATA("XQT4",'quangthanh (2016)'!$A$3,"MA_HT","DVH","MA_QH","DNG")</f>
        <v>0</v>
      </c>
      <c r="AV33" s="50">
        <f ca="1">+GETPIVOTDATA("XQT4",'quangthanh (2016)'!$A$3,"MA_HT","DVH","MA_QH","TON")</f>
        <v>0</v>
      </c>
      <c r="AW33" s="50">
        <f ca="1">+GETPIVOTDATA("XQT4",'quangthanh (2016)'!$A$3,"MA_HT","DVH","MA_QH","NTD")</f>
        <v>0</v>
      </c>
      <c r="AX33" s="50">
        <f ca="1">+GETPIVOTDATA("XQT4",'quangthanh (2016)'!$A$3,"MA_HT","DVH","MA_QH","SKX")</f>
        <v>0</v>
      </c>
      <c r="AY33" s="50">
        <f ca="1">+GETPIVOTDATA("XQT4",'quangthanh (2016)'!$A$3,"MA_HT","DVH","MA_QH","DSH")</f>
        <v>0</v>
      </c>
      <c r="AZ33" s="50">
        <f ca="1">+GETPIVOTDATA("XQT4",'quangthanh (2016)'!$A$3,"MA_HT","DVH","MA_QH","DKV")</f>
        <v>0</v>
      </c>
      <c r="BA33" s="88">
        <f ca="1">+GETPIVOTDATA("XQT4",'quangthanh (2016)'!$A$3,"MA_HT","DVH","MA_QH","TIN")</f>
        <v>0</v>
      </c>
      <c r="BB33" s="50">
        <f ca="1">+GETPIVOTDATA("XQT4",'quangthanh (2016)'!$A$3,"MA_HT","DVH","MA_QH","SON")</f>
        <v>0</v>
      </c>
      <c r="BC33" s="50">
        <f ca="1">+GETPIVOTDATA("XQT4",'quangthanh (2016)'!$A$3,"MA_HT","DVH","MA_QH","MNC")</f>
        <v>0</v>
      </c>
      <c r="BD33" s="50">
        <f ca="1">+GETPIVOTDATA("XQT4",'quangthanh (2016)'!$A$3,"MA_HT","DVH","MA_QH","PNK")</f>
        <v>0</v>
      </c>
      <c r="BE33" s="80">
        <f ca="1">+GETPIVOTDATA("XQT4",'quangthanh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+GETPIVOTDATA("XQT4",'quangthanh (2016)'!$A$3,"MA_HT","DYT","MA_QH","LUC")</f>
        <v>0</v>
      </c>
      <c r="H34" s="50">
        <f ca="1">+GETPIVOTDATA("XQT4",'quangthanh (2016)'!$A$3,"MA_HT","DYT","MA_QH","LUK")</f>
        <v>0</v>
      </c>
      <c r="I34" s="50">
        <f ca="1">+GETPIVOTDATA("XQT4",'quangthanh (2016)'!$A$3,"MA_HT","DYT","MA_QH","LUN")</f>
        <v>0</v>
      </c>
      <c r="J34" s="50">
        <f ca="1">+GETPIVOTDATA("XQT4",'quangthanh (2016)'!$A$3,"MA_HT","DYT","MA_QH","HNK")</f>
        <v>0</v>
      </c>
      <c r="K34" s="50">
        <f ca="1">+GETPIVOTDATA("XQT4",'quangthanh (2016)'!$A$3,"MA_HT","DYT","MA_QH","CLN")</f>
        <v>0</v>
      </c>
      <c r="L34" s="50">
        <f ca="1">+GETPIVOTDATA("XQT4",'quangthanh (2016)'!$A$3,"MA_HT","DYT","MA_QH","RSX")</f>
        <v>0</v>
      </c>
      <c r="M34" s="50">
        <f ca="1">+GETPIVOTDATA("XQT4",'quangthanh (2016)'!$A$3,"MA_HT","DYT","MA_QH","RPH")</f>
        <v>0</v>
      </c>
      <c r="N34" s="50">
        <f ca="1">+GETPIVOTDATA("XQT4",'quangthanh (2016)'!$A$3,"MA_HT","DYT","MA_QH","RDD")</f>
        <v>0</v>
      </c>
      <c r="O34" s="50">
        <f ca="1">+GETPIVOTDATA("XQT4",'quangthanh (2016)'!$A$3,"MA_HT","DYT","MA_QH","NTS")</f>
        <v>0</v>
      </c>
      <c r="P34" s="50">
        <f ca="1">+GETPIVOTDATA("XQT4",'quangthanh (2016)'!$A$3,"MA_HT","DYT","MA_QH","LMU")</f>
        <v>0</v>
      </c>
      <c r="Q34" s="50">
        <f ca="1">+GETPIVOTDATA("XQT4",'quangthanh (2016)'!$A$3,"MA_HT","DYT","MA_QH","NKH")</f>
        <v>0</v>
      </c>
      <c r="R34" s="48">
        <f ca="1" t="shared" si="20"/>
        <v>0</v>
      </c>
      <c r="S34" s="50">
        <f ca="1">+GETPIVOTDATA("XQT4",'quangthanh (2016)'!$A$3,"MA_HT","DYT","MA_QH","CQP")</f>
        <v>0</v>
      </c>
      <c r="T34" s="50">
        <f ca="1">+GETPIVOTDATA("XQT4",'quangthanh (2016)'!$A$3,"MA_HT","DYT","MA_QH","CAN")</f>
        <v>0</v>
      </c>
      <c r="U34" s="50">
        <f ca="1">+GETPIVOTDATA("XQT4",'quangthanh (2016)'!$A$3,"MA_HT","DYT","MA_QH","SKK")</f>
        <v>0</v>
      </c>
      <c r="V34" s="50">
        <f ca="1">+GETPIVOTDATA("XQT4",'quangthanh (2016)'!$A$3,"MA_HT","DYT","MA_QH","SKT")</f>
        <v>0</v>
      </c>
      <c r="W34" s="50">
        <f ca="1">+GETPIVOTDATA("XQT4",'quangthanh (2016)'!$A$3,"MA_HT","DYT","MA_QH","SKN")</f>
        <v>0</v>
      </c>
      <c r="X34" s="50">
        <f ca="1">+GETPIVOTDATA("XQT4",'quangthanh (2016)'!$A$3,"MA_HT","DYT","MA_QH","TMD")</f>
        <v>0</v>
      </c>
      <c r="Y34" s="50">
        <f ca="1">+GETPIVOTDATA("XQT4",'quangthanh (2016)'!$A$3,"MA_HT","DYT","MA_QH","SKC")</f>
        <v>0</v>
      </c>
      <c r="Z34" s="50">
        <f ca="1">+GETPIVOTDATA("XQT4",'quangthanh (2016)'!$A$3,"MA_HT","DYT","MA_QH","SKS")</f>
        <v>0</v>
      </c>
      <c r="AA34" s="52">
        <f ca="1">+SUM(AB34:AF34,AH34:AM34)</f>
        <v>0</v>
      </c>
      <c r="AB34" s="50">
        <f ca="1">+GETPIVOTDATA("XQT4",'quangthanh (2016)'!$A$3,"MA_HT","DYT","MA_QH","DGT")</f>
        <v>0</v>
      </c>
      <c r="AC34" s="50">
        <f ca="1">+GETPIVOTDATA("XQT4",'quangthanh (2016)'!$A$3,"MA_HT","DYT","MA_QH","DTL")</f>
        <v>0</v>
      </c>
      <c r="AD34" s="50">
        <f ca="1">+GETPIVOTDATA("XQT4",'quangthanh (2016)'!$A$3,"MA_HT","DYT","MA_QH","DNL")</f>
        <v>0</v>
      </c>
      <c r="AE34" s="50">
        <f ca="1">+GETPIVOTDATA("XQT4",'quangthanh (2016)'!$A$3,"MA_HT","DYT","MA_QH","DBV")</f>
        <v>0</v>
      </c>
      <c r="AF34" s="50">
        <f ca="1">+GETPIVOTDATA("XQT4",'quangthanh (2016)'!$A$3,"MA_HT","DYT","MA_QH","DVH")</f>
        <v>0</v>
      </c>
      <c r="AG34" s="49" t="e">
        <f ca="1">$D34-$BF34</f>
        <v>#REF!</v>
      </c>
      <c r="AH34" s="50">
        <f ca="1">+GETPIVOTDATA("XQT4",'quangthanh (2016)'!$A$3,"MA_HT","DYT","MA_QH","DGD")</f>
        <v>0</v>
      </c>
      <c r="AI34" s="50">
        <f ca="1">+GETPIVOTDATA("XQT4",'quangthanh (2016)'!$A$3,"MA_HT","DYT","MA_QH","DTT")</f>
        <v>0</v>
      </c>
      <c r="AJ34" s="50">
        <f ca="1">+GETPIVOTDATA("XQT4",'quangthanh (2016)'!$A$3,"MA_HT","DYT","MA_QH","NCK")</f>
        <v>0</v>
      </c>
      <c r="AK34" s="50">
        <f ca="1">+GETPIVOTDATA("XQT4",'quangthanh (2016)'!$A$3,"MA_HT","DYT","MA_QH","DXH")</f>
        <v>0</v>
      </c>
      <c r="AL34" s="50">
        <f ca="1">+GETPIVOTDATA("XQT4",'quangthanh (2016)'!$A$3,"MA_HT","DYT","MA_QH","DCH")</f>
        <v>0</v>
      </c>
      <c r="AM34" s="50">
        <f ca="1">+GETPIVOTDATA("XQT4",'quangthanh (2016)'!$A$3,"MA_HT","DYT","MA_QH","DKG")</f>
        <v>0</v>
      </c>
      <c r="AN34" s="50">
        <f ca="1">+GETPIVOTDATA("XQT4",'quangthanh (2016)'!$A$3,"MA_HT","DYT","MA_QH","DDT")</f>
        <v>0</v>
      </c>
      <c r="AO34" s="50">
        <f ca="1">+GETPIVOTDATA("XQT4",'quangthanh (2016)'!$A$3,"MA_HT","DYT","MA_QH","DDL")</f>
        <v>0</v>
      </c>
      <c r="AP34" s="50">
        <f ca="1">+GETPIVOTDATA("XQT4",'quangthanh (2016)'!$A$3,"MA_HT","DYT","MA_QH","DRA")</f>
        <v>0</v>
      </c>
      <c r="AQ34" s="50">
        <f ca="1">+GETPIVOTDATA("XQT4",'quangthanh (2016)'!$A$3,"MA_HT","DYT","MA_QH","ONT")</f>
        <v>0</v>
      </c>
      <c r="AR34" s="50">
        <f ca="1">+GETPIVOTDATA("XQT4",'quangthanh (2016)'!$A$3,"MA_HT","DYT","MA_QH","ODT")</f>
        <v>0</v>
      </c>
      <c r="AS34" s="50">
        <f ca="1">+GETPIVOTDATA("XQT4",'quangthanh (2016)'!$A$3,"MA_HT","DYT","MA_QH","TSC")</f>
        <v>0</v>
      </c>
      <c r="AT34" s="50">
        <f ca="1">+GETPIVOTDATA("XQT4",'quangthanh (2016)'!$A$3,"MA_HT","DYT","MA_QH","DTS")</f>
        <v>0</v>
      </c>
      <c r="AU34" s="50">
        <f ca="1">+GETPIVOTDATA("XQT4",'quangthanh (2016)'!$A$3,"MA_HT","DYT","MA_QH","DNG")</f>
        <v>0</v>
      </c>
      <c r="AV34" s="50">
        <f ca="1">+GETPIVOTDATA("XQT4",'quangthanh (2016)'!$A$3,"MA_HT","DYT","MA_QH","TON")</f>
        <v>0</v>
      </c>
      <c r="AW34" s="50">
        <f ca="1">+GETPIVOTDATA("XQT4",'quangthanh (2016)'!$A$3,"MA_HT","DYT","MA_QH","NTD")</f>
        <v>0</v>
      </c>
      <c r="AX34" s="50">
        <f ca="1">+GETPIVOTDATA("XQT4",'quangthanh (2016)'!$A$3,"MA_HT","DYT","MA_QH","SKX")</f>
        <v>0</v>
      </c>
      <c r="AY34" s="50">
        <f ca="1">+GETPIVOTDATA("XQT4",'quangthanh (2016)'!$A$3,"MA_HT","DYT","MA_QH","DSH")</f>
        <v>0</v>
      </c>
      <c r="AZ34" s="50">
        <f ca="1">+GETPIVOTDATA("XQT4",'quangthanh (2016)'!$A$3,"MA_HT","DYT","MA_QH","DKV")</f>
        <v>0</v>
      </c>
      <c r="BA34" s="88">
        <f ca="1">+GETPIVOTDATA("XQT4",'quangthanh (2016)'!$A$3,"MA_HT","DYT","MA_QH","TIN")</f>
        <v>0</v>
      </c>
      <c r="BB34" s="50">
        <f ca="1">+GETPIVOTDATA("XQT4",'quangthanh (2016)'!$A$3,"MA_HT","DYT","MA_QH","SON")</f>
        <v>0</v>
      </c>
      <c r="BC34" s="50">
        <f ca="1">+GETPIVOTDATA("XQT4",'quangthanh (2016)'!$A$3,"MA_HT","DYT","MA_QH","MNC")</f>
        <v>0</v>
      </c>
      <c r="BD34" s="50">
        <f ca="1">+GETPIVOTDATA("XQT4",'quangthanh (2016)'!$A$3,"MA_HT","DYT","MA_QH","PNK")</f>
        <v>0</v>
      </c>
      <c r="BE34" s="80">
        <f ca="1">+GETPIVOTDATA("XQT4",'quangthanh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+GETPIVOTDATA("XQT4",'quangthanh (2016)'!$A$3,"MA_HT","DGD","MA_QH","LUC")</f>
        <v>0</v>
      </c>
      <c r="H35" s="50">
        <f ca="1">+GETPIVOTDATA("XQT4",'quangthanh (2016)'!$A$3,"MA_HT","DGD","MA_QH","LUK")</f>
        <v>0</v>
      </c>
      <c r="I35" s="50">
        <f ca="1">+GETPIVOTDATA("XQT4",'quangthanh (2016)'!$A$3,"MA_HT","DGD","MA_QH","LUN")</f>
        <v>0</v>
      </c>
      <c r="J35" s="50">
        <f ca="1">+GETPIVOTDATA("XQT4",'quangthanh (2016)'!$A$3,"MA_HT","DGD","MA_QH","HNK")</f>
        <v>0</v>
      </c>
      <c r="K35" s="50">
        <f ca="1">+GETPIVOTDATA("XQT4",'quangthanh (2016)'!$A$3,"MA_HT","DGD","MA_QH","CLN")</f>
        <v>0</v>
      </c>
      <c r="L35" s="50">
        <f ca="1">+GETPIVOTDATA("XQT4",'quangthanh (2016)'!$A$3,"MA_HT","DGD","MA_QH","RSX")</f>
        <v>0</v>
      </c>
      <c r="M35" s="50">
        <f ca="1">+GETPIVOTDATA("XQT4",'quangthanh (2016)'!$A$3,"MA_HT","DGD","MA_QH","RPH")</f>
        <v>0</v>
      </c>
      <c r="N35" s="50">
        <f ca="1">+GETPIVOTDATA("XQT4",'quangthanh (2016)'!$A$3,"MA_HT","DGD","MA_QH","RDD")</f>
        <v>0</v>
      </c>
      <c r="O35" s="50">
        <f ca="1">+GETPIVOTDATA("XQT4",'quangthanh (2016)'!$A$3,"MA_HT","DGD","MA_QH","NTS")</f>
        <v>0</v>
      </c>
      <c r="P35" s="50">
        <f ca="1">+GETPIVOTDATA("XQT4",'quangthanh (2016)'!$A$3,"MA_HT","DGD","MA_QH","LMU")</f>
        <v>0</v>
      </c>
      <c r="Q35" s="50">
        <f ca="1">+GETPIVOTDATA("XQT4",'quangthanh (2016)'!$A$3,"MA_HT","DGD","MA_QH","NKH")</f>
        <v>0</v>
      </c>
      <c r="R35" s="48">
        <f ca="1" t="shared" si="20"/>
        <v>0</v>
      </c>
      <c r="S35" s="50">
        <f ca="1">+GETPIVOTDATA("XQT4",'quangthanh (2016)'!$A$3,"MA_HT","DGD","MA_QH","CQP")</f>
        <v>0</v>
      </c>
      <c r="T35" s="50">
        <f ca="1">+GETPIVOTDATA("XQT4",'quangthanh (2016)'!$A$3,"MA_HT","DGD","MA_QH","CAN")</f>
        <v>0</v>
      </c>
      <c r="U35" s="50">
        <f ca="1">+GETPIVOTDATA("XQT4",'quangthanh (2016)'!$A$3,"MA_HT","DGD","MA_QH","SKK")</f>
        <v>0</v>
      </c>
      <c r="V35" s="50">
        <f ca="1">+GETPIVOTDATA("XQT4",'quangthanh (2016)'!$A$3,"MA_HT","DGD","MA_QH","SKT")</f>
        <v>0</v>
      </c>
      <c r="W35" s="50">
        <f ca="1">+GETPIVOTDATA("XQT4",'quangthanh (2016)'!$A$3,"MA_HT","DGD","MA_QH","SKN")</f>
        <v>0</v>
      </c>
      <c r="X35" s="50">
        <f ca="1">+GETPIVOTDATA("XQT4",'quangthanh (2016)'!$A$3,"MA_HT","DGD","MA_QH","TMD")</f>
        <v>0</v>
      </c>
      <c r="Y35" s="50">
        <f ca="1">+GETPIVOTDATA("XQT4",'quangthanh (2016)'!$A$3,"MA_HT","DGD","MA_QH","SKC")</f>
        <v>0</v>
      </c>
      <c r="Z35" s="50">
        <f ca="1">+GETPIVOTDATA("XQT4",'quangthanh (2016)'!$A$3,"MA_HT","DGD","MA_QH","SKS")</f>
        <v>0</v>
      </c>
      <c r="AA35" s="52">
        <f ca="1">+SUM(AB35:AG35,AI35:AM35)</f>
        <v>0</v>
      </c>
      <c r="AB35" s="50">
        <f ca="1">+GETPIVOTDATA("XQT4",'quangthanh (2016)'!$A$3,"MA_HT","DGD","MA_QH","DGT")</f>
        <v>0</v>
      </c>
      <c r="AC35" s="50">
        <f ca="1">+GETPIVOTDATA("XQT4",'quangthanh (2016)'!$A$3,"MA_HT","DGD","MA_QH","DTL")</f>
        <v>0</v>
      </c>
      <c r="AD35" s="50">
        <f ca="1">+GETPIVOTDATA("XQT4",'quangthanh (2016)'!$A$3,"MA_HT","DGD","MA_QH","DNL")</f>
        <v>0</v>
      </c>
      <c r="AE35" s="50">
        <f ca="1">+GETPIVOTDATA("XQT4",'quangthanh (2016)'!$A$3,"MA_HT","DGD","MA_QH","DBV")</f>
        <v>0</v>
      </c>
      <c r="AF35" s="50">
        <f ca="1">+GETPIVOTDATA("XQT4",'quangthanh (2016)'!$A$3,"MA_HT","DGD","MA_QH","DVH")</f>
        <v>0</v>
      </c>
      <c r="AG35" s="50">
        <f ca="1">+GETPIVOTDATA("XQT4",'quangthanh (2016)'!$A$3,"MA_HT","DGD","MA_QH","DYT")</f>
        <v>0</v>
      </c>
      <c r="AH35" s="49" t="e">
        <f ca="1">$D35-$BF35</f>
        <v>#REF!</v>
      </c>
      <c r="AI35" s="50">
        <f ca="1">+GETPIVOTDATA("XQT4",'quangthanh (2016)'!$A$3,"MA_HT","DGD","MA_QH","DTT")</f>
        <v>0</v>
      </c>
      <c r="AJ35" s="50">
        <f ca="1">+GETPIVOTDATA("XQT4",'quangthanh (2016)'!$A$3,"MA_HT","DGD","MA_QH","NCK")</f>
        <v>0</v>
      </c>
      <c r="AK35" s="50">
        <f ca="1">+GETPIVOTDATA("XQT4",'quangthanh (2016)'!$A$3,"MA_HT","DGD","MA_QH","DXH")</f>
        <v>0</v>
      </c>
      <c r="AL35" s="50">
        <f ca="1">+GETPIVOTDATA("XQT4",'quangthanh (2016)'!$A$3,"MA_HT","DGD","MA_QH","DCH")</f>
        <v>0</v>
      </c>
      <c r="AM35" s="50">
        <f ca="1">+GETPIVOTDATA("XQT4",'quangthanh (2016)'!$A$3,"MA_HT","DGD","MA_QH","DKG")</f>
        <v>0</v>
      </c>
      <c r="AN35" s="50">
        <f ca="1">+GETPIVOTDATA("XQT4",'quangthanh (2016)'!$A$3,"MA_HT","DGD","MA_QH","DDT")</f>
        <v>0</v>
      </c>
      <c r="AO35" s="50">
        <f ca="1">+GETPIVOTDATA("XQT4",'quangthanh (2016)'!$A$3,"MA_HT","DGD","MA_QH","DDL")</f>
        <v>0</v>
      </c>
      <c r="AP35" s="50">
        <f ca="1">+GETPIVOTDATA("XQT4",'quangthanh (2016)'!$A$3,"MA_HT","DGD","MA_QH","DRA")</f>
        <v>0</v>
      </c>
      <c r="AQ35" s="50">
        <f ca="1">+GETPIVOTDATA("XQT4",'quangthanh (2016)'!$A$3,"MA_HT","DGD","MA_QH","ONT")</f>
        <v>0</v>
      </c>
      <c r="AR35" s="50">
        <f ca="1">+GETPIVOTDATA("XQT4",'quangthanh (2016)'!$A$3,"MA_HT","DGD","MA_QH","ODT")</f>
        <v>0</v>
      </c>
      <c r="AS35" s="50">
        <f ca="1">+GETPIVOTDATA("XQT4",'quangthanh (2016)'!$A$3,"MA_HT","DGD","MA_QH","TSC")</f>
        <v>0</v>
      </c>
      <c r="AT35" s="50">
        <f ca="1">+GETPIVOTDATA("XQT4",'quangthanh (2016)'!$A$3,"MA_HT","DGD","MA_QH","DTS")</f>
        <v>0</v>
      </c>
      <c r="AU35" s="50">
        <f ca="1">+GETPIVOTDATA("XQT4",'quangthanh (2016)'!$A$3,"MA_HT","DGD","MA_QH","DNG")</f>
        <v>0</v>
      </c>
      <c r="AV35" s="50">
        <f ca="1">+GETPIVOTDATA("XQT4",'quangthanh (2016)'!$A$3,"MA_HT","DGD","MA_QH","TON")</f>
        <v>0</v>
      </c>
      <c r="AW35" s="50">
        <f ca="1">+GETPIVOTDATA("XQT4",'quangthanh (2016)'!$A$3,"MA_HT","DGD","MA_QH","NTD")</f>
        <v>0</v>
      </c>
      <c r="AX35" s="50">
        <f ca="1">+GETPIVOTDATA("XQT4",'quangthanh (2016)'!$A$3,"MA_HT","DGD","MA_QH","SKX")</f>
        <v>0</v>
      </c>
      <c r="AY35" s="50">
        <f ca="1">+GETPIVOTDATA("XQT4",'quangthanh (2016)'!$A$3,"MA_HT","DGD","MA_QH","DSH")</f>
        <v>0</v>
      </c>
      <c r="AZ35" s="50">
        <f ca="1">+GETPIVOTDATA("XQT4",'quangthanh (2016)'!$A$3,"MA_HT","DGD","MA_QH","DKV")</f>
        <v>0</v>
      </c>
      <c r="BA35" s="88">
        <f ca="1">+GETPIVOTDATA("XQT4",'quangthanh (2016)'!$A$3,"MA_HT","DGD","MA_QH","TIN")</f>
        <v>0</v>
      </c>
      <c r="BB35" s="50">
        <f ca="1">+GETPIVOTDATA("XQT4",'quangthanh (2016)'!$A$3,"MA_HT","DGD","MA_QH","SON")</f>
        <v>0</v>
      </c>
      <c r="BC35" s="50">
        <f ca="1">+GETPIVOTDATA("XQT4",'quangthanh (2016)'!$A$3,"MA_HT","DGD","MA_QH","MNC")</f>
        <v>0</v>
      </c>
      <c r="BD35" s="50">
        <f ca="1">+GETPIVOTDATA("XQT4",'quangthanh (2016)'!$A$3,"MA_HT","DGD","MA_QH","PNK")</f>
        <v>0</v>
      </c>
      <c r="BE35" s="80">
        <f ca="1">+GETPIVOTDATA("XQT4",'quangthanh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+GETPIVOTDATA("XQT4",'quangthanh (2016)'!$A$3,"MA_HT","DTT","MA_QH","LUC")</f>
        <v>0</v>
      </c>
      <c r="H36" s="50">
        <f ca="1">+GETPIVOTDATA("XQT4",'quangthanh (2016)'!$A$3,"MA_HT","DTT","MA_QH","LUK")</f>
        <v>0</v>
      </c>
      <c r="I36" s="50">
        <f ca="1">+GETPIVOTDATA("XQT4",'quangthanh (2016)'!$A$3,"MA_HT","DTT","MA_QH","LUN")</f>
        <v>0</v>
      </c>
      <c r="J36" s="50">
        <f ca="1">+GETPIVOTDATA("XQT4",'quangthanh (2016)'!$A$3,"MA_HT","DTT","MA_QH","HNK")</f>
        <v>0</v>
      </c>
      <c r="K36" s="50">
        <f ca="1">+GETPIVOTDATA("XQT4",'quangthanh (2016)'!$A$3,"MA_HT","DTT","MA_QH","CLN")</f>
        <v>0</v>
      </c>
      <c r="L36" s="50">
        <f ca="1">+GETPIVOTDATA("XQT4",'quangthanh (2016)'!$A$3,"MA_HT","DTT","MA_QH","RSX")</f>
        <v>0</v>
      </c>
      <c r="M36" s="50">
        <f ca="1">+GETPIVOTDATA("XQT4",'quangthanh (2016)'!$A$3,"MA_HT","DTT","MA_QH","RPH")</f>
        <v>0</v>
      </c>
      <c r="N36" s="50">
        <f ca="1">+GETPIVOTDATA("XQT4",'quangthanh (2016)'!$A$3,"MA_HT","DTT","MA_QH","RDD")</f>
        <v>0</v>
      </c>
      <c r="O36" s="50">
        <f ca="1">+GETPIVOTDATA("XQT4",'quangthanh (2016)'!$A$3,"MA_HT","DTT","MA_QH","NTS")</f>
        <v>0</v>
      </c>
      <c r="P36" s="50">
        <f ca="1">+GETPIVOTDATA("XQT4",'quangthanh (2016)'!$A$3,"MA_HT","DTT","MA_QH","LMU")</f>
        <v>0</v>
      </c>
      <c r="Q36" s="50">
        <f ca="1">+GETPIVOTDATA("XQT4",'quangthanh (2016)'!$A$3,"MA_HT","DTT","MA_QH","NKH")</f>
        <v>0</v>
      </c>
      <c r="R36" s="48">
        <f ca="1" t="shared" si="20"/>
        <v>0</v>
      </c>
      <c r="S36" s="50">
        <f ca="1">+GETPIVOTDATA("XQT4",'quangthanh (2016)'!$A$3,"MA_HT","DTT","MA_QH","CQP")</f>
        <v>0</v>
      </c>
      <c r="T36" s="50">
        <f ca="1">+GETPIVOTDATA("XQT4",'quangthanh (2016)'!$A$3,"MA_HT","DTT","MA_QH","CAN")</f>
        <v>0</v>
      </c>
      <c r="U36" s="50">
        <f ca="1">+GETPIVOTDATA("XQT4",'quangthanh (2016)'!$A$3,"MA_HT","DTT","MA_QH","SKK")</f>
        <v>0</v>
      </c>
      <c r="V36" s="50">
        <f ca="1">+GETPIVOTDATA("XQT4",'quangthanh (2016)'!$A$3,"MA_HT","DTT","MA_QH","SKT")</f>
        <v>0</v>
      </c>
      <c r="W36" s="50">
        <f ca="1">+GETPIVOTDATA("XQT4",'quangthanh (2016)'!$A$3,"MA_HT","DTT","MA_QH","SKN")</f>
        <v>0</v>
      </c>
      <c r="X36" s="50">
        <f ca="1">+GETPIVOTDATA("XQT4",'quangthanh (2016)'!$A$3,"MA_HT","DTT","MA_QH","TMD")</f>
        <v>0</v>
      </c>
      <c r="Y36" s="50">
        <f ca="1">+GETPIVOTDATA("XQT4",'quangthanh (2016)'!$A$3,"MA_HT","DTT","MA_QH","SKC")</f>
        <v>0</v>
      </c>
      <c r="Z36" s="50">
        <f ca="1">+GETPIVOTDATA("XQT4",'quangthanh (2016)'!$A$3,"MA_HT","DTT","MA_QH","SKS")</f>
        <v>0</v>
      </c>
      <c r="AA36" s="52">
        <f ca="1">+SUM(AB36:AH36,AJ36:AM36)</f>
        <v>0</v>
      </c>
      <c r="AB36" s="50">
        <f ca="1">+GETPIVOTDATA("XQT4",'quangthanh (2016)'!$A$3,"MA_HT","DTT","MA_QH","DGT")</f>
        <v>0</v>
      </c>
      <c r="AC36" s="50">
        <f ca="1">+GETPIVOTDATA("XQT4",'quangthanh (2016)'!$A$3,"MA_HT","DTT","MA_QH","DTL")</f>
        <v>0</v>
      </c>
      <c r="AD36" s="50">
        <f ca="1">+GETPIVOTDATA("XQT4",'quangthanh (2016)'!$A$3,"MA_HT","DTT","MA_QH","DNL")</f>
        <v>0</v>
      </c>
      <c r="AE36" s="50">
        <f ca="1">+GETPIVOTDATA("XQT4",'quangthanh (2016)'!$A$3,"MA_HT","DTT","MA_QH","DBV")</f>
        <v>0</v>
      </c>
      <c r="AF36" s="50">
        <f ca="1">+GETPIVOTDATA("XQT4",'quangthanh (2016)'!$A$3,"MA_HT","DTT","MA_QH","DVH")</f>
        <v>0</v>
      </c>
      <c r="AG36" s="50">
        <f ca="1">+GETPIVOTDATA("XQT4",'quangthanh (2016)'!$A$3,"MA_HT","DTT","MA_QH","DYT")</f>
        <v>0</v>
      </c>
      <c r="AH36" s="50">
        <f ca="1">+GETPIVOTDATA("XQT4",'quangthanh (2016)'!$A$3,"MA_HT","DTT","MA_QH","DGD")</f>
        <v>0</v>
      </c>
      <c r="AI36" s="49" t="e">
        <f ca="1">$D36-$BF36</f>
        <v>#REF!</v>
      </c>
      <c r="AJ36" s="50">
        <f ca="1">+GETPIVOTDATA("XQT4",'quangthanh (2016)'!$A$3,"MA_HT","DTT","MA_QH","NCK")</f>
        <v>0</v>
      </c>
      <c r="AK36" s="50">
        <f ca="1">+GETPIVOTDATA("XQT4",'quangthanh (2016)'!$A$3,"MA_HT","DTT","MA_QH","DXH")</f>
        <v>0</v>
      </c>
      <c r="AL36" s="50">
        <f ca="1">+GETPIVOTDATA("XQT4",'quangthanh (2016)'!$A$3,"MA_HT","DTT","MA_QH","DCH")</f>
        <v>0</v>
      </c>
      <c r="AM36" s="50">
        <f ca="1">+GETPIVOTDATA("XQT4",'quangthanh (2016)'!$A$3,"MA_HT","DTT","MA_QH","DKG")</f>
        <v>0</v>
      </c>
      <c r="AN36" s="50">
        <f ca="1">+GETPIVOTDATA("XQT4",'quangthanh (2016)'!$A$3,"MA_HT","DTT","MA_QH","DDT")</f>
        <v>0</v>
      </c>
      <c r="AO36" s="50">
        <f ca="1">+GETPIVOTDATA("XQT4",'quangthanh (2016)'!$A$3,"MA_HT","DTT","MA_QH","DDL")</f>
        <v>0</v>
      </c>
      <c r="AP36" s="50">
        <f ca="1">+GETPIVOTDATA("XQT4",'quangthanh (2016)'!$A$3,"MA_HT","DTT","MA_QH","DRA")</f>
        <v>0</v>
      </c>
      <c r="AQ36" s="50">
        <f ca="1">+GETPIVOTDATA("XQT4",'quangthanh (2016)'!$A$3,"MA_HT","DTT","MA_QH","ONT")</f>
        <v>0</v>
      </c>
      <c r="AR36" s="50">
        <f ca="1">+GETPIVOTDATA("XQT4",'quangthanh (2016)'!$A$3,"MA_HT","DTT","MA_QH","ODT")</f>
        <v>0</v>
      </c>
      <c r="AS36" s="50">
        <f ca="1">+GETPIVOTDATA("XQT4",'quangthanh (2016)'!$A$3,"MA_HT","DTT","MA_QH","TSC")</f>
        <v>0</v>
      </c>
      <c r="AT36" s="50">
        <f ca="1">+GETPIVOTDATA("XQT4",'quangthanh (2016)'!$A$3,"MA_HT","DTT","MA_QH","DTS")</f>
        <v>0</v>
      </c>
      <c r="AU36" s="50">
        <f ca="1">+GETPIVOTDATA("XQT4",'quangthanh (2016)'!$A$3,"MA_HT","DTT","MA_QH","DNG")</f>
        <v>0</v>
      </c>
      <c r="AV36" s="50">
        <f ca="1">+GETPIVOTDATA("XQT4",'quangthanh (2016)'!$A$3,"MA_HT","DTT","MA_QH","TON")</f>
        <v>0</v>
      </c>
      <c r="AW36" s="50">
        <f ca="1">+GETPIVOTDATA("XQT4",'quangthanh (2016)'!$A$3,"MA_HT","DTT","MA_QH","NTD")</f>
        <v>0</v>
      </c>
      <c r="AX36" s="50">
        <f ca="1">+GETPIVOTDATA("XQT4",'quangthanh (2016)'!$A$3,"MA_HT","DTT","MA_QH","SKX")</f>
        <v>0</v>
      </c>
      <c r="AY36" s="50">
        <f ca="1">+GETPIVOTDATA("XQT4",'quangthanh (2016)'!$A$3,"MA_HT","DTT","MA_QH","DSH")</f>
        <v>0</v>
      </c>
      <c r="AZ36" s="50">
        <f ca="1">+GETPIVOTDATA("XQT4",'quangthanh (2016)'!$A$3,"MA_HT","DTT","MA_QH","DKV")</f>
        <v>0</v>
      </c>
      <c r="BA36" s="88">
        <f ca="1">+GETPIVOTDATA("XQT4",'quangthanh (2016)'!$A$3,"MA_HT","DTT","MA_QH","TIN")</f>
        <v>0</v>
      </c>
      <c r="BB36" s="50">
        <f ca="1">+GETPIVOTDATA("XQT4",'quangthanh (2016)'!$A$3,"MA_HT","DTT","MA_QH","SON")</f>
        <v>0</v>
      </c>
      <c r="BC36" s="50">
        <f ca="1">+GETPIVOTDATA("XQT4",'quangthanh (2016)'!$A$3,"MA_HT","DTT","MA_QH","MNC")</f>
        <v>0</v>
      </c>
      <c r="BD36" s="50">
        <f ca="1">+GETPIVOTDATA("XQT4",'quangthanh (2016)'!$A$3,"MA_HT","DTT","MA_QH","PNK")</f>
        <v>0</v>
      </c>
      <c r="BE36" s="80">
        <f ca="1">+GETPIVOTDATA("XQT4",'quangthanh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+GETPIVOTDATA("XQT4",'quangthanh (2016)'!$A$3,"MA_HT","NCK","MA_QH","LUC")</f>
        <v>0</v>
      </c>
      <c r="H37" s="50">
        <f ca="1">+GETPIVOTDATA("XQT4",'quangthanh (2016)'!$A$3,"MA_HT","NCK","MA_QH","LUK")</f>
        <v>0</v>
      </c>
      <c r="I37" s="50">
        <f ca="1">+GETPIVOTDATA("XQT4",'quangthanh (2016)'!$A$3,"MA_HT","NCK","MA_QH","LUN")</f>
        <v>0</v>
      </c>
      <c r="J37" s="50">
        <f ca="1">+GETPIVOTDATA("XQT4",'quangthanh (2016)'!$A$3,"MA_HT","NCK","MA_QH","HNK")</f>
        <v>0</v>
      </c>
      <c r="K37" s="50">
        <f ca="1">+GETPIVOTDATA("XQT4",'quangthanh (2016)'!$A$3,"MA_HT","NCK","MA_QH","CLN")</f>
        <v>0</v>
      </c>
      <c r="L37" s="50">
        <f ca="1">+GETPIVOTDATA("XQT4",'quangthanh (2016)'!$A$3,"MA_HT","NCK","MA_QH","RSX")</f>
        <v>0</v>
      </c>
      <c r="M37" s="50">
        <f ca="1">+GETPIVOTDATA("XQT4",'quangthanh (2016)'!$A$3,"MA_HT","NCK","MA_QH","RPH")</f>
        <v>0</v>
      </c>
      <c r="N37" s="50">
        <f ca="1">+GETPIVOTDATA("XQT4",'quangthanh (2016)'!$A$3,"MA_HT","NCK","MA_QH","RDD")</f>
        <v>0</v>
      </c>
      <c r="O37" s="50">
        <f ca="1">+GETPIVOTDATA("XQT4",'quangthanh (2016)'!$A$3,"MA_HT","NCK","MA_QH","NTS")</f>
        <v>0</v>
      </c>
      <c r="P37" s="50">
        <f ca="1">+GETPIVOTDATA("XQT4",'quangthanh (2016)'!$A$3,"MA_HT","NCK","MA_QH","LMU")</f>
        <v>0</v>
      </c>
      <c r="Q37" s="50">
        <f ca="1">+GETPIVOTDATA("XQT4",'quangthanh (2016)'!$A$3,"MA_HT","NCK","MA_QH","NKH")</f>
        <v>0</v>
      </c>
      <c r="R37" s="48">
        <f ca="1" t="shared" si="20"/>
        <v>0</v>
      </c>
      <c r="S37" s="50">
        <f ca="1">+GETPIVOTDATA("XQT4",'quangthanh (2016)'!$A$3,"MA_HT","NCK","MA_QH","CQP")</f>
        <v>0</v>
      </c>
      <c r="T37" s="50">
        <f ca="1">+GETPIVOTDATA("XQT4",'quangthanh (2016)'!$A$3,"MA_HT","NCK","MA_QH","CAN")</f>
        <v>0</v>
      </c>
      <c r="U37" s="50">
        <f ca="1">+GETPIVOTDATA("XQT4",'quangthanh (2016)'!$A$3,"MA_HT","NCK","MA_QH","SKK")</f>
        <v>0</v>
      </c>
      <c r="V37" s="50">
        <f ca="1">+GETPIVOTDATA("XQT4",'quangthanh (2016)'!$A$3,"MA_HT","NCK","MA_QH","SKT")</f>
        <v>0</v>
      </c>
      <c r="W37" s="50">
        <f ca="1">+GETPIVOTDATA("XQT4",'quangthanh (2016)'!$A$3,"MA_HT","NCK","MA_QH","SKN")</f>
        <v>0</v>
      </c>
      <c r="X37" s="50">
        <f ca="1">+GETPIVOTDATA("XQT4",'quangthanh (2016)'!$A$3,"MA_HT","NCK","MA_QH","TMD")</f>
        <v>0</v>
      </c>
      <c r="Y37" s="50">
        <f ca="1">+GETPIVOTDATA("XQT4",'quangthanh (2016)'!$A$3,"MA_HT","NCK","MA_QH","SKC")</f>
        <v>0</v>
      </c>
      <c r="Z37" s="50">
        <f ca="1">+GETPIVOTDATA("XQT4",'quangthanh (2016)'!$A$3,"MA_HT","NCK","MA_QH","SKS")</f>
        <v>0</v>
      </c>
      <c r="AA37" s="52">
        <f ca="1">+SUM(AB37:AI37,AK37:AM37)</f>
        <v>0</v>
      </c>
      <c r="AB37" s="50">
        <f ca="1">+GETPIVOTDATA("XQT4",'quangthanh (2016)'!$A$3,"MA_HT","NCK","MA_QH","DGT")</f>
        <v>0</v>
      </c>
      <c r="AC37" s="50">
        <f ca="1">+GETPIVOTDATA("XQT4",'quangthanh (2016)'!$A$3,"MA_HT","NCK","MA_QH","DTL")</f>
        <v>0</v>
      </c>
      <c r="AD37" s="50">
        <f ca="1">+GETPIVOTDATA("XQT4",'quangthanh (2016)'!$A$3,"MA_HT","NCK","MA_QH","DNL")</f>
        <v>0</v>
      </c>
      <c r="AE37" s="50">
        <f ca="1">+GETPIVOTDATA("XQT4",'quangthanh (2016)'!$A$3,"MA_HT","NCK","MA_QH","DBV")</f>
        <v>0</v>
      </c>
      <c r="AF37" s="50">
        <f ca="1">+GETPIVOTDATA("XQT4",'quangthanh (2016)'!$A$3,"MA_HT","NCK","MA_QH","DVH")</f>
        <v>0</v>
      </c>
      <c r="AG37" s="50">
        <f ca="1">+GETPIVOTDATA("XQT4",'quangthanh (2016)'!$A$3,"MA_HT","NCK","MA_QH","DYT")</f>
        <v>0</v>
      </c>
      <c r="AH37" s="50">
        <f ca="1">+GETPIVOTDATA("XQT4",'quangthanh (2016)'!$A$3,"MA_HT","NCK","MA_QH","DGD")</f>
        <v>0</v>
      </c>
      <c r="AI37" s="50">
        <f ca="1">+GETPIVOTDATA("XQT4",'quangthanh (2016)'!$A$3,"MA_HT","NCK","MA_QH","DTT")</f>
        <v>0</v>
      </c>
      <c r="AJ37" s="49" t="e">
        <f ca="1">$D37-$BF37</f>
        <v>#REF!</v>
      </c>
      <c r="AK37" s="50">
        <f ca="1">+GETPIVOTDATA("XQT4",'quangthanh (2016)'!$A$3,"MA_HT","NCK","MA_QH","DXH")</f>
        <v>0</v>
      </c>
      <c r="AL37" s="50">
        <f ca="1">+GETPIVOTDATA("XQT4",'quangthanh (2016)'!$A$3,"MA_HT","NCK","MA_QH","DCH")</f>
        <v>0</v>
      </c>
      <c r="AM37" s="50">
        <f ca="1">+GETPIVOTDATA("XQT4",'quangthanh (2016)'!$A$3,"MA_HT","NCK","MA_QH","DKG")</f>
        <v>0</v>
      </c>
      <c r="AN37" s="50">
        <f ca="1">+GETPIVOTDATA("XQT4",'quangthanh (2016)'!$A$3,"MA_HT","NCK","MA_QH","DDT")</f>
        <v>0</v>
      </c>
      <c r="AO37" s="50">
        <f ca="1">+GETPIVOTDATA("XQT4",'quangthanh (2016)'!$A$3,"MA_HT","NCK","MA_QH","DDL")</f>
        <v>0</v>
      </c>
      <c r="AP37" s="50">
        <f ca="1">+GETPIVOTDATA("XQT4",'quangthanh (2016)'!$A$3,"MA_HT","NCK","MA_QH","DRA")</f>
        <v>0</v>
      </c>
      <c r="AQ37" s="50">
        <f ca="1">+GETPIVOTDATA("XQT4",'quangthanh (2016)'!$A$3,"MA_HT","NCK","MA_QH","ONT")</f>
        <v>0</v>
      </c>
      <c r="AR37" s="50">
        <f ca="1">+GETPIVOTDATA("XQT4",'quangthanh (2016)'!$A$3,"MA_HT","NCK","MA_QH","ODT")</f>
        <v>0</v>
      </c>
      <c r="AS37" s="50">
        <f ca="1">+GETPIVOTDATA("XQT4",'quangthanh (2016)'!$A$3,"MA_HT","NCK","MA_QH","TSC")</f>
        <v>0</v>
      </c>
      <c r="AT37" s="50">
        <f ca="1">+GETPIVOTDATA("XQT4",'quangthanh (2016)'!$A$3,"MA_HT","NCK","MA_QH","DTS")</f>
        <v>0</v>
      </c>
      <c r="AU37" s="50">
        <f ca="1">+GETPIVOTDATA("XQT4",'quangthanh (2016)'!$A$3,"MA_HT","NCK","MA_QH","DNG")</f>
        <v>0</v>
      </c>
      <c r="AV37" s="50">
        <f ca="1">+GETPIVOTDATA("XQT4",'quangthanh (2016)'!$A$3,"MA_HT","NCK","MA_QH","TON")</f>
        <v>0</v>
      </c>
      <c r="AW37" s="50">
        <f ca="1">+GETPIVOTDATA("XQT4",'quangthanh (2016)'!$A$3,"MA_HT","NCK","MA_QH","NTD")</f>
        <v>0</v>
      </c>
      <c r="AX37" s="50">
        <f ca="1">+GETPIVOTDATA("XQT4",'quangthanh (2016)'!$A$3,"MA_HT","NCK","MA_QH","SKX")</f>
        <v>0</v>
      </c>
      <c r="AY37" s="50">
        <f ca="1">+GETPIVOTDATA("XQT4",'quangthanh (2016)'!$A$3,"MA_HT","NCK","MA_QH","DSH")</f>
        <v>0</v>
      </c>
      <c r="AZ37" s="50">
        <f ca="1">+GETPIVOTDATA("XQT4",'quangthanh (2016)'!$A$3,"MA_HT","NCK","MA_QH","DKV")</f>
        <v>0</v>
      </c>
      <c r="BA37" s="88">
        <f ca="1">+GETPIVOTDATA("XQT4",'quangthanh (2016)'!$A$3,"MA_HT","NCK","MA_QH","TIN")</f>
        <v>0</v>
      </c>
      <c r="BB37" s="50">
        <f ca="1">+GETPIVOTDATA("XQT4",'quangthanh (2016)'!$A$3,"MA_HT","NCK","MA_QH","SON")</f>
        <v>0</v>
      </c>
      <c r="BC37" s="50">
        <f ca="1">+GETPIVOTDATA("XQT4",'quangthanh (2016)'!$A$3,"MA_HT","NCK","MA_QH","MNC")</f>
        <v>0</v>
      </c>
      <c r="BD37" s="50">
        <f ca="1">+GETPIVOTDATA("XQT4",'quangthanh (2016)'!$A$3,"MA_HT","NCK","MA_QH","PNK")</f>
        <v>0</v>
      </c>
      <c r="BE37" s="80">
        <f ca="1">+GETPIVOTDATA("XQT4",'quangthanh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+GETPIVOTDATA("XQT4",'quangthanh (2016)'!$A$3,"MA_HT","DXH","MA_QH","LUC")</f>
        <v>0</v>
      </c>
      <c r="H38" s="50">
        <f ca="1">+GETPIVOTDATA("XQT4",'quangthanh (2016)'!$A$3,"MA_HT","DXH","MA_QH","LUK")</f>
        <v>0</v>
      </c>
      <c r="I38" s="50">
        <f ca="1">+GETPIVOTDATA("XQT4",'quangthanh (2016)'!$A$3,"MA_HT","DXH","MA_QH","LUN")</f>
        <v>0</v>
      </c>
      <c r="J38" s="50">
        <f ca="1">+GETPIVOTDATA("XQT4",'quangthanh (2016)'!$A$3,"MA_HT","DXH","MA_QH","HNK")</f>
        <v>0</v>
      </c>
      <c r="K38" s="50">
        <f ca="1">+GETPIVOTDATA("XQT4",'quangthanh (2016)'!$A$3,"MA_HT","DXH","MA_QH","CLN")</f>
        <v>0</v>
      </c>
      <c r="L38" s="50">
        <f ca="1">+GETPIVOTDATA("XQT4",'quangthanh (2016)'!$A$3,"MA_HT","DXH","MA_QH","RSX")</f>
        <v>0</v>
      </c>
      <c r="M38" s="50">
        <f ca="1">+GETPIVOTDATA("XQT4",'quangthanh (2016)'!$A$3,"MA_HT","DXH","MA_QH","RPH")</f>
        <v>0</v>
      </c>
      <c r="N38" s="50">
        <f ca="1">+GETPIVOTDATA("XQT4",'quangthanh (2016)'!$A$3,"MA_HT","DXH","MA_QH","RDD")</f>
        <v>0</v>
      </c>
      <c r="O38" s="50">
        <f ca="1">+GETPIVOTDATA("XQT4",'quangthanh (2016)'!$A$3,"MA_HT","DXH","MA_QH","NTS")</f>
        <v>0</v>
      </c>
      <c r="P38" s="50">
        <f ca="1">+GETPIVOTDATA("XQT4",'quangthanh (2016)'!$A$3,"MA_HT","DXH","MA_QH","LMU")</f>
        <v>0</v>
      </c>
      <c r="Q38" s="50">
        <f ca="1">+GETPIVOTDATA("XQT4",'quangthanh (2016)'!$A$3,"MA_HT","DXH","MA_QH","NKH")</f>
        <v>0</v>
      </c>
      <c r="R38" s="48">
        <f ca="1" t="shared" si="20"/>
        <v>0</v>
      </c>
      <c r="S38" s="50">
        <f ca="1">+GETPIVOTDATA("XQT4",'quangthanh (2016)'!$A$3,"MA_HT","DXH","MA_QH","CQP")</f>
        <v>0</v>
      </c>
      <c r="T38" s="50">
        <f ca="1">+GETPIVOTDATA("XQT4",'quangthanh (2016)'!$A$3,"MA_HT","DXH","MA_QH","CAN")</f>
        <v>0</v>
      </c>
      <c r="U38" s="50">
        <f ca="1">+GETPIVOTDATA("XQT4",'quangthanh (2016)'!$A$3,"MA_HT","DXH","MA_QH","SKK")</f>
        <v>0</v>
      </c>
      <c r="V38" s="50">
        <f ca="1">+GETPIVOTDATA("XQT4",'quangthanh (2016)'!$A$3,"MA_HT","DXH","MA_QH","SKT")</f>
        <v>0</v>
      </c>
      <c r="W38" s="50">
        <f ca="1">+GETPIVOTDATA("XQT4",'quangthanh (2016)'!$A$3,"MA_HT","DXH","MA_QH","SKN")</f>
        <v>0</v>
      </c>
      <c r="X38" s="50">
        <f ca="1">+GETPIVOTDATA("XQT4",'quangthanh (2016)'!$A$3,"MA_HT","DXH","MA_QH","TMD")</f>
        <v>0</v>
      </c>
      <c r="Y38" s="50">
        <f ca="1">+GETPIVOTDATA("XQT4",'quangthanh (2016)'!$A$3,"MA_HT","DXH","MA_QH","SKC")</f>
        <v>0</v>
      </c>
      <c r="Z38" s="50">
        <f ca="1">+GETPIVOTDATA("XQT4",'quangthanh (2016)'!$A$3,"MA_HT","DXH","MA_QH","SKS")</f>
        <v>0</v>
      </c>
      <c r="AA38" s="52">
        <f ca="1">+SUM(AB38:AJ38,AL38:AM38)</f>
        <v>0</v>
      </c>
      <c r="AB38" s="50">
        <f ca="1">+GETPIVOTDATA("XQT4",'quangthanh (2016)'!$A$3,"MA_HT","DXH","MA_QH","DGT")</f>
        <v>0</v>
      </c>
      <c r="AC38" s="50">
        <f ca="1">+GETPIVOTDATA("XQT4",'quangthanh (2016)'!$A$3,"MA_HT","DXH","MA_QH","DTL")</f>
        <v>0</v>
      </c>
      <c r="AD38" s="50">
        <f ca="1">+GETPIVOTDATA("XQT4",'quangthanh (2016)'!$A$3,"MA_HT","DXH","MA_QH","DNL")</f>
        <v>0</v>
      </c>
      <c r="AE38" s="50">
        <f ca="1">+GETPIVOTDATA("XQT4",'quangthanh (2016)'!$A$3,"MA_HT","DXH","MA_QH","DBV")</f>
        <v>0</v>
      </c>
      <c r="AF38" s="50">
        <f ca="1">+GETPIVOTDATA("XQT4",'quangthanh (2016)'!$A$3,"MA_HT","DXH","MA_QH","DVH")</f>
        <v>0</v>
      </c>
      <c r="AG38" s="50">
        <f ca="1">+GETPIVOTDATA("XQT4",'quangthanh (2016)'!$A$3,"MA_HT","DXH","MA_QH","DYT")</f>
        <v>0</v>
      </c>
      <c r="AH38" s="50">
        <f ca="1">+GETPIVOTDATA("XQT4",'quangthanh (2016)'!$A$3,"MA_HT","DXH","MA_QH","DGD")</f>
        <v>0</v>
      </c>
      <c r="AI38" s="50">
        <f ca="1">+GETPIVOTDATA("XQT4",'quangthanh (2016)'!$A$3,"MA_HT","DXH","MA_QH","DTT")</f>
        <v>0</v>
      </c>
      <c r="AJ38" s="50">
        <f ca="1">+GETPIVOTDATA("XQT4",'quangthanh (2016)'!$A$3,"MA_HT","DXH","MA_QH","NCK")</f>
        <v>0</v>
      </c>
      <c r="AK38" s="49" t="e">
        <f ca="1">$D38-$BF38</f>
        <v>#REF!</v>
      </c>
      <c r="AL38" s="50">
        <f ca="1">+GETPIVOTDATA("XQT4",'quangthanh (2016)'!$A$3,"MA_HT","DXH","MA_QH","DCH")</f>
        <v>0</v>
      </c>
      <c r="AM38" s="50">
        <f ca="1">+GETPIVOTDATA("XQT4",'quangthanh (2016)'!$A$3,"MA_HT","DXH","MA_QH","DKG")</f>
        <v>0</v>
      </c>
      <c r="AN38" s="50">
        <f ca="1">+GETPIVOTDATA("XQT4",'quangthanh (2016)'!$A$3,"MA_HT","DXH","MA_QH","DDT")</f>
        <v>0</v>
      </c>
      <c r="AO38" s="50">
        <f ca="1">+GETPIVOTDATA("XQT4",'quangthanh (2016)'!$A$3,"MA_HT","DXH","MA_QH","DDL")</f>
        <v>0</v>
      </c>
      <c r="AP38" s="50">
        <f ca="1">+GETPIVOTDATA("XQT4",'quangthanh (2016)'!$A$3,"MA_HT","DXH","MA_QH","DRA")</f>
        <v>0</v>
      </c>
      <c r="AQ38" s="50">
        <f ca="1">+GETPIVOTDATA("XQT4",'quangthanh (2016)'!$A$3,"MA_HT","DXH","MA_QH","ONT")</f>
        <v>0</v>
      </c>
      <c r="AR38" s="50">
        <f ca="1">+GETPIVOTDATA("XQT4",'quangthanh (2016)'!$A$3,"MA_HT","DXH","MA_QH","ODT")</f>
        <v>0</v>
      </c>
      <c r="AS38" s="50">
        <f ca="1">+GETPIVOTDATA("XQT4",'quangthanh (2016)'!$A$3,"MA_HT","DXH","MA_QH","TSC")</f>
        <v>0</v>
      </c>
      <c r="AT38" s="50">
        <f ca="1">+GETPIVOTDATA("XQT4",'quangthanh (2016)'!$A$3,"MA_HT","DXH","MA_QH","DTS")</f>
        <v>0</v>
      </c>
      <c r="AU38" s="50">
        <f ca="1">+GETPIVOTDATA("XQT4",'quangthanh (2016)'!$A$3,"MA_HT","DXH","MA_QH","DNG")</f>
        <v>0</v>
      </c>
      <c r="AV38" s="50">
        <f ca="1">+GETPIVOTDATA("XQT4",'quangthanh (2016)'!$A$3,"MA_HT","DXH","MA_QH","TON")</f>
        <v>0</v>
      </c>
      <c r="AW38" s="50">
        <f ca="1">+GETPIVOTDATA("XQT4",'quangthanh (2016)'!$A$3,"MA_HT","DXH","MA_QH","NTD")</f>
        <v>0</v>
      </c>
      <c r="AX38" s="50">
        <f ca="1">+GETPIVOTDATA("XQT4",'quangthanh (2016)'!$A$3,"MA_HT","DXH","MA_QH","SKX")</f>
        <v>0</v>
      </c>
      <c r="AY38" s="50">
        <f ca="1">+GETPIVOTDATA("XQT4",'quangthanh (2016)'!$A$3,"MA_HT","DXH","MA_QH","DSH")</f>
        <v>0</v>
      </c>
      <c r="AZ38" s="50">
        <f ca="1">+GETPIVOTDATA("XQT4",'quangthanh (2016)'!$A$3,"MA_HT","DXH","MA_QH","DKV")</f>
        <v>0</v>
      </c>
      <c r="BA38" s="88">
        <f ca="1">+GETPIVOTDATA("XQT4",'quangthanh (2016)'!$A$3,"MA_HT","DXH","MA_QH","TIN")</f>
        <v>0</v>
      </c>
      <c r="BB38" s="50">
        <f ca="1">+GETPIVOTDATA("XQT4",'quangthanh (2016)'!$A$3,"MA_HT","DXH","MA_QH","SON")</f>
        <v>0</v>
      </c>
      <c r="BC38" s="50">
        <f ca="1">+GETPIVOTDATA("XQT4",'quangthanh (2016)'!$A$3,"MA_HT","DXH","MA_QH","MNC")</f>
        <v>0</v>
      </c>
      <c r="BD38" s="50">
        <f ca="1">+GETPIVOTDATA("XQT4",'quangthanh (2016)'!$A$3,"MA_HT","DXH","MA_QH","PNK")</f>
        <v>0</v>
      </c>
      <c r="BE38" s="80">
        <f ca="1">+GETPIVOTDATA("XQT4",'quangthanh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+GETPIVOTDATA("XQT4",'quangthanh (2016)'!$A$3,"MA_HT","DCH","MA_QH","LUC")</f>
        <v>0</v>
      </c>
      <c r="H39" s="50">
        <f ca="1">+GETPIVOTDATA("XQT4",'quangthanh (2016)'!$A$3,"MA_HT","DCH","MA_QH","LUK")</f>
        <v>0</v>
      </c>
      <c r="I39" s="50">
        <f ca="1">+GETPIVOTDATA("XQT4",'quangthanh (2016)'!$A$3,"MA_HT","DCH","MA_QH","LUN")</f>
        <v>0</v>
      </c>
      <c r="J39" s="50">
        <f ca="1">+GETPIVOTDATA("XQT4",'quangthanh (2016)'!$A$3,"MA_HT","DCH","MA_QH","HNK")</f>
        <v>0</v>
      </c>
      <c r="K39" s="50">
        <f ca="1">+GETPIVOTDATA("XQT4",'quangthanh (2016)'!$A$3,"MA_HT","DCH","MA_QH","CLN")</f>
        <v>0</v>
      </c>
      <c r="L39" s="50">
        <f ca="1">+GETPIVOTDATA("XQT4",'quangthanh (2016)'!$A$3,"MA_HT","DCH","MA_QH","RSX")</f>
        <v>0</v>
      </c>
      <c r="M39" s="50">
        <f ca="1">+GETPIVOTDATA("XQT4",'quangthanh (2016)'!$A$3,"MA_HT","DCH","MA_QH","RPH")</f>
        <v>0</v>
      </c>
      <c r="N39" s="50">
        <f ca="1">+GETPIVOTDATA("XQT4",'quangthanh (2016)'!$A$3,"MA_HT","DCH","MA_QH","RDD")</f>
        <v>0</v>
      </c>
      <c r="O39" s="50">
        <f ca="1">+GETPIVOTDATA("XQT4",'quangthanh (2016)'!$A$3,"MA_HT","DCH","MA_QH","NTS")</f>
        <v>0</v>
      </c>
      <c r="P39" s="50">
        <f ca="1">+GETPIVOTDATA("XQT4",'quangthanh (2016)'!$A$3,"MA_HT","DCH","MA_QH","LMU")</f>
        <v>0</v>
      </c>
      <c r="Q39" s="50">
        <f ca="1">+GETPIVOTDATA("XQT4",'quangthanh (2016)'!$A$3,"MA_HT","DCH","MA_QH","NKH")</f>
        <v>0</v>
      </c>
      <c r="R39" s="48">
        <f ca="1" t="shared" si="20"/>
        <v>0</v>
      </c>
      <c r="S39" s="50">
        <f ca="1">+GETPIVOTDATA("XQT4",'quangthanh (2016)'!$A$3,"MA_HT","DCH","MA_QH","CQP")</f>
        <v>0</v>
      </c>
      <c r="T39" s="50">
        <f ca="1">+GETPIVOTDATA("XQT4",'quangthanh (2016)'!$A$3,"MA_HT","DCH","MA_QH","CAN")</f>
        <v>0</v>
      </c>
      <c r="U39" s="50">
        <f ca="1">+GETPIVOTDATA("XQT4",'quangthanh (2016)'!$A$3,"MA_HT","DCH","MA_QH","SKK")</f>
        <v>0</v>
      </c>
      <c r="V39" s="50">
        <f ca="1">+GETPIVOTDATA("XQT4",'quangthanh (2016)'!$A$3,"MA_HT","DCH","MA_QH","SKT")</f>
        <v>0</v>
      </c>
      <c r="W39" s="50">
        <f ca="1">+GETPIVOTDATA("XQT4",'quangthanh (2016)'!$A$3,"MA_HT","DCH","MA_QH","SKN")</f>
        <v>0</v>
      </c>
      <c r="X39" s="50">
        <f ca="1">+GETPIVOTDATA("XQT4",'quangthanh (2016)'!$A$3,"MA_HT","DCH","MA_QH","TMD")</f>
        <v>0</v>
      </c>
      <c r="Y39" s="50">
        <f ca="1">+GETPIVOTDATA("XQT4",'quangthanh (2016)'!$A$3,"MA_HT","DCH","MA_QH","SKC")</f>
        <v>0</v>
      </c>
      <c r="Z39" s="50">
        <f ca="1">+GETPIVOTDATA("XQT4",'quangthanh (2016)'!$A$3,"MA_HT","DCH","MA_QH","SKS")</f>
        <v>0</v>
      </c>
      <c r="AA39" s="52">
        <f ca="1">+SUM(AB39:AK39,AM39)</f>
        <v>0</v>
      </c>
      <c r="AB39" s="50">
        <f ca="1">+GETPIVOTDATA("XQT4",'quangthanh (2016)'!$A$3,"MA_HT","DCH","MA_QH","DGT")</f>
        <v>0</v>
      </c>
      <c r="AC39" s="50">
        <f ca="1">+GETPIVOTDATA("XQT4",'quangthanh (2016)'!$A$3,"MA_HT","DCH","MA_QH","DTL")</f>
        <v>0</v>
      </c>
      <c r="AD39" s="50">
        <f ca="1">+GETPIVOTDATA("XQT4",'quangthanh (2016)'!$A$3,"MA_HT","DCH","MA_QH","DNL")</f>
        <v>0</v>
      </c>
      <c r="AE39" s="50">
        <f ca="1">+GETPIVOTDATA("XQT4",'quangthanh (2016)'!$A$3,"MA_HT","DCH","MA_QH","DBV")</f>
        <v>0</v>
      </c>
      <c r="AF39" s="50">
        <f ca="1">+GETPIVOTDATA("XQT4",'quangthanh (2016)'!$A$3,"MA_HT","DCH","MA_QH","DVH")</f>
        <v>0</v>
      </c>
      <c r="AG39" s="50">
        <f ca="1">+GETPIVOTDATA("XQT4",'quangthanh (2016)'!$A$3,"MA_HT","DCH","MA_QH","DYT")</f>
        <v>0</v>
      </c>
      <c r="AH39" s="50">
        <f ca="1">+GETPIVOTDATA("XQT4",'quangthanh (2016)'!$A$3,"MA_HT","DCH","MA_QH","DGD")</f>
        <v>0</v>
      </c>
      <c r="AI39" s="50">
        <f ca="1">+GETPIVOTDATA("XQT4",'quangthanh (2016)'!$A$3,"MA_HT","DCH","MA_QH","DTT")</f>
        <v>0</v>
      </c>
      <c r="AJ39" s="50">
        <f ca="1">+GETPIVOTDATA("XQT4",'quangthanh (2016)'!$A$3,"MA_HT","DCH","MA_QH","NCK")</f>
        <v>0</v>
      </c>
      <c r="AK39" s="50">
        <f ca="1">+GETPIVOTDATA("XQT4",'quangthanh (2016)'!$A$3,"MA_HT","DCH","MA_QH","DXH")</f>
        <v>0</v>
      </c>
      <c r="AL39" s="49" t="e">
        <f ca="1">$D39-$BF39</f>
        <v>#REF!</v>
      </c>
      <c r="AM39" s="50">
        <f ca="1">+GETPIVOTDATA("XQT4",'quangthanh (2016)'!$A$3,"MA_HT","DXH","MA_QH","DKG")</f>
        <v>0</v>
      </c>
      <c r="AN39" s="50">
        <f ca="1">+GETPIVOTDATA("XQT4",'quangthanh (2016)'!$A$3,"MA_HT","DCH","MA_QH","DDT")</f>
        <v>0</v>
      </c>
      <c r="AO39" s="50">
        <f ca="1">+GETPIVOTDATA("XQT4",'quangthanh (2016)'!$A$3,"MA_HT","DCH","MA_QH","DDL")</f>
        <v>0</v>
      </c>
      <c r="AP39" s="50">
        <f ca="1">+GETPIVOTDATA("XQT4",'quangthanh (2016)'!$A$3,"MA_HT","DCH","MA_QH","DRA")</f>
        <v>0</v>
      </c>
      <c r="AQ39" s="50">
        <f ca="1">+GETPIVOTDATA("XQT4",'quangthanh (2016)'!$A$3,"MA_HT","DCH","MA_QH","ONT")</f>
        <v>0</v>
      </c>
      <c r="AR39" s="50">
        <f ca="1">+GETPIVOTDATA("XQT4",'quangthanh (2016)'!$A$3,"MA_HT","DCH","MA_QH","ODT")</f>
        <v>0</v>
      </c>
      <c r="AS39" s="50">
        <f ca="1">+GETPIVOTDATA("XQT4",'quangthanh (2016)'!$A$3,"MA_HT","DCH","MA_QH","TSC")</f>
        <v>0</v>
      </c>
      <c r="AT39" s="50">
        <f ca="1">+GETPIVOTDATA("XQT4",'quangthanh (2016)'!$A$3,"MA_HT","DCH","MA_QH","DTS")</f>
        <v>0</v>
      </c>
      <c r="AU39" s="50">
        <f ca="1">+GETPIVOTDATA("XQT4",'quangthanh (2016)'!$A$3,"MA_HT","DCH","MA_QH","DNG")</f>
        <v>0</v>
      </c>
      <c r="AV39" s="50">
        <f ca="1">+GETPIVOTDATA("XQT4",'quangthanh (2016)'!$A$3,"MA_HT","DCH","MA_QH","TON")</f>
        <v>0</v>
      </c>
      <c r="AW39" s="50">
        <f ca="1">+GETPIVOTDATA("XQT4",'quangthanh (2016)'!$A$3,"MA_HT","DCH","MA_QH","NTD")</f>
        <v>0</v>
      </c>
      <c r="AX39" s="50">
        <f ca="1">+GETPIVOTDATA("XQT4",'quangthanh (2016)'!$A$3,"MA_HT","DCH","MA_QH","SKX")</f>
        <v>0</v>
      </c>
      <c r="AY39" s="50">
        <f ca="1">+GETPIVOTDATA("XQT4",'quangthanh (2016)'!$A$3,"MA_HT","DCH","MA_QH","DSH")</f>
        <v>0</v>
      </c>
      <c r="AZ39" s="50">
        <f ca="1">+GETPIVOTDATA("XQT4",'quangthanh (2016)'!$A$3,"MA_HT","DCH","MA_QH","DKV")</f>
        <v>0</v>
      </c>
      <c r="BA39" s="88">
        <f ca="1">+GETPIVOTDATA("XQT4",'quangthanh (2016)'!$A$3,"MA_HT","DCH","MA_QH","TIN")</f>
        <v>0</v>
      </c>
      <c r="BB39" s="50">
        <f ca="1">+GETPIVOTDATA("XQT4",'quangthanh (2016)'!$A$3,"MA_HT","DCH","MA_QH","SON")</f>
        <v>0</v>
      </c>
      <c r="BC39" s="50">
        <f ca="1">+GETPIVOTDATA("XQT4",'quangthanh (2016)'!$A$3,"MA_HT","DCH","MA_QH","MNC")</f>
        <v>0</v>
      </c>
      <c r="BD39" s="50">
        <f ca="1">+GETPIVOTDATA("XQT4",'quangthanh (2016)'!$A$3,"MA_HT","DCH","MA_QH","PNK")</f>
        <v>0</v>
      </c>
      <c r="BE39" s="80">
        <f ca="1">+GETPIVOTDATA("XQT4",'quangthanh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+GETPIVOTDATA("XQT4",'quangthanh (2016)'!$A$3,"MA_HT","DKG","MA_QH","LUC")</f>
        <v>0</v>
      </c>
      <c r="H40" s="50">
        <f ca="1">+GETPIVOTDATA("XQT4",'quangthanh (2016)'!$A$3,"MA_HT","DKG","MA_QH","LUK")</f>
        <v>0</v>
      </c>
      <c r="I40" s="50">
        <f ca="1">+GETPIVOTDATA("XQT4",'quangthanh (2016)'!$A$3,"MA_HT","DKG","MA_QH","LUN")</f>
        <v>0</v>
      </c>
      <c r="J40" s="50">
        <f ca="1">+GETPIVOTDATA("XQT4",'quangthanh (2016)'!$A$3,"MA_HT","DKG","MA_QH","HNK")</f>
        <v>0</v>
      </c>
      <c r="K40" s="50">
        <f ca="1">+GETPIVOTDATA("XQT4",'quangthanh (2016)'!$A$3,"MA_HT","DKG","MA_QH","CLN")</f>
        <v>0</v>
      </c>
      <c r="L40" s="50">
        <f ca="1">+GETPIVOTDATA("XQT4",'quangthanh (2016)'!$A$3,"MA_HT","DKG","MA_QH","RSX")</f>
        <v>0</v>
      </c>
      <c r="M40" s="50">
        <f ca="1">+GETPIVOTDATA("XQT4",'quangthanh (2016)'!$A$3,"MA_HT","DKG","MA_QH","RPH")</f>
        <v>0</v>
      </c>
      <c r="N40" s="50">
        <f ca="1">+GETPIVOTDATA("XQT4",'quangthanh (2016)'!$A$3,"MA_HT","DKG","MA_QH","RDD")</f>
        <v>0</v>
      </c>
      <c r="O40" s="50">
        <f ca="1">+GETPIVOTDATA("XQT4",'quangthanh (2016)'!$A$3,"MA_HT","DKG","MA_QH","NTS")</f>
        <v>0</v>
      </c>
      <c r="P40" s="50">
        <f ca="1">+GETPIVOTDATA("XQT4",'quangthanh (2016)'!$A$3,"MA_HT","DKG","MA_QH","LMU")</f>
        <v>0</v>
      </c>
      <c r="Q40" s="50">
        <f ca="1">+GETPIVOTDATA("XQT4",'quangthanh (2016)'!$A$3,"MA_HT","DKG","MA_QH","NKH")</f>
        <v>0</v>
      </c>
      <c r="R40" s="48">
        <f ca="1" t="shared" si="20"/>
        <v>0</v>
      </c>
      <c r="S40" s="50">
        <f ca="1">+GETPIVOTDATA("XQT4",'quangthanh (2016)'!$A$3,"MA_HT","DKG","MA_QH","CQP")</f>
        <v>0</v>
      </c>
      <c r="T40" s="50">
        <f ca="1">+GETPIVOTDATA("XQT4",'quangthanh (2016)'!$A$3,"MA_HT","DKG","MA_QH","CAN")</f>
        <v>0</v>
      </c>
      <c r="U40" s="50">
        <f ca="1">+GETPIVOTDATA("XQT4",'quangthanh (2016)'!$A$3,"MA_HT","DKG","MA_QH","SKK")</f>
        <v>0</v>
      </c>
      <c r="V40" s="50">
        <f ca="1">+GETPIVOTDATA("XQT4",'quangthanh (2016)'!$A$3,"MA_HT","DKG","MA_QH","SKT")</f>
        <v>0</v>
      </c>
      <c r="W40" s="50">
        <f ca="1">+GETPIVOTDATA("XQT4",'quangthanh (2016)'!$A$3,"MA_HT","DKG","MA_QH","SKN")</f>
        <v>0</v>
      </c>
      <c r="X40" s="50">
        <f ca="1">+GETPIVOTDATA("XQT4",'quangthanh (2016)'!$A$3,"MA_HT","DKG","MA_QH","TMD")</f>
        <v>0</v>
      </c>
      <c r="Y40" s="50">
        <f ca="1">+GETPIVOTDATA("XQT4",'quangthanh (2016)'!$A$3,"MA_HT","DKG","MA_QH","SKC")</f>
        <v>0</v>
      </c>
      <c r="Z40" s="50">
        <f ca="1">+GETPIVOTDATA("XQT4",'quangthanh (2016)'!$A$3,"MA_HT","DKG","MA_QH","SKS")</f>
        <v>0</v>
      </c>
      <c r="AA40" s="52">
        <f ca="1">+SUM(AB40:AL40)</f>
        <v>0</v>
      </c>
      <c r="AB40" s="50">
        <f ca="1">+GETPIVOTDATA("XQT4",'quangthanh (2016)'!$A$3,"MA_HT","DKG","MA_QH","DGT")</f>
        <v>0</v>
      </c>
      <c r="AC40" s="50">
        <f ca="1">+GETPIVOTDATA("XQT4",'quangthanh (2016)'!$A$3,"MA_HT","DKG","MA_QH","DTL")</f>
        <v>0</v>
      </c>
      <c r="AD40" s="50">
        <f ca="1">+GETPIVOTDATA("XQT4",'quangthanh (2016)'!$A$3,"MA_HT","DKG","MA_QH","DNL")</f>
        <v>0</v>
      </c>
      <c r="AE40" s="50">
        <f ca="1">+GETPIVOTDATA("XQT4",'quangthanh (2016)'!$A$3,"MA_HT","DKG","MA_QH","DBV")</f>
        <v>0</v>
      </c>
      <c r="AF40" s="50">
        <f ca="1">+GETPIVOTDATA("XQT4",'quangthanh (2016)'!$A$3,"MA_HT","DKG","MA_QH","DVH")</f>
        <v>0</v>
      </c>
      <c r="AG40" s="50">
        <f ca="1">+GETPIVOTDATA("XQT4",'quangthanh (2016)'!$A$3,"MA_HT","DKG","MA_QH","DYT")</f>
        <v>0</v>
      </c>
      <c r="AH40" s="50">
        <f ca="1">+GETPIVOTDATA("XQT4",'quangthanh (2016)'!$A$3,"MA_HT","DKG","MA_QH","DGD")</f>
        <v>0</v>
      </c>
      <c r="AI40" s="50">
        <f ca="1">+GETPIVOTDATA("XQT4",'quangthanh (2016)'!$A$3,"MA_HT","DKG","MA_QH","DTT")</f>
        <v>0</v>
      </c>
      <c r="AJ40" s="50">
        <f ca="1">+GETPIVOTDATA("XQT4",'quangthanh (2016)'!$A$3,"MA_HT","DKG","MA_QH","NCK")</f>
        <v>0</v>
      </c>
      <c r="AK40" s="50">
        <f ca="1">+GETPIVOTDATA("XQT4",'quangthanh (2016)'!$A$3,"MA_HT","DKG","MA_QH","DXH")</f>
        <v>0</v>
      </c>
      <c r="AL40" s="60">
        <f ca="1">+GETPIVOTDATA("XQT4",'quangthanh (2016)'!$A$3,"MA_HT","DDT","MA_QH","DKG")</f>
        <v>0</v>
      </c>
      <c r="AM40" s="49" t="e">
        <f ca="1">$D40-$BF40</f>
        <v>#REF!</v>
      </c>
      <c r="AN40" s="50">
        <f ca="1">+GETPIVOTDATA("XQT4",'quangthanh (2016)'!$A$3,"MA_HT","DKG","MA_QH","DDT")</f>
        <v>0</v>
      </c>
      <c r="AO40" s="50">
        <f ca="1">+GETPIVOTDATA("XQT4",'quangthanh (2016)'!$A$3,"MA_HT","DKG","MA_QH","DDL")</f>
        <v>0</v>
      </c>
      <c r="AP40" s="50">
        <f ca="1">+GETPIVOTDATA("XQT4",'quangthanh (2016)'!$A$3,"MA_HT","DKG","MA_QH","DRA")</f>
        <v>0</v>
      </c>
      <c r="AQ40" s="50">
        <f ca="1">+GETPIVOTDATA("XQT4",'quangthanh (2016)'!$A$3,"MA_HT","DKG","MA_QH","ONT")</f>
        <v>0</v>
      </c>
      <c r="AR40" s="50">
        <f ca="1">+GETPIVOTDATA("XQT4",'quangthanh (2016)'!$A$3,"MA_HT","DKG","MA_QH","ODT")</f>
        <v>0</v>
      </c>
      <c r="AS40" s="50">
        <f ca="1">+GETPIVOTDATA("XQT4",'quangthanh (2016)'!$A$3,"MA_HT","DKG","MA_QH","TSC")</f>
        <v>0</v>
      </c>
      <c r="AT40" s="50">
        <f ca="1">+GETPIVOTDATA("XQT4",'quangthanh (2016)'!$A$3,"MA_HT","DKG","MA_QH","DTS")</f>
        <v>0</v>
      </c>
      <c r="AU40" s="50">
        <f ca="1">+GETPIVOTDATA("XQT4",'quangthanh (2016)'!$A$3,"MA_HT","DKG","MA_QH","DNG")</f>
        <v>0</v>
      </c>
      <c r="AV40" s="50">
        <f ca="1">+GETPIVOTDATA("XQT4",'quangthanh (2016)'!$A$3,"MA_HT","DKG","MA_QH","TON")</f>
        <v>0</v>
      </c>
      <c r="AW40" s="50">
        <f ca="1">+GETPIVOTDATA("XQT4",'quangthanh (2016)'!$A$3,"MA_HT","DKG","MA_QH","NTD")</f>
        <v>0</v>
      </c>
      <c r="AX40" s="50">
        <f ca="1">+GETPIVOTDATA("XQT4",'quangthanh (2016)'!$A$3,"MA_HT","DKG","MA_QH","SKX")</f>
        <v>0</v>
      </c>
      <c r="AY40" s="50">
        <f ca="1">+GETPIVOTDATA("XQT4",'quangthanh (2016)'!$A$3,"MA_HT","DKG","MA_QH","DSH")</f>
        <v>0</v>
      </c>
      <c r="AZ40" s="50">
        <f ca="1">+GETPIVOTDATA("XQT4",'quangthanh (2016)'!$A$3,"MA_HT","DKG","MA_QH","DKV")</f>
        <v>0</v>
      </c>
      <c r="BA40" s="88">
        <f ca="1">+GETPIVOTDATA("XQT4",'quangthanh (2016)'!$A$3,"MA_HT","DKG","MA_QH","TIN")</f>
        <v>0</v>
      </c>
      <c r="BB40" s="50">
        <f ca="1">+GETPIVOTDATA("XQT4",'quangthanh (2016)'!$A$3,"MA_HT","DKG","MA_QH","SON")</f>
        <v>0</v>
      </c>
      <c r="BC40" s="50">
        <f ca="1">+GETPIVOTDATA("XQT4",'quangthanh (2016)'!$A$3,"MA_HT","DKG","MA_QH","MNC")</f>
        <v>0</v>
      </c>
      <c r="BD40" s="50">
        <f ca="1">+GETPIVOTDATA("XQT4",'quangthanh (2016)'!$A$3,"MA_HT","DKG","MA_QH","PNK")</f>
        <v>0</v>
      </c>
      <c r="BE40" s="80">
        <f ca="1">+GETPIVOTDATA("XQT4",'quangthanh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+GETPIVOTDATA("XQT4",'quangthanh (2016)'!$A$3,"MA_HT","DDT","MA_QH","LUC")</f>
        <v>0</v>
      </c>
      <c r="H41" s="60">
        <f ca="1">+GETPIVOTDATA("XQT4",'quangthanh (2016)'!$A$3,"MA_HT","DDT","MA_QH","LUK")</f>
        <v>0</v>
      </c>
      <c r="I41" s="60">
        <f ca="1">+GETPIVOTDATA("XQT4",'quangthanh (2016)'!$A$3,"MA_HT","DDT","MA_QH","LUN")</f>
        <v>0</v>
      </c>
      <c r="J41" s="60">
        <f ca="1">+GETPIVOTDATA("XQT4",'quangthanh (2016)'!$A$3,"MA_HT","DDT","MA_QH","HNK")</f>
        <v>0</v>
      </c>
      <c r="K41" s="60">
        <f ca="1">+GETPIVOTDATA("XQT4",'quangthanh (2016)'!$A$3,"MA_HT","DDT","MA_QH","CLN")</f>
        <v>0</v>
      </c>
      <c r="L41" s="60">
        <f ca="1">+GETPIVOTDATA("XQT4",'quangthanh (2016)'!$A$3,"MA_HT","DDT","MA_QH","RSX")</f>
        <v>0</v>
      </c>
      <c r="M41" s="60">
        <f ca="1">+GETPIVOTDATA("XQT4",'quangthanh (2016)'!$A$3,"MA_HT","DDT","MA_QH","RPH")</f>
        <v>0</v>
      </c>
      <c r="N41" s="60">
        <f ca="1">+GETPIVOTDATA("XQT4",'quangthanh (2016)'!$A$3,"MA_HT","DDT","MA_QH","RDD")</f>
        <v>0</v>
      </c>
      <c r="O41" s="60">
        <f ca="1">+GETPIVOTDATA("XQT4",'quangthanh (2016)'!$A$3,"MA_HT","DDT","MA_QH","NTS")</f>
        <v>0</v>
      </c>
      <c r="P41" s="60">
        <f ca="1">+GETPIVOTDATA("XQT4",'quangthanh (2016)'!$A$3,"MA_HT","DDT","MA_QH","LMU")</f>
        <v>0</v>
      </c>
      <c r="Q41" s="60">
        <f ca="1">+GETPIVOTDATA("XQT4",'quangthanh (2016)'!$A$3,"MA_HT","DDT","MA_QH","NKH")</f>
        <v>0</v>
      </c>
      <c r="R41" s="78">
        <f ca="1">SUM(S41:AA41,AO41:BD41)</f>
        <v>0</v>
      </c>
      <c r="S41" s="60">
        <f ca="1">+GETPIVOTDATA("XQT4",'quangthanh (2016)'!$A$3,"MA_HT","DDT","MA_QH","CQP")</f>
        <v>0</v>
      </c>
      <c r="T41" s="60">
        <f ca="1">+GETPIVOTDATA("XQT4",'quangthanh (2016)'!$A$3,"MA_HT","DDT","MA_QH","CAN")</f>
        <v>0</v>
      </c>
      <c r="U41" s="60">
        <f ca="1">+GETPIVOTDATA("XQT4",'quangthanh (2016)'!$A$3,"MA_HT","DDT","MA_QH","SKK")</f>
        <v>0</v>
      </c>
      <c r="V41" s="60">
        <f ca="1">+GETPIVOTDATA("XQT4",'quangthanh (2016)'!$A$3,"MA_HT","DDT","MA_QH","SKT")</f>
        <v>0</v>
      </c>
      <c r="W41" s="60">
        <f ca="1">+GETPIVOTDATA("XQT4",'quangthanh (2016)'!$A$3,"MA_HT","DDT","MA_QH","SKN")</f>
        <v>0</v>
      </c>
      <c r="X41" s="60">
        <f ca="1">+GETPIVOTDATA("XQT4",'quangthanh (2016)'!$A$3,"MA_HT","DDT","MA_QH","TMD")</f>
        <v>0</v>
      </c>
      <c r="Y41" s="60">
        <f ca="1">+GETPIVOTDATA("XQT4",'quangthanh (2016)'!$A$3,"MA_HT","DDT","MA_QH","SKC")</f>
        <v>0</v>
      </c>
      <c r="Z41" s="60">
        <f ca="1">+GETPIVOTDATA("XQT4",'quangthanh (2016)'!$A$3,"MA_HT","DDT","MA_QH","SKS")</f>
        <v>0</v>
      </c>
      <c r="AA41" s="59">
        <f ca="1" t="shared" ref="AA41:AA58" si="21">+SUM(AB41:AM41)</f>
        <v>0</v>
      </c>
      <c r="AB41" s="60">
        <f ca="1">+GETPIVOTDATA("XQT4",'quangthanh (2016)'!$A$3,"MA_HT","DDT","MA_QH","DGT")</f>
        <v>0</v>
      </c>
      <c r="AC41" s="60">
        <f ca="1">+GETPIVOTDATA("XQT4",'quangthanh (2016)'!$A$3,"MA_HT","DDT","MA_QH","DTL")</f>
        <v>0</v>
      </c>
      <c r="AD41" s="60">
        <f ca="1">+GETPIVOTDATA("XQT4",'quangthanh (2016)'!$A$3,"MA_HT","DDT","MA_QH","DNL")</f>
        <v>0</v>
      </c>
      <c r="AE41" s="60">
        <f ca="1">+GETPIVOTDATA("XQT4",'quangthanh (2016)'!$A$3,"MA_HT","DDT","MA_QH","DBV")</f>
        <v>0</v>
      </c>
      <c r="AF41" s="60">
        <f ca="1">+GETPIVOTDATA("XQT4",'quangthanh (2016)'!$A$3,"MA_HT","DDT","MA_QH","DVH")</f>
        <v>0</v>
      </c>
      <c r="AG41" s="60">
        <f ca="1">+GETPIVOTDATA("XQT4",'quangthanh (2016)'!$A$3,"MA_HT","DDT","MA_QH","DYT")</f>
        <v>0</v>
      </c>
      <c r="AH41" s="60">
        <f ca="1">+GETPIVOTDATA("XQT4",'quangthanh (2016)'!$A$3,"MA_HT","DDT","MA_QH","DGD")</f>
        <v>0</v>
      </c>
      <c r="AI41" s="60">
        <f ca="1">+GETPIVOTDATA("XQT4",'quangthanh (2016)'!$A$3,"MA_HT","DDT","MA_QH","DTT")</f>
        <v>0</v>
      </c>
      <c r="AJ41" s="60">
        <f ca="1">+GETPIVOTDATA("XQT4",'quangthanh (2016)'!$A$3,"MA_HT","DDT","MA_QH","NCK")</f>
        <v>0</v>
      </c>
      <c r="AK41" s="60">
        <f ca="1">+GETPIVOTDATA("XQT4",'quangthanh (2016)'!$A$3,"MA_HT","DDT","MA_QH","DXH")</f>
        <v>0</v>
      </c>
      <c r="AL41" s="60">
        <f ca="1">+GETPIVOTDATA("XQT4",'quangthanh (2016)'!$A$3,"MA_HT","DDT","MA_QH","DCH")</f>
        <v>0</v>
      </c>
      <c r="AM41" s="60">
        <f ca="1">+GETPIVOTDATA("XQT4",'quangthanh (2016)'!$A$3,"MA_HT","DDT","MA_QH","DKG")</f>
        <v>0</v>
      </c>
      <c r="AN41" s="81" t="e">
        <f ca="1">$D41-$BF41</f>
        <v>#REF!</v>
      </c>
      <c r="AO41" s="60">
        <f ca="1">+GETPIVOTDATA("XQT4",'quangthanh (2016)'!$A$3,"MA_HT","DDT","MA_QH","DDL")</f>
        <v>0</v>
      </c>
      <c r="AP41" s="60">
        <f ca="1">+GETPIVOTDATA("XQT4",'quangthanh (2016)'!$A$3,"MA_HT","DDT","MA_QH","DRA")</f>
        <v>0</v>
      </c>
      <c r="AQ41" s="60">
        <f ca="1">+GETPIVOTDATA("XQT4",'quangthanh (2016)'!$A$3,"MA_HT","DDT","MA_QH","ONT")</f>
        <v>0</v>
      </c>
      <c r="AR41" s="60">
        <f ca="1">+GETPIVOTDATA("XQT4",'quangthanh (2016)'!$A$3,"MA_HT","DDT","MA_QH","ODT")</f>
        <v>0</v>
      </c>
      <c r="AS41" s="60">
        <f ca="1">+GETPIVOTDATA("XQT4",'quangthanh (2016)'!$A$3,"MA_HT","DDT","MA_QH","TSC")</f>
        <v>0</v>
      </c>
      <c r="AT41" s="60">
        <f ca="1">+GETPIVOTDATA("XQT4",'quangthanh (2016)'!$A$3,"MA_HT","DDT","MA_QH","DTS")</f>
        <v>0</v>
      </c>
      <c r="AU41" s="60">
        <f ca="1">+GETPIVOTDATA("XQT4",'quangthanh (2016)'!$A$3,"MA_HT","DDT","MA_QH","DNG")</f>
        <v>0</v>
      </c>
      <c r="AV41" s="60">
        <f ca="1">+GETPIVOTDATA("XQT4",'quangthanh (2016)'!$A$3,"MA_HT","DDT","MA_QH","TON")</f>
        <v>0</v>
      </c>
      <c r="AW41" s="60">
        <f ca="1">+GETPIVOTDATA("XQT4",'quangthanh (2016)'!$A$3,"MA_HT","DDT","MA_QH","NTD")</f>
        <v>0</v>
      </c>
      <c r="AX41" s="60">
        <f ca="1">+GETPIVOTDATA("XQT4",'quangthanh (2016)'!$A$3,"MA_HT","DDT","MA_QH","SKX")</f>
        <v>0</v>
      </c>
      <c r="AY41" s="60">
        <f ca="1">+GETPIVOTDATA("XQT4",'quangthanh (2016)'!$A$3,"MA_HT","DDT","MA_QH","DSH")</f>
        <v>0</v>
      </c>
      <c r="AZ41" s="60">
        <f ca="1">+GETPIVOTDATA("XQT4",'quangthanh (2016)'!$A$3,"MA_HT","DDT","MA_QH","DKV")</f>
        <v>0</v>
      </c>
      <c r="BA41" s="90">
        <f ca="1">+GETPIVOTDATA("XQT4",'quangthanh (2016)'!$A$3,"MA_HT","DDT","MA_QH","TIN")</f>
        <v>0</v>
      </c>
      <c r="BB41" s="91">
        <f ca="1">+GETPIVOTDATA("XQT4",'quangthanh (2016)'!$A$3,"MA_HT","DDT","MA_QH","SON")</f>
        <v>0</v>
      </c>
      <c r="BC41" s="91">
        <f ca="1">+GETPIVOTDATA("XQT4",'quangthanh (2016)'!$A$3,"MA_HT","DDT","MA_QH","MNC")</f>
        <v>0</v>
      </c>
      <c r="BD41" s="60">
        <f ca="1">+GETPIVOTDATA("XQT4",'quangthanh (2016)'!$A$3,"MA_HT","DDT","MA_QH","PNK")</f>
        <v>0</v>
      </c>
      <c r="BE41" s="111">
        <f ca="1">+GETPIVOTDATA("XQT4",'quangthanh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+GETPIVOTDATA("XQT4",'quangthanh (2016)'!$A$3,"MA_HT","DDL","MA_QH","LUC")</f>
        <v>0</v>
      </c>
      <c r="H42" s="22">
        <f ca="1">+GETPIVOTDATA("XQT4",'quangthanh (2016)'!$A$3,"MA_HT","DDL","MA_QH","LUK")</f>
        <v>0</v>
      </c>
      <c r="I42" s="22">
        <f ca="1">+GETPIVOTDATA("XQT4",'quangthanh (2016)'!$A$3,"MA_HT","DDL","MA_QH","LUN")</f>
        <v>0</v>
      </c>
      <c r="J42" s="22">
        <f ca="1">+GETPIVOTDATA("XQT4",'quangthanh (2016)'!$A$3,"MA_HT","DDL","MA_QH","HNK")</f>
        <v>0</v>
      </c>
      <c r="K42" s="22">
        <f ca="1">+GETPIVOTDATA("XQT4",'quangthanh (2016)'!$A$3,"MA_HT","DDL","MA_QH","CLN")</f>
        <v>0</v>
      </c>
      <c r="L42" s="22">
        <f ca="1">+GETPIVOTDATA("XQT4",'quangthanh (2016)'!$A$3,"MA_HT","DDL","MA_QH","RSX")</f>
        <v>0</v>
      </c>
      <c r="M42" s="22">
        <f ca="1">+GETPIVOTDATA("XQT4",'quangthanh (2016)'!$A$3,"MA_HT","DDL","MA_QH","RPH")</f>
        <v>0</v>
      </c>
      <c r="N42" s="22">
        <f ca="1">+GETPIVOTDATA("XQT4",'quangthanh (2016)'!$A$3,"MA_HT","DDL","MA_QH","RDD")</f>
        <v>0</v>
      </c>
      <c r="O42" s="22">
        <f ca="1">+GETPIVOTDATA("XQT4",'quangthanh (2016)'!$A$3,"MA_HT","DDL","MA_QH","NTS")</f>
        <v>0</v>
      </c>
      <c r="P42" s="22">
        <f ca="1">+GETPIVOTDATA("XQT4",'quangthanh (2016)'!$A$3,"MA_HT","DDL","MA_QH","LMU")</f>
        <v>0</v>
      </c>
      <c r="Q42" s="22">
        <f ca="1">+GETPIVOTDATA("XQT4",'quangthanh (2016)'!$A$3,"MA_HT","DDL","MA_QH","NKH")</f>
        <v>0</v>
      </c>
      <c r="R42" s="79">
        <f ca="1">SUM(S42:AA42,AN42,AP42:BD42)</f>
        <v>0</v>
      </c>
      <c r="S42" s="22">
        <f ca="1">+GETPIVOTDATA("XQT4",'quangthanh (2016)'!$A$3,"MA_HT","DDL","MA_QH","CQP")</f>
        <v>0</v>
      </c>
      <c r="T42" s="22">
        <f ca="1">+GETPIVOTDATA("XQT4",'quangthanh (2016)'!$A$3,"MA_HT","DDL","MA_QH","CAN")</f>
        <v>0</v>
      </c>
      <c r="U42" s="22">
        <f ca="1">+GETPIVOTDATA("XQT4",'quangthanh (2016)'!$A$3,"MA_HT","DDL","MA_QH","SKK")</f>
        <v>0</v>
      </c>
      <c r="V42" s="22">
        <f ca="1">+GETPIVOTDATA("XQT4",'quangthanh (2016)'!$A$3,"MA_HT","DDL","MA_QH","SKT")</f>
        <v>0</v>
      </c>
      <c r="W42" s="22">
        <f ca="1">+GETPIVOTDATA("XQT4",'quangthanh (2016)'!$A$3,"MA_HT","DDL","MA_QH","SKN")</f>
        <v>0</v>
      </c>
      <c r="X42" s="22">
        <f ca="1">+GETPIVOTDATA("XQT4",'quangthanh (2016)'!$A$3,"MA_HT","DDL","MA_QH","TMD")</f>
        <v>0</v>
      </c>
      <c r="Y42" s="22">
        <f ca="1">+GETPIVOTDATA("XQT4",'quangthanh (2016)'!$A$3,"MA_HT","DDL","MA_QH","SKC")</f>
        <v>0</v>
      </c>
      <c r="Z42" s="22">
        <f ca="1">+GETPIVOTDATA("XQT4",'quangthanh (2016)'!$A$3,"MA_HT","DDL","MA_QH","SKS")</f>
        <v>0</v>
      </c>
      <c r="AA42" s="52">
        <f ca="1" t="shared" si="21"/>
        <v>0</v>
      </c>
      <c r="AB42" s="22">
        <f ca="1">+GETPIVOTDATA("XQT4",'quangthanh (2016)'!$A$3,"MA_HT","DDL","MA_QH","DGT")</f>
        <v>0</v>
      </c>
      <c r="AC42" s="22">
        <f ca="1">+GETPIVOTDATA("XQT4",'quangthanh (2016)'!$A$3,"MA_HT","DDL","MA_QH","DTL")</f>
        <v>0</v>
      </c>
      <c r="AD42" s="22">
        <f ca="1">+GETPIVOTDATA("XQT4",'quangthanh (2016)'!$A$3,"MA_HT","DDL","MA_QH","DNL")</f>
        <v>0</v>
      </c>
      <c r="AE42" s="22">
        <f ca="1">+GETPIVOTDATA("XQT4",'quangthanh (2016)'!$A$3,"MA_HT","DDL","MA_QH","DBV")</f>
        <v>0</v>
      </c>
      <c r="AF42" s="22">
        <f ca="1">+GETPIVOTDATA("XQT4",'quangthanh (2016)'!$A$3,"MA_HT","DDL","MA_QH","DVH")</f>
        <v>0</v>
      </c>
      <c r="AG42" s="22">
        <f ca="1">+GETPIVOTDATA("XQT4",'quangthanh (2016)'!$A$3,"MA_HT","DDL","MA_QH","DYT")</f>
        <v>0</v>
      </c>
      <c r="AH42" s="22">
        <f ca="1">+GETPIVOTDATA("XQT4",'quangthanh (2016)'!$A$3,"MA_HT","DDL","MA_QH","DGD")</f>
        <v>0</v>
      </c>
      <c r="AI42" s="22">
        <f ca="1">+GETPIVOTDATA("XQT4",'quangthanh (2016)'!$A$3,"MA_HT","DDL","MA_QH","DTT")</f>
        <v>0</v>
      </c>
      <c r="AJ42" s="22">
        <f ca="1">+GETPIVOTDATA("XQT4",'quangthanh (2016)'!$A$3,"MA_HT","DDL","MA_QH","NCK")</f>
        <v>0</v>
      </c>
      <c r="AK42" s="22">
        <f ca="1">+GETPIVOTDATA("XQT4",'quangthanh (2016)'!$A$3,"MA_HT","DDL","MA_QH","DXH")</f>
        <v>0</v>
      </c>
      <c r="AL42" s="22">
        <f ca="1">+GETPIVOTDATA("XQT4",'quangthanh (2016)'!$A$3,"MA_HT","DDL","MA_QH","DCH")</f>
        <v>0</v>
      </c>
      <c r="AM42" s="22">
        <f ca="1">+GETPIVOTDATA("XQT4",'quangthanh (2016)'!$A$3,"MA_HT","DDL","MA_QH","DKG")</f>
        <v>0</v>
      </c>
      <c r="AN42" s="22">
        <f ca="1">+GETPIVOTDATA("XQT4",'quangthanh (2016)'!$A$3,"MA_HT","DDL","MA_QH","DDT")</f>
        <v>0</v>
      </c>
      <c r="AO42" s="43" t="e">
        <f ca="1">$D42-$BF42</f>
        <v>#REF!</v>
      </c>
      <c r="AP42" s="22">
        <f ca="1">+GETPIVOTDATA("XQT4",'quangthanh (2016)'!$A$3,"MA_HT","DDL","MA_QH","DRA")</f>
        <v>0</v>
      </c>
      <c r="AQ42" s="22">
        <f ca="1">+GETPIVOTDATA("XQT4",'quangthanh (2016)'!$A$3,"MA_HT","DDL","MA_QH","ONT")</f>
        <v>0</v>
      </c>
      <c r="AR42" s="22">
        <f ca="1">+GETPIVOTDATA("XQT4",'quangthanh (2016)'!$A$3,"MA_HT","DDL","MA_QH","ODT")</f>
        <v>0</v>
      </c>
      <c r="AS42" s="22">
        <f ca="1">+GETPIVOTDATA("XQT4",'quangthanh (2016)'!$A$3,"MA_HT","DDL","MA_QH","TSC")</f>
        <v>0</v>
      </c>
      <c r="AT42" s="22">
        <f ca="1">+GETPIVOTDATA("XQT4",'quangthanh (2016)'!$A$3,"MA_HT","DDL","MA_QH","DTS")</f>
        <v>0</v>
      </c>
      <c r="AU42" s="22">
        <f ca="1">+GETPIVOTDATA("XQT4",'quangthanh (2016)'!$A$3,"MA_HT","DDL","MA_QH","DNG")</f>
        <v>0</v>
      </c>
      <c r="AV42" s="22">
        <f ca="1">+GETPIVOTDATA("XQT4",'quangthanh (2016)'!$A$3,"MA_HT","DDL","MA_QH","TON")</f>
        <v>0</v>
      </c>
      <c r="AW42" s="22">
        <f ca="1">+GETPIVOTDATA("XQT4",'quangthanh (2016)'!$A$3,"MA_HT","DDL","MA_QH","NTD")</f>
        <v>0</v>
      </c>
      <c r="AX42" s="22">
        <f ca="1">+GETPIVOTDATA("XQT4",'quangthanh (2016)'!$A$3,"MA_HT","DDL","MA_QH","SKX")</f>
        <v>0</v>
      </c>
      <c r="AY42" s="22">
        <f ca="1">+GETPIVOTDATA("XQT4",'quangthanh (2016)'!$A$3,"MA_HT","DDL","MA_QH","DSH")</f>
        <v>0</v>
      </c>
      <c r="AZ42" s="22">
        <f ca="1">+GETPIVOTDATA("XQT4",'quangthanh (2016)'!$A$3,"MA_HT","DDL","MA_QH","DKV")</f>
        <v>0</v>
      </c>
      <c r="BA42" s="89">
        <f ca="1">+GETPIVOTDATA("XQT4",'quangthanh (2016)'!$A$3,"MA_HT","DDL","MA_QH","TIN")</f>
        <v>0</v>
      </c>
      <c r="BB42" s="50">
        <f ca="1">+GETPIVOTDATA("XQT4",'quangthanh (2016)'!$A$3,"MA_HT","DDL","MA_QH","SON")</f>
        <v>0</v>
      </c>
      <c r="BC42" s="50">
        <f ca="1">+GETPIVOTDATA("XQT4",'quangthanh (2016)'!$A$3,"MA_HT","DDL","MA_QH","MNC")</f>
        <v>0</v>
      </c>
      <c r="BD42" s="22">
        <f ca="1">+GETPIVOTDATA("XQT4",'quangthanh (2016)'!$A$3,"MA_HT","DDL","MA_QH","PNK")</f>
        <v>0</v>
      </c>
      <c r="BE42" s="71">
        <f ca="1">+GETPIVOTDATA("XQT4",'quangthanh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+GETPIVOTDATA("XQT4",'quangthanh (2016)'!$A$3,"MA_HT","DRA","MA_QH","LUC")</f>
        <v>0</v>
      </c>
      <c r="H43" s="22">
        <f ca="1">+GETPIVOTDATA("XQT4",'quangthanh (2016)'!$A$3,"MA_HT","DRA","MA_QH","LUK")</f>
        <v>0</v>
      </c>
      <c r="I43" s="22">
        <f ca="1">+GETPIVOTDATA("XQT4",'quangthanh (2016)'!$A$3,"MA_HT","DRA","MA_QH","LUN")</f>
        <v>0</v>
      </c>
      <c r="J43" s="22">
        <f ca="1">+GETPIVOTDATA("XQT4",'quangthanh (2016)'!$A$3,"MA_HT","DRA","MA_QH","HNK")</f>
        <v>0</v>
      </c>
      <c r="K43" s="22">
        <f ca="1">+GETPIVOTDATA("XQT4",'quangthanh (2016)'!$A$3,"MA_HT","DRA","MA_QH","CLN")</f>
        <v>0</v>
      </c>
      <c r="L43" s="22">
        <f ca="1">+GETPIVOTDATA("XQT4",'quangthanh (2016)'!$A$3,"MA_HT","DRA","MA_QH","RSX")</f>
        <v>0</v>
      </c>
      <c r="M43" s="22">
        <f ca="1">+GETPIVOTDATA("XQT4",'quangthanh (2016)'!$A$3,"MA_HT","DRA","MA_QH","RPH")</f>
        <v>0</v>
      </c>
      <c r="N43" s="22">
        <f ca="1">+GETPIVOTDATA("XQT4",'quangthanh (2016)'!$A$3,"MA_HT","DRA","MA_QH","RDD")</f>
        <v>0</v>
      </c>
      <c r="O43" s="22">
        <f ca="1">+GETPIVOTDATA("XQT4",'quangthanh (2016)'!$A$3,"MA_HT","DRA","MA_QH","NTS")</f>
        <v>0</v>
      </c>
      <c r="P43" s="22">
        <f ca="1">+GETPIVOTDATA("XQT4",'quangthanh (2016)'!$A$3,"MA_HT","DRA","MA_QH","LMU")</f>
        <v>0</v>
      </c>
      <c r="Q43" s="22">
        <f ca="1">+GETPIVOTDATA("XQT4",'quangthanh (2016)'!$A$3,"MA_HT","DRA","MA_QH","NKH")</f>
        <v>0</v>
      </c>
      <c r="R43" s="79">
        <f ca="1">SUM(S43:AA43,AN43:AO43,AQ43:BD43)</f>
        <v>0</v>
      </c>
      <c r="S43" s="22">
        <f ca="1">+GETPIVOTDATA("XQT4",'quangthanh (2016)'!$A$3,"MA_HT","DRA","MA_QH","CQP")</f>
        <v>0</v>
      </c>
      <c r="T43" s="22">
        <f ca="1">+GETPIVOTDATA("XQT4",'quangthanh (2016)'!$A$3,"MA_HT","DRA","MA_QH","CAN")</f>
        <v>0</v>
      </c>
      <c r="U43" s="22">
        <f ca="1">+GETPIVOTDATA("XQT4",'quangthanh (2016)'!$A$3,"MA_HT","DRA","MA_QH","SKK")</f>
        <v>0</v>
      </c>
      <c r="V43" s="22">
        <f ca="1">+GETPIVOTDATA("XQT4",'quangthanh (2016)'!$A$3,"MA_HT","DRA","MA_QH","SKT")</f>
        <v>0</v>
      </c>
      <c r="W43" s="22">
        <f ca="1">+GETPIVOTDATA("XQT4",'quangthanh (2016)'!$A$3,"MA_HT","DRA","MA_QH","SKN")</f>
        <v>0</v>
      </c>
      <c r="X43" s="22">
        <f ca="1">+GETPIVOTDATA("XQT4",'quangthanh (2016)'!$A$3,"MA_HT","DRA","MA_QH","TMD")</f>
        <v>0</v>
      </c>
      <c r="Y43" s="22">
        <f ca="1">+GETPIVOTDATA("XQT4",'quangthanh (2016)'!$A$3,"MA_HT","DRA","MA_QH","SKC")</f>
        <v>0</v>
      </c>
      <c r="Z43" s="22">
        <f ca="1">+GETPIVOTDATA("XQT4",'quangthanh (2016)'!$A$3,"MA_HT","DRA","MA_QH","SKS")</f>
        <v>0</v>
      </c>
      <c r="AA43" s="52">
        <f ca="1" t="shared" si="21"/>
        <v>0</v>
      </c>
      <c r="AB43" s="22">
        <f ca="1">+GETPIVOTDATA("XQT4",'quangthanh (2016)'!$A$3,"MA_HT","DRA","MA_QH","DGT")</f>
        <v>0</v>
      </c>
      <c r="AC43" s="22">
        <f ca="1">+GETPIVOTDATA("XQT4",'quangthanh (2016)'!$A$3,"MA_HT","DRA","MA_QH","DTL")</f>
        <v>0</v>
      </c>
      <c r="AD43" s="22">
        <f ca="1">+GETPIVOTDATA("XQT4",'quangthanh (2016)'!$A$3,"MA_HT","DRA","MA_QH","DNL")</f>
        <v>0</v>
      </c>
      <c r="AE43" s="22">
        <f ca="1">+GETPIVOTDATA("XQT4",'quangthanh (2016)'!$A$3,"MA_HT","DRA","MA_QH","DBV")</f>
        <v>0</v>
      </c>
      <c r="AF43" s="22">
        <f ca="1">+GETPIVOTDATA("XQT4",'quangthanh (2016)'!$A$3,"MA_HT","DRA","MA_QH","DVH")</f>
        <v>0</v>
      </c>
      <c r="AG43" s="22">
        <f ca="1">+GETPIVOTDATA("XQT4",'quangthanh (2016)'!$A$3,"MA_HT","DRA","MA_QH","DYT")</f>
        <v>0</v>
      </c>
      <c r="AH43" s="22">
        <f ca="1">+GETPIVOTDATA("XQT4",'quangthanh (2016)'!$A$3,"MA_HT","DRA","MA_QH","DGD")</f>
        <v>0</v>
      </c>
      <c r="AI43" s="22">
        <f ca="1">+GETPIVOTDATA("XQT4",'quangthanh (2016)'!$A$3,"MA_HT","DRA","MA_QH","DTT")</f>
        <v>0</v>
      </c>
      <c r="AJ43" s="22">
        <f ca="1">+GETPIVOTDATA("XQT4",'quangthanh (2016)'!$A$3,"MA_HT","DRA","MA_QH","NCK")</f>
        <v>0</v>
      </c>
      <c r="AK43" s="22">
        <f ca="1">+GETPIVOTDATA("XQT4",'quangthanh (2016)'!$A$3,"MA_HT","DRA","MA_QH","DXH")</f>
        <v>0</v>
      </c>
      <c r="AL43" s="22">
        <f ca="1">+GETPIVOTDATA("XQT4",'quangthanh (2016)'!$A$3,"MA_HT","DRA","MA_QH","DCH")</f>
        <v>0</v>
      </c>
      <c r="AM43" s="22">
        <f ca="1">+GETPIVOTDATA("XQT4",'quangthanh (2016)'!$A$3,"MA_HT","DRA","MA_QH","DKG")</f>
        <v>0</v>
      </c>
      <c r="AN43" s="22">
        <f ca="1">+GETPIVOTDATA("XQT4",'quangthanh (2016)'!$A$3,"MA_HT","DRA","MA_QH","DDT")</f>
        <v>0</v>
      </c>
      <c r="AO43" s="22">
        <f ca="1">+GETPIVOTDATA("XQT4",'quangthanh (2016)'!$A$3,"MA_HT","DRA","MA_QH","DDL")</f>
        <v>0</v>
      </c>
      <c r="AP43" s="43" t="e">
        <f ca="1">$D43-$BF43</f>
        <v>#REF!</v>
      </c>
      <c r="AQ43" s="22">
        <f ca="1">+GETPIVOTDATA("XQT4",'quangthanh (2016)'!$A$3,"MA_HT","DRA","MA_QH","ONT")</f>
        <v>0</v>
      </c>
      <c r="AR43" s="22">
        <f ca="1">+GETPIVOTDATA("XQT4",'quangthanh (2016)'!$A$3,"MA_HT","DRA","MA_QH","ODT")</f>
        <v>0</v>
      </c>
      <c r="AS43" s="22">
        <f ca="1">+GETPIVOTDATA("XQT4",'quangthanh (2016)'!$A$3,"MA_HT","DRA","MA_QH","TSC")</f>
        <v>0</v>
      </c>
      <c r="AT43" s="22">
        <f ca="1">+GETPIVOTDATA("XQT4",'quangthanh (2016)'!$A$3,"MA_HT","DRA","MA_QH","DTS")</f>
        <v>0</v>
      </c>
      <c r="AU43" s="22">
        <f ca="1">+GETPIVOTDATA("XQT4",'quangthanh (2016)'!$A$3,"MA_HT","DRA","MA_QH","DNG")</f>
        <v>0</v>
      </c>
      <c r="AV43" s="22">
        <f ca="1">+GETPIVOTDATA("XQT4",'quangthanh (2016)'!$A$3,"MA_HT","DRA","MA_QH","TON")</f>
        <v>0</v>
      </c>
      <c r="AW43" s="22">
        <f ca="1">+GETPIVOTDATA("XQT4",'quangthanh (2016)'!$A$3,"MA_HT","DRA","MA_QH","NTD")</f>
        <v>0</v>
      </c>
      <c r="AX43" s="22">
        <f ca="1">+GETPIVOTDATA("XQT4",'quangthanh (2016)'!$A$3,"MA_HT","DRA","MA_QH","SKX")</f>
        <v>0</v>
      </c>
      <c r="AY43" s="22">
        <f ca="1">+GETPIVOTDATA("XQT4",'quangthanh (2016)'!$A$3,"MA_HT","DRA","MA_QH","DSH")</f>
        <v>0</v>
      </c>
      <c r="AZ43" s="22">
        <f ca="1">+GETPIVOTDATA("XQT4",'quangthanh (2016)'!$A$3,"MA_HT","DRA","MA_QH","DKV")</f>
        <v>0</v>
      </c>
      <c r="BA43" s="89">
        <f ca="1">+GETPIVOTDATA("XQT4",'quangthanh (2016)'!$A$3,"MA_HT","DRA","MA_QH","TIN")</f>
        <v>0</v>
      </c>
      <c r="BB43" s="50">
        <f ca="1">+GETPIVOTDATA("XQT4",'quangthanh (2016)'!$A$3,"MA_HT","DRA","MA_QH","SON")</f>
        <v>0</v>
      </c>
      <c r="BC43" s="50">
        <f ca="1">+GETPIVOTDATA("XQT4",'quangthanh (2016)'!$A$3,"MA_HT","DRA","MA_QH","MNC")</f>
        <v>0</v>
      </c>
      <c r="BD43" s="22">
        <f ca="1">+GETPIVOTDATA("XQT4",'quangthanh (2016)'!$A$3,"MA_HT","DRA","MA_QH","PNK")</f>
        <v>0</v>
      </c>
      <c r="BE43" s="71">
        <f ca="1">+GETPIVOTDATA("XQT4",'quangthanh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+GETPIVOTDATA("XQT4",'quangthanh (2016)'!$A$3,"MA_HT","ONT","MA_QH","LUC")</f>
        <v>0</v>
      </c>
      <c r="H44" s="22">
        <f ca="1">+GETPIVOTDATA("XQT4",'quangthanh (2016)'!$A$3,"MA_HT","ONT","MA_QH","LUK")</f>
        <v>0</v>
      </c>
      <c r="I44" s="22">
        <f ca="1">+GETPIVOTDATA("XQT4",'quangthanh (2016)'!$A$3,"MA_HT","ONT","MA_QH","LUN")</f>
        <v>0</v>
      </c>
      <c r="J44" s="22">
        <f ca="1">+GETPIVOTDATA("XQT4",'quangthanh (2016)'!$A$3,"MA_HT","ONT","MA_QH","HNK")</f>
        <v>0</v>
      </c>
      <c r="K44" s="22">
        <f ca="1">+GETPIVOTDATA("XQT4",'quangthanh (2016)'!$A$3,"MA_HT","ONT","MA_QH","CLN")</f>
        <v>0</v>
      </c>
      <c r="L44" s="22">
        <f ca="1">+GETPIVOTDATA("XQT4",'quangthanh (2016)'!$A$3,"MA_HT","ONT","MA_QH","RSX")</f>
        <v>0</v>
      </c>
      <c r="M44" s="22">
        <f ca="1">+GETPIVOTDATA("XQT4",'quangthanh (2016)'!$A$3,"MA_HT","ONT","MA_QH","RPH")</f>
        <v>0</v>
      </c>
      <c r="N44" s="22">
        <f ca="1">+GETPIVOTDATA("XQT4",'quangthanh (2016)'!$A$3,"MA_HT","ONT","MA_QH","RDD")</f>
        <v>0</v>
      </c>
      <c r="O44" s="22">
        <f ca="1">+GETPIVOTDATA("XQT4",'quangthanh (2016)'!$A$3,"MA_HT","ONT","MA_QH","NTS")</f>
        <v>0</v>
      </c>
      <c r="P44" s="22">
        <f ca="1">+GETPIVOTDATA("XQT4",'quangthanh (2016)'!$A$3,"MA_HT","ONT","MA_QH","LMU")</f>
        <v>0</v>
      </c>
      <c r="Q44" s="22">
        <f ca="1">+GETPIVOTDATA("XQT4",'quangthanh (2016)'!$A$3,"MA_HT","ONT","MA_QH","NKH")</f>
        <v>0</v>
      </c>
      <c r="R44" s="79">
        <f ca="1">SUM(S44:AA44,AN44:AP44,AR44:BD44)</f>
        <v>0</v>
      </c>
      <c r="S44" s="22">
        <f ca="1">+GETPIVOTDATA("XQT4",'quangthanh (2016)'!$A$3,"MA_HT","ONT","MA_QH","CQP")</f>
        <v>0</v>
      </c>
      <c r="T44" s="22">
        <f ca="1">+GETPIVOTDATA("XQT4",'quangthanh (2016)'!$A$3,"MA_HT","ONT","MA_QH","CAN")</f>
        <v>0</v>
      </c>
      <c r="U44" s="22">
        <f ca="1">+GETPIVOTDATA("XQT4",'quangthanh (2016)'!$A$3,"MA_HT","ONT","MA_QH","SKK")</f>
        <v>0</v>
      </c>
      <c r="V44" s="22">
        <f ca="1">+GETPIVOTDATA("XQT4",'quangthanh (2016)'!$A$3,"MA_HT","ONT","MA_QH","SKT")</f>
        <v>0</v>
      </c>
      <c r="W44" s="22">
        <f ca="1">+GETPIVOTDATA("XQT4",'quangthanh (2016)'!$A$3,"MA_HT","ONT","MA_QH","SKN")</f>
        <v>0</v>
      </c>
      <c r="X44" s="22">
        <f ca="1">+GETPIVOTDATA("XQT4",'quangthanh (2016)'!$A$3,"MA_HT","ONT","MA_QH","TMD")</f>
        <v>0</v>
      </c>
      <c r="Y44" s="22">
        <f ca="1">+GETPIVOTDATA("XQT4",'quangthanh (2016)'!$A$3,"MA_HT","ONT","MA_QH","SKC")</f>
        <v>0</v>
      </c>
      <c r="Z44" s="22">
        <f ca="1">+GETPIVOTDATA("XQT4",'quangthanh (2016)'!$A$3,"MA_HT","ONT","MA_QH","SKS")</f>
        <v>0</v>
      </c>
      <c r="AA44" s="52">
        <f ca="1" t="shared" si="21"/>
        <v>0</v>
      </c>
      <c r="AB44" s="22">
        <f ca="1">+GETPIVOTDATA("XQT4",'quangthanh (2016)'!$A$3,"MA_HT","ONT","MA_QH","DGT")</f>
        <v>0</v>
      </c>
      <c r="AC44" s="22">
        <f ca="1">+GETPIVOTDATA("XQT4",'quangthanh (2016)'!$A$3,"MA_HT","ONT","MA_QH","DTL")</f>
        <v>0</v>
      </c>
      <c r="AD44" s="22">
        <f ca="1">+GETPIVOTDATA("XQT4",'quangthanh (2016)'!$A$3,"MA_HT","ONT","MA_QH","DNL")</f>
        <v>0</v>
      </c>
      <c r="AE44" s="22">
        <f ca="1">+GETPIVOTDATA("XQT4",'quangthanh (2016)'!$A$3,"MA_HT","ONT","MA_QH","DBV")</f>
        <v>0</v>
      </c>
      <c r="AF44" s="22">
        <f ca="1">+GETPIVOTDATA("XQT4",'quangthanh (2016)'!$A$3,"MA_HT","ONT","MA_QH","DVH")</f>
        <v>0</v>
      </c>
      <c r="AG44" s="22">
        <f ca="1">+GETPIVOTDATA("XQT4",'quangthanh (2016)'!$A$3,"MA_HT","ONT","MA_QH","DYT")</f>
        <v>0</v>
      </c>
      <c r="AH44" s="22">
        <f ca="1">+GETPIVOTDATA("XQT4",'quangthanh (2016)'!$A$3,"MA_HT","ONT","MA_QH","DGD")</f>
        <v>0</v>
      </c>
      <c r="AI44" s="22">
        <f ca="1">+GETPIVOTDATA("XQT4",'quangthanh (2016)'!$A$3,"MA_HT","ONT","MA_QH","DTT")</f>
        <v>0</v>
      </c>
      <c r="AJ44" s="22">
        <f ca="1">+GETPIVOTDATA("XQT4",'quangthanh (2016)'!$A$3,"MA_HT","ONT","MA_QH","NCK")</f>
        <v>0</v>
      </c>
      <c r="AK44" s="22">
        <f ca="1">+GETPIVOTDATA("XQT4",'quangthanh (2016)'!$A$3,"MA_HT","ONT","MA_QH","DXH")</f>
        <v>0</v>
      </c>
      <c r="AL44" s="22">
        <f ca="1">+GETPIVOTDATA("XQT4",'quangthanh (2016)'!$A$3,"MA_HT","ONT","MA_QH","DCH")</f>
        <v>0</v>
      </c>
      <c r="AM44" s="22">
        <f ca="1">+GETPIVOTDATA("XQT4",'quangthanh (2016)'!$A$3,"MA_HT","ONT","MA_QH","DKG")</f>
        <v>0</v>
      </c>
      <c r="AN44" s="22">
        <f ca="1">+GETPIVOTDATA("XQT4",'quangthanh (2016)'!$A$3,"MA_HT","ONT","MA_QH","DDT")</f>
        <v>0</v>
      </c>
      <c r="AO44" s="22">
        <f ca="1">+GETPIVOTDATA("XQT4",'quangthanh (2016)'!$A$3,"MA_HT","ONT","MA_QH","DDL")</f>
        <v>0</v>
      </c>
      <c r="AP44" s="22">
        <f ca="1">+GETPIVOTDATA("XQT4",'quangthanh (2016)'!$A$3,"MA_HT","ONT","MA_QH","DRA")</f>
        <v>0</v>
      </c>
      <c r="AQ44" s="43" t="e">
        <f ca="1">$D44-$BF44</f>
        <v>#REF!</v>
      </c>
      <c r="AR44" s="22">
        <f ca="1">+GETPIVOTDATA("XQT4",'quangthanh (2016)'!$A$3,"MA_HT","ONT","MA_QH","ODT")</f>
        <v>0</v>
      </c>
      <c r="AS44" s="22">
        <f ca="1">+GETPIVOTDATA("XQT4",'quangthanh (2016)'!$A$3,"MA_HT","ONT","MA_QH","TSC")</f>
        <v>0</v>
      </c>
      <c r="AT44" s="22">
        <f ca="1">+GETPIVOTDATA("XQT4",'quangthanh (2016)'!$A$3,"MA_HT","ONT","MA_QH","DTS")</f>
        <v>0</v>
      </c>
      <c r="AU44" s="22">
        <f ca="1">+GETPIVOTDATA("XQT4",'quangthanh (2016)'!$A$3,"MA_HT","ONT","MA_QH","DNG")</f>
        <v>0</v>
      </c>
      <c r="AV44" s="22">
        <f ca="1">+GETPIVOTDATA("XQT4",'quangthanh (2016)'!$A$3,"MA_HT","ONT","MA_QH","TON")</f>
        <v>0</v>
      </c>
      <c r="AW44" s="22">
        <f ca="1">+GETPIVOTDATA("XQT4",'quangthanh (2016)'!$A$3,"MA_HT","ONT","MA_QH","NTD")</f>
        <v>0</v>
      </c>
      <c r="AX44" s="22">
        <f ca="1">+GETPIVOTDATA("XQT4",'quangthanh (2016)'!$A$3,"MA_HT","ONT","MA_QH","SKX")</f>
        <v>0</v>
      </c>
      <c r="AY44" s="22">
        <f ca="1">+GETPIVOTDATA("XQT4",'quangthanh (2016)'!$A$3,"MA_HT","ONT","MA_QH","DSH")</f>
        <v>0</v>
      </c>
      <c r="AZ44" s="22">
        <f ca="1">+GETPIVOTDATA("XQT4",'quangthanh (2016)'!$A$3,"MA_HT","ONT","MA_QH","DKV")</f>
        <v>0</v>
      </c>
      <c r="BA44" s="89">
        <f ca="1">+GETPIVOTDATA("XQT4",'quangthanh (2016)'!$A$3,"MA_HT","ONT","MA_QH","TIN")</f>
        <v>0</v>
      </c>
      <c r="BB44" s="50">
        <f ca="1">+GETPIVOTDATA("XQT4",'quangthanh (2016)'!$A$3,"MA_HT","ONT","MA_QH","SON")</f>
        <v>0</v>
      </c>
      <c r="BC44" s="50">
        <f ca="1">+GETPIVOTDATA("XQT4",'quangthanh (2016)'!$A$3,"MA_HT","ONT","MA_QH","MNC")</f>
        <v>0</v>
      </c>
      <c r="BD44" s="22">
        <f ca="1">+GETPIVOTDATA("XQT4",'quangthanh (2016)'!$A$3,"MA_HT","ONT","MA_QH","PNK")</f>
        <v>0</v>
      </c>
      <c r="BE44" s="71">
        <f ca="1">+GETPIVOTDATA("XQT4",'quangthanh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+GETPIVOTDATA("XQT4",'quangthanh (2016)'!$A$3,"MA_HT","ODT","MA_QH","LUC")</f>
        <v>0</v>
      </c>
      <c r="H45" s="67">
        <f ca="1">+GETPIVOTDATA("XQT4",'quangthanh (2016)'!$A$3,"MA_HT","ODT","MA_QH","LUK")</f>
        <v>0</v>
      </c>
      <c r="I45" s="67">
        <f ca="1">+GETPIVOTDATA("XQT4",'quangthanh (2016)'!$A$3,"MA_HT","ODT","MA_QH","LUN")</f>
        <v>0</v>
      </c>
      <c r="J45" s="67">
        <f ca="1">+GETPIVOTDATA("XQT4",'quangthanh (2016)'!$A$3,"MA_HT","ODT","MA_QH","HNK")</f>
        <v>0</v>
      </c>
      <c r="K45" s="67">
        <f ca="1">+GETPIVOTDATA("XQT4",'quangthanh (2016)'!$A$3,"MA_HT","ODT","MA_QH","CLN")</f>
        <v>0</v>
      </c>
      <c r="L45" s="67">
        <f ca="1">+GETPIVOTDATA("XQT4",'quangthanh (2016)'!$A$3,"MA_HT","ODT","MA_QH","RSX")</f>
        <v>0</v>
      </c>
      <c r="M45" s="67">
        <f ca="1">+GETPIVOTDATA("XQT4",'quangthanh (2016)'!$A$3,"MA_HT","ODT","MA_QH","RPH")</f>
        <v>0</v>
      </c>
      <c r="N45" s="67">
        <f ca="1">+GETPIVOTDATA("XQT4",'quangthanh (2016)'!$A$3,"MA_HT","ODT","MA_QH","RDD")</f>
        <v>0</v>
      </c>
      <c r="O45" s="67">
        <f ca="1">+GETPIVOTDATA("XQT4",'quangthanh (2016)'!$A$3,"MA_HT","ODT","MA_QH","NTS")</f>
        <v>0</v>
      </c>
      <c r="P45" s="67">
        <f ca="1">+GETPIVOTDATA("XQT4",'quangthanh (2016)'!$A$3,"MA_HT","ODT","MA_QH","LMU")</f>
        <v>0</v>
      </c>
      <c r="Q45" s="67">
        <f ca="1">+GETPIVOTDATA("XQT4",'quangthanh (2016)'!$A$3,"MA_HT","ODT","MA_QH","NKH")</f>
        <v>0</v>
      </c>
      <c r="R45" s="79">
        <f ca="1">SUM(S45:AA45,AN45:AQ45,AS45:BD45)</f>
        <v>0</v>
      </c>
      <c r="S45" s="67">
        <f ca="1">+GETPIVOTDATA("XQT4",'quangthanh (2016)'!$A$3,"MA_HT","ODT","MA_QH","CQP")</f>
        <v>0</v>
      </c>
      <c r="T45" s="67">
        <f ca="1">+GETPIVOTDATA("XQT4",'quangthanh (2016)'!$A$3,"MA_HT","ODT","MA_QH","CAN")</f>
        <v>0</v>
      </c>
      <c r="U45" s="67">
        <f ca="1">+GETPIVOTDATA("XQT4",'quangthanh (2016)'!$A$3,"MA_HT","ODT","MA_QH","SKK")</f>
        <v>0</v>
      </c>
      <c r="V45" s="67">
        <f ca="1">+GETPIVOTDATA("XQT4",'quangthanh (2016)'!$A$3,"MA_HT","ODT","MA_QH","SKT")</f>
        <v>0</v>
      </c>
      <c r="W45" s="67">
        <f ca="1">+GETPIVOTDATA("XQT4",'quangthanh (2016)'!$A$3,"MA_HT","ODT","MA_QH","SKN")</f>
        <v>0</v>
      </c>
      <c r="X45" s="67">
        <f ca="1">+GETPIVOTDATA("XQT4",'quangthanh (2016)'!$A$3,"MA_HT","ODT","MA_QH","TMD")</f>
        <v>0</v>
      </c>
      <c r="Y45" s="67">
        <f ca="1">+GETPIVOTDATA("XQT4",'quangthanh (2016)'!$A$3,"MA_HT","ODT","MA_QH","SKC")</f>
        <v>0</v>
      </c>
      <c r="Z45" s="67">
        <f ca="1">+GETPIVOTDATA("XQT4",'quangthanh (2016)'!$A$3,"MA_HT","ODT","MA_QH","SKS")</f>
        <v>0</v>
      </c>
      <c r="AA45" s="66">
        <f ca="1" t="shared" si="21"/>
        <v>0</v>
      </c>
      <c r="AB45" s="67">
        <f ca="1">+GETPIVOTDATA("XQT4",'quangthanh (2016)'!$A$3,"MA_HT","ODT","MA_QH","DGT")</f>
        <v>0</v>
      </c>
      <c r="AC45" s="67">
        <f ca="1">+GETPIVOTDATA("XQT4",'quangthanh (2016)'!$A$3,"MA_HT","ODT","MA_QH","DTL")</f>
        <v>0</v>
      </c>
      <c r="AD45" s="67">
        <f ca="1">+GETPIVOTDATA("XQT4",'quangthanh (2016)'!$A$3,"MA_HT","ODT","MA_QH","DNL")</f>
        <v>0</v>
      </c>
      <c r="AE45" s="67">
        <f ca="1">+GETPIVOTDATA("XQT4",'quangthanh (2016)'!$A$3,"MA_HT","ODT","MA_QH","DBV")</f>
        <v>0</v>
      </c>
      <c r="AF45" s="67">
        <f ca="1">+GETPIVOTDATA("XQT4",'quangthanh (2016)'!$A$3,"MA_HT","ODT","MA_QH","DVH")</f>
        <v>0</v>
      </c>
      <c r="AG45" s="67">
        <f ca="1">+GETPIVOTDATA("XQT4",'quangthanh (2016)'!$A$3,"MA_HT","ODT","MA_QH","DYT")</f>
        <v>0</v>
      </c>
      <c r="AH45" s="67">
        <f ca="1">+GETPIVOTDATA("XQT4",'quangthanh (2016)'!$A$3,"MA_HT","ODT","MA_QH","DGD")</f>
        <v>0</v>
      </c>
      <c r="AI45" s="67">
        <f ca="1">+GETPIVOTDATA("XQT4",'quangthanh (2016)'!$A$3,"MA_HT","ODT","MA_QH","DTT")</f>
        <v>0</v>
      </c>
      <c r="AJ45" s="67">
        <f ca="1">+GETPIVOTDATA("XQT4",'quangthanh (2016)'!$A$3,"MA_HT","ODT","MA_QH","NCK")</f>
        <v>0</v>
      </c>
      <c r="AK45" s="67">
        <f ca="1">+GETPIVOTDATA("XQT4",'quangthanh (2016)'!$A$3,"MA_HT","ODT","MA_QH","DXH")</f>
        <v>0</v>
      </c>
      <c r="AL45" s="67">
        <f ca="1">+GETPIVOTDATA("XQT4",'quangthanh (2016)'!$A$3,"MA_HT","ODT","MA_QH","DCH")</f>
        <v>0</v>
      </c>
      <c r="AM45" s="67">
        <f ca="1">+GETPIVOTDATA("XQT4",'quangthanh (2016)'!$A$3,"MA_HT","ODT","MA_QH","DKG")</f>
        <v>0</v>
      </c>
      <c r="AN45" s="67">
        <f ca="1">+GETPIVOTDATA("XQT4",'quangthanh (2016)'!$A$3,"MA_HT","ODT","MA_QH","DDT")</f>
        <v>0</v>
      </c>
      <c r="AO45" s="67">
        <f ca="1">+GETPIVOTDATA("XQT4",'quangthanh (2016)'!$A$3,"MA_HT","ODT","MA_QH","DDL")</f>
        <v>0</v>
      </c>
      <c r="AP45" s="67">
        <f ca="1">+GETPIVOTDATA("XQT4",'quangthanh (2016)'!$A$3,"MA_HT","ODT","MA_QH","DRA")</f>
        <v>0</v>
      </c>
      <c r="AQ45" s="67">
        <f ca="1">+GETPIVOTDATA("XQT4",'quangthanh (2016)'!$A$3,"MA_HT","ODT","MA_QH","ONT")</f>
        <v>0</v>
      </c>
      <c r="AR45" s="82" t="e">
        <f ca="1">$D45-$BF45</f>
        <v>#REF!</v>
      </c>
      <c r="AS45" s="67">
        <f ca="1">+GETPIVOTDATA("XQT4",'quangthanh (2016)'!$A$3,"MA_HT","ODT","MA_QH","TSC")</f>
        <v>0</v>
      </c>
      <c r="AT45" s="67">
        <f ca="1">+GETPIVOTDATA("XQT4",'quangthanh (2016)'!$A$3,"MA_HT","ODT","MA_QH","DTS")</f>
        <v>0</v>
      </c>
      <c r="AU45" s="67">
        <f ca="1">+GETPIVOTDATA("XQT4",'quangthanh (2016)'!$A$3,"MA_HT","ODT","MA_QH","DNG")</f>
        <v>0</v>
      </c>
      <c r="AV45" s="67">
        <f ca="1">+GETPIVOTDATA("XQT4",'quangthanh (2016)'!$A$3,"MA_HT","ODT","MA_QH","TON")</f>
        <v>0</v>
      </c>
      <c r="AW45" s="67">
        <f ca="1">+GETPIVOTDATA("XQT4",'quangthanh (2016)'!$A$3,"MA_HT","ODT","MA_QH","NTD")</f>
        <v>0</v>
      </c>
      <c r="AX45" s="67">
        <f ca="1">+GETPIVOTDATA("XQT4",'quangthanh (2016)'!$A$3,"MA_HT","ODT","MA_QH","SKX")</f>
        <v>0</v>
      </c>
      <c r="AY45" s="67">
        <f ca="1">+GETPIVOTDATA("XQT4",'quangthanh (2016)'!$A$3,"MA_HT","ODT","MA_QH","DSH")</f>
        <v>0</v>
      </c>
      <c r="AZ45" s="67">
        <f ca="1">+GETPIVOTDATA("XQT4",'quangthanh (2016)'!$A$3,"MA_HT","ODT","MA_QH","DKV")</f>
        <v>0</v>
      </c>
      <c r="BA45" s="92">
        <f ca="1">+GETPIVOTDATA("XQT4",'quangthanh (2016)'!$A$3,"MA_HT","ODT","MA_QH","TIN")</f>
        <v>0</v>
      </c>
      <c r="BB45" s="93">
        <f ca="1">+GETPIVOTDATA("XQT4",'quangthanh (2016)'!$A$3,"MA_HT","ODT","MA_QH","SON")</f>
        <v>0</v>
      </c>
      <c r="BC45" s="93">
        <f ca="1">+GETPIVOTDATA("XQT4",'quangthanh (2016)'!$A$3,"MA_HT","ODT","MA_QH","MNC")</f>
        <v>0</v>
      </c>
      <c r="BD45" s="67">
        <f ca="1">+GETPIVOTDATA("XQT4",'quangthanh (2016)'!$A$3,"MA_HT","ODT","MA_QH","PNK")</f>
        <v>0</v>
      </c>
      <c r="BE45" s="116">
        <f ca="1">+GETPIVOTDATA("XQT4",'quangthanh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+GETPIVOTDATA("XQT4",'quangthanh (2016)'!$A$3,"MA_HT","TSC","MA_QH","LUC")</f>
        <v>0</v>
      </c>
      <c r="H46" s="22">
        <f ca="1">+GETPIVOTDATA("XQT4",'quangthanh (2016)'!$A$3,"MA_HT","TSC","MA_QH","LUK")</f>
        <v>0</v>
      </c>
      <c r="I46" s="22">
        <f ca="1">+GETPIVOTDATA("XQT4",'quangthanh (2016)'!$A$3,"MA_HT","TSC","MA_QH","LUN")</f>
        <v>0</v>
      </c>
      <c r="J46" s="22">
        <f ca="1">+GETPIVOTDATA("XQT4",'quangthanh (2016)'!$A$3,"MA_HT","TSC","MA_QH","HNK")</f>
        <v>0</v>
      </c>
      <c r="K46" s="22">
        <f ca="1">+GETPIVOTDATA("XQT4",'quangthanh (2016)'!$A$3,"MA_HT","TSC","MA_QH","CLN")</f>
        <v>0</v>
      </c>
      <c r="L46" s="22">
        <f ca="1">+GETPIVOTDATA("XQT4",'quangthanh (2016)'!$A$3,"MA_HT","TSC","MA_QH","RSX")</f>
        <v>0</v>
      </c>
      <c r="M46" s="22">
        <f ca="1">+GETPIVOTDATA("XQT4",'quangthanh (2016)'!$A$3,"MA_HT","TSC","MA_QH","RPH")</f>
        <v>0</v>
      </c>
      <c r="N46" s="22">
        <f ca="1">+GETPIVOTDATA("XQT4",'quangthanh (2016)'!$A$3,"MA_HT","TSC","MA_QH","RDD")</f>
        <v>0</v>
      </c>
      <c r="O46" s="22">
        <f ca="1">+GETPIVOTDATA("XQT4",'quangthanh (2016)'!$A$3,"MA_HT","TSC","MA_QH","NTS")</f>
        <v>0</v>
      </c>
      <c r="P46" s="22">
        <f ca="1">+GETPIVOTDATA("XQT4",'quangthanh (2016)'!$A$3,"MA_HT","TSC","MA_QH","LMU")</f>
        <v>0</v>
      </c>
      <c r="Q46" s="22">
        <f ca="1">+GETPIVOTDATA("XQT4",'quangthanh (2016)'!$A$3,"MA_HT","TSC","MA_QH","NKH")</f>
        <v>0</v>
      </c>
      <c r="R46" s="48">
        <f ca="1">SUM(S46:AA46,AN46:AR46,AT46:BD46)</f>
        <v>0</v>
      </c>
      <c r="S46" s="22">
        <f ca="1">+GETPIVOTDATA("XQT4",'quangthanh (2016)'!$A$3,"MA_HT","TSC","MA_QH","CQP")</f>
        <v>0</v>
      </c>
      <c r="T46" s="22">
        <f ca="1">+GETPIVOTDATA("XQT4",'quangthanh (2016)'!$A$3,"MA_HT","TSC","MA_QH","CAN")</f>
        <v>0</v>
      </c>
      <c r="U46" s="22">
        <f ca="1">+GETPIVOTDATA("XQT4",'quangthanh (2016)'!$A$3,"MA_HT","TSC","MA_QH","SKK")</f>
        <v>0</v>
      </c>
      <c r="V46" s="22">
        <f ca="1">+GETPIVOTDATA("XQT4",'quangthanh (2016)'!$A$3,"MA_HT","TSC","MA_QH","SKT")</f>
        <v>0</v>
      </c>
      <c r="W46" s="22">
        <f ca="1">+GETPIVOTDATA("XQT4",'quangthanh (2016)'!$A$3,"MA_HT","TSC","MA_QH","SKN")</f>
        <v>0</v>
      </c>
      <c r="X46" s="22">
        <f ca="1">+GETPIVOTDATA("XQT4",'quangthanh (2016)'!$A$3,"MA_HT","TSC","MA_QH","TMD")</f>
        <v>0</v>
      </c>
      <c r="Y46" s="22">
        <f ca="1">+GETPIVOTDATA("XQT4",'quangthanh (2016)'!$A$3,"MA_HT","TSC","MA_QH","SKC")</f>
        <v>0</v>
      </c>
      <c r="Z46" s="22">
        <f ca="1">+GETPIVOTDATA("XQT4",'quangthanh (2016)'!$A$3,"MA_HT","TSC","MA_QH","SKS")</f>
        <v>0</v>
      </c>
      <c r="AA46" s="52">
        <f ca="1" t="shared" si="21"/>
        <v>0</v>
      </c>
      <c r="AB46" s="22">
        <f ca="1">+GETPIVOTDATA("XQT4",'quangthanh (2016)'!$A$3,"MA_HT","TSC","MA_QH","DGT")</f>
        <v>0</v>
      </c>
      <c r="AC46" s="22">
        <f ca="1">+GETPIVOTDATA("XQT4",'quangthanh (2016)'!$A$3,"MA_HT","TSC","MA_QH","DTL")</f>
        <v>0</v>
      </c>
      <c r="AD46" s="22">
        <f ca="1">+GETPIVOTDATA("XQT4",'quangthanh (2016)'!$A$3,"MA_HT","TSC","MA_QH","DNL")</f>
        <v>0</v>
      </c>
      <c r="AE46" s="22">
        <f ca="1">+GETPIVOTDATA("XQT4",'quangthanh (2016)'!$A$3,"MA_HT","TSC","MA_QH","DBV")</f>
        <v>0</v>
      </c>
      <c r="AF46" s="22">
        <f ca="1">+GETPIVOTDATA("XQT4",'quangthanh (2016)'!$A$3,"MA_HT","TSC","MA_QH","DVH")</f>
        <v>0</v>
      </c>
      <c r="AG46" s="22">
        <f ca="1">+GETPIVOTDATA("XQT4",'quangthanh (2016)'!$A$3,"MA_HT","TSC","MA_QH","DYT")</f>
        <v>0</v>
      </c>
      <c r="AH46" s="22">
        <f ca="1">+GETPIVOTDATA("XQT4",'quangthanh (2016)'!$A$3,"MA_HT","TSC","MA_QH","DGD")</f>
        <v>0</v>
      </c>
      <c r="AI46" s="22">
        <f ca="1">+GETPIVOTDATA("XQT4",'quangthanh (2016)'!$A$3,"MA_HT","TSC","MA_QH","DTT")</f>
        <v>0</v>
      </c>
      <c r="AJ46" s="22">
        <f ca="1">+GETPIVOTDATA("XQT4",'quangthanh (2016)'!$A$3,"MA_HT","TSC","MA_QH","NCK")</f>
        <v>0</v>
      </c>
      <c r="AK46" s="22">
        <f ca="1">+GETPIVOTDATA("XQT4",'quangthanh (2016)'!$A$3,"MA_HT","TSC","MA_QH","DXH")</f>
        <v>0</v>
      </c>
      <c r="AL46" s="22">
        <f ca="1">+GETPIVOTDATA("XQT4",'quangthanh (2016)'!$A$3,"MA_HT","TSC","MA_QH","DCH")</f>
        <v>0</v>
      </c>
      <c r="AM46" s="22">
        <f ca="1">+GETPIVOTDATA("XQT4",'quangthanh (2016)'!$A$3,"MA_HT","TSC","MA_QH","DKG")</f>
        <v>0</v>
      </c>
      <c r="AN46" s="22">
        <f ca="1">+GETPIVOTDATA("XQT4",'quangthanh (2016)'!$A$3,"MA_HT","TSC","MA_QH","DDT")</f>
        <v>0</v>
      </c>
      <c r="AO46" s="22">
        <f ca="1">+GETPIVOTDATA("XQT4",'quangthanh (2016)'!$A$3,"MA_HT","TSC","MA_QH","DDL")</f>
        <v>0</v>
      </c>
      <c r="AP46" s="22">
        <f ca="1">+GETPIVOTDATA("XQT4",'quangthanh (2016)'!$A$3,"MA_HT","TSC","MA_QH","DRA")</f>
        <v>0</v>
      </c>
      <c r="AQ46" s="22">
        <f ca="1">+GETPIVOTDATA("XQT4",'quangthanh (2016)'!$A$3,"MA_HT","TSC","MA_QH","ONT")</f>
        <v>0</v>
      </c>
      <c r="AR46" s="22">
        <f ca="1">+GETPIVOTDATA("XQT4",'quangthanh (2016)'!$A$3,"MA_HT","TSC","MA_QH","ODT")</f>
        <v>0</v>
      </c>
      <c r="AS46" s="43" t="e">
        <f ca="1">$D46-$BF46</f>
        <v>#REF!</v>
      </c>
      <c r="AT46" s="22">
        <f ca="1">+GETPIVOTDATA("XQT4",'quangthanh (2016)'!$A$3,"MA_HT","TSC","MA_QH","DTS")</f>
        <v>0</v>
      </c>
      <c r="AU46" s="22">
        <f ca="1">+GETPIVOTDATA("XQT4",'quangthanh (2016)'!$A$3,"MA_HT","TSC","MA_QH","DNG")</f>
        <v>0</v>
      </c>
      <c r="AV46" s="22">
        <f ca="1">+GETPIVOTDATA("XQT4",'quangthanh (2016)'!$A$3,"MA_HT","TSC","MA_QH","TON")</f>
        <v>0</v>
      </c>
      <c r="AW46" s="22">
        <f ca="1">+GETPIVOTDATA("XQT4",'quangthanh (2016)'!$A$3,"MA_HT","TSC","MA_QH","NTD")</f>
        <v>0</v>
      </c>
      <c r="AX46" s="22">
        <f ca="1">+GETPIVOTDATA("XQT4",'quangthanh (2016)'!$A$3,"MA_HT","TSC","MA_QH","SKX")</f>
        <v>0</v>
      </c>
      <c r="AY46" s="22">
        <f ca="1">+GETPIVOTDATA("XQT4",'quangthanh (2016)'!$A$3,"MA_HT","TSC","MA_QH","DSH")</f>
        <v>0</v>
      </c>
      <c r="AZ46" s="22">
        <f ca="1">+GETPIVOTDATA("XQT4",'quangthanh (2016)'!$A$3,"MA_HT","TSC","MA_QH","DKV")</f>
        <v>0</v>
      </c>
      <c r="BA46" s="89">
        <f ca="1">+GETPIVOTDATA("XQT4",'quangthanh (2016)'!$A$3,"MA_HT","TSC","MA_QH","TIN")</f>
        <v>0</v>
      </c>
      <c r="BB46" s="50">
        <f ca="1">+GETPIVOTDATA("XQT4",'quangthanh (2016)'!$A$3,"MA_HT","TSC","MA_QH","SON")</f>
        <v>0</v>
      </c>
      <c r="BC46" s="50">
        <f ca="1">+GETPIVOTDATA("XQT4",'quangthanh (2016)'!$A$3,"MA_HT","TSC","MA_QH","MNC")</f>
        <v>0</v>
      </c>
      <c r="BD46" s="22">
        <f ca="1">+GETPIVOTDATA("XQT4",'quangthanh (2016)'!$A$3,"MA_HT","TSC","MA_QH","PNK")</f>
        <v>0</v>
      </c>
      <c r="BE46" s="71">
        <f ca="1">+GETPIVOTDATA("XQT4",'quangthanh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+GETPIVOTDATA("XQT4",'quangthanh (2016)'!$A$3,"MA_HT","DTS","MA_QH","LUC")</f>
        <v>0</v>
      </c>
      <c r="H47" s="60">
        <f ca="1">+GETPIVOTDATA("XQT4",'quangthanh (2016)'!$A$3,"MA_HT","DTS","MA_QH","LUK")</f>
        <v>0</v>
      </c>
      <c r="I47" s="60">
        <f ca="1">+GETPIVOTDATA("XQT4",'quangthanh (2016)'!$A$3,"MA_HT","DTS","MA_QH","LUN")</f>
        <v>0</v>
      </c>
      <c r="J47" s="60">
        <f ca="1">+GETPIVOTDATA("XQT4",'quangthanh (2016)'!$A$3,"MA_HT","DTS","MA_QH","HNK")</f>
        <v>0</v>
      </c>
      <c r="K47" s="60">
        <f ca="1">+GETPIVOTDATA("XQT4",'quangthanh (2016)'!$A$3,"MA_HT","DTS","MA_QH","CLN")</f>
        <v>0</v>
      </c>
      <c r="L47" s="60">
        <f ca="1">+GETPIVOTDATA("XQT4",'quangthanh (2016)'!$A$3,"MA_HT","DTS","MA_QH","RSX")</f>
        <v>0</v>
      </c>
      <c r="M47" s="60">
        <f ca="1">+GETPIVOTDATA("XQT4",'quangthanh (2016)'!$A$3,"MA_HT","DTS","MA_QH","RPH")</f>
        <v>0</v>
      </c>
      <c r="N47" s="60">
        <f ca="1">+GETPIVOTDATA("XQT4",'quangthanh (2016)'!$A$3,"MA_HT","DTS","MA_QH","RDD")</f>
        <v>0</v>
      </c>
      <c r="O47" s="60">
        <f ca="1">+GETPIVOTDATA("XQT4",'quangthanh (2016)'!$A$3,"MA_HT","DTS","MA_QH","NTS")</f>
        <v>0</v>
      </c>
      <c r="P47" s="60">
        <f ca="1">+GETPIVOTDATA("XQT4",'quangthanh (2016)'!$A$3,"MA_HT","DTS","MA_QH","LMU")</f>
        <v>0</v>
      </c>
      <c r="Q47" s="60">
        <f ca="1">+GETPIVOTDATA("XQT4",'quangthanh (2016)'!$A$3,"MA_HT","DTS","MA_QH","NKH")</f>
        <v>0</v>
      </c>
      <c r="R47" s="78">
        <f ca="1">SUM(S47:AA47,AN47:AS47,AU47:BD47)</f>
        <v>0</v>
      </c>
      <c r="S47" s="60">
        <f ca="1">+GETPIVOTDATA("XQT4",'quangthanh (2016)'!$A$3,"MA_HT","DTS","MA_QH","CQP")</f>
        <v>0</v>
      </c>
      <c r="T47" s="60">
        <f ca="1">+GETPIVOTDATA("XQT4",'quangthanh (2016)'!$A$3,"MA_HT","DTS","MA_QH","CAN")</f>
        <v>0</v>
      </c>
      <c r="U47" s="60">
        <f ca="1">+GETPIVOTDATA("XQT4",'quangthanh (2016)'!$A$3,"MA_HT","DTS","MA_QH","SKK")</f>
        <v>0</v>
      </c>
      <c r="V47" s="60">
        <f ca="1">+GETPIVOTDATA("XQT4",'quangthanh (2016)'!$A$3,"MA_HT","DTS","MA_QH","SKT")</f>
        <v>0</v>
      </c>
      <c r="W47" s="60">
        <f ca="1">+GETPIVOTDATA("XQT4",'quangthanh (2016)'!$A$3,"MA_HT","DTS","MA_QH","SKN")</f>
        <v>0</v>
      </c>
      <c r="X47" s="60">
        <f ca="1">+GETPIVOTDATA("XQT4",'quangthanh (2016)'!$A$3,"MA_HT","DTS","MA_QH","TMD")</f>
        <v>0</v>
      </c>
      <c r="Y47" s="60">
        <f ca="1">+GETPIVOTDATA("XQT4",'quangthanh (2016)'!$A$3,"MA_HT","DTS","MA_QH","SKC")</f>
        <v>0</v>
      </c>
      <c r="Z47" s="60">
        <f ca="1">+GETPIVOTDATA("XQT4",'quangthanh (2016)'!$A$3,"MA_HT","DTS","MA_QH","SKS")</f>
        <v>0</v>
      </c>
      <c r="AA47" s="59">
        <f ca="1" t="shared" si="21"/>
        <v>0</v>
      </c>
      <c r="AB47" s="60">
        <f ca="1">+GETPIVOTDATA("XQT4",'quangthanh (2016)'!$A$3,"MA_HT","DTS","MA_QH","DGT")</f>
        <v>0</v>
      </c>
      <c r="AC47" s="60">
        <f ca="1">+GETPIVOTDATA("XQT4",'quangthanh (2016)'!$A$3,"MA_HT","DTS","MA_QH","DTL")</f>
        <v>0</v>
      </c>
      <c r="AD47" s="60">
        <f ca="1">+GETPIVOTDATA("XQT4",'quangthanh (2016)'!$A$3,"MA_HT","DTS","MA_QH","DNL")</f>
        <v>0</v>
      </c>
      <c r="AE47" s="60">
        <f ca="1">+GETPIVOTDATA("XQT4",'quangthanh (2016)'!$A$3,"MA_HT","DTS","MA_QH","DBV")</f>
        <v>0</v>
      </c>
      <c r="AF47" s="60">
        <f ca="1">+GETPIVOTDATA("XQT4",'quangthanh (2016)'!$A$3,"MA_HT","DTS","MA_QH","DVH")</f>
        <v>0</v>
      </c>
      <c r="AG47" s="60">
        <f ca="1">+GETPIVOTDATA("XQT4",'quangthanh (2016)'!$A$3,"MA_HT","DTS","MA_QH","DYT")</f>
        <v>0</v>
      </c>
      <c r="AH47" s="60">
        <f ca="1">+GETPIVOTDATA("XQT4",'quangthanh (2016)'!$A$3,"MA_HT","DTS","MA_QH","DGD")</f>
        <v>0</v>
      </c>
      <c r="AI47" s="60">
        <f ca="1">+GETPIVOTDATA("XQT4",'quangthanh (2016)'!$A$3,"MA_HT","DTS","MA_QH","DTT")</f>
        <v>0</v>
      </c>
      <c r="AJ47" s="60">
        <f ca="1">+GETPIVOTDATA("XQT4",'quangthanh (2016)'!$A$3,"MA_HT","DTS","MA_QH","NCK")</f>
        <v>0</v>
      </c>
      <c r="AK47" s="60">
        <f ca="1">+GETPIVOTDATA("XQT4",'quangthanh (2016)'!$A$3,"MA_HT","DTS","MA_QH","DXH")</f>
        <v>0</v>
      </c>
      <c r="AL47" s="60">
        <f ca="1">+GETPIVOTDATA("XQT4",'quangthanh (2016)'!$A$3,"MA_HT","DTS","MA_QH","DCH")</f>
        <v>0</v>
      </c>
      <c r="AM47" s="60">
        <f ca="1">+GETPIVOTDATA("XQT4",'quangthanh (2016)'!$A$3,"MA_HT","DTS","MA_QH","DKG")</f>
        <v>0</v>
      </c>
      <c r="AN47" s="60">
        <f ca="1">+GETPIVOTDATA("XQT4",'quangthanh (2016)'!$A$3,"MA_HT","DTS","MA_QH","DDT")</f>
        <v>0</v>
      </c>
      <c r="AO47" s="60">
        <f ca="1">+GETPIVOTDATA("XQT4",'quangthanh (2016)'!$A$3,"MA_HT","DTS","MA_QH","DDL")</f>
        <v>0</v>
      </c>
      <c r="AP47" s="60">
        <f ca="1">+GETPIVOTDATA("XQT4",'quangthanh (2016)'!$A$3,"MA_HT","DTS","MA_QH","DRA")</f>
        <v>0</v>
      </c>
      <c r="AQ47" s="60">
        <f ca="1">+GETPIVOTDATA("XQT4",'quangthanh (2016)'!$A$3,"MA_HT","DTS","MA_QH","ONT")</f>
        <v>0</v>
      </c>
      <c r="AR47" s="60">
        <f ca="1">+GETPIVOTDATA("XQT4",'quangthanh (2016)'!$A$3,"MA_HT","DTS","MA_QH","ODT")</f>
        <v>0</v>
      </c>
      <c r="AS47" s="60">
        <f ca="1">+GETPIVOTDATA("XQT4",'quangthanh (2016)'!$A$3,"MA_HT","DTS","MA_QH","TSC")</f>
        <v>0</v>
      </c>
      <c r="AT47" s="81" t="e">
        <f ca="1">$D47-$BF47</f>
        <v>#REF!</v>
      </c>
      <c r="AU47" s="60">
        <f ca="1">+GETPIVOTDATA("XQT4",'quangthanh (2016)'!$A$3,"MA_HT","DTS","MA_QH","DNG")</f>
        <v>0</v>
      </c>
      <c r="AV47" s="60">
        <f ca="1">+GETPIVOTDATA("XQT4",'quangthanh (2016)'!$A$3,"MA_HT","DTS","MA_QH","TON")</f>
        <v>0</v>
      </c>
      <c r="AW47" s="60">
        <f ca="1">+GETPIVOTDATA("XQT4",'quangthanh (2016)'!$A$3,"MA_HT","DTS","MA_QH","NTD")</f>
        <v>0</v>
      </c>
      <c r="AX47" s="60">
        <f ca="1">+GETPIVOTDATA("XQT4",'quangthanh (2016)'!$A$3,"MA_HT","DTS","MA_QH","SKX")</f>
        <v>0</v>
      </c>
      <c r="AY47" s="60">
        <f ca="1">+GETPIVOTDATA("XQT4",'quangthanh (2016)'!$A$3,"MA_HT","DTS","MA_QH","DSH")</f>
        <v>0</v>
      </c>
      <c r="AZ47" s="60">
        <f ca="1">+GETPIVOTDATA("XQT4",'quangthanh (2016)'!$A$3,"MA_HT","DTS","MA_QH","DKV")</f>
        <v>0</v>
      </c>
      <c r="BA47" s="90">
        <f ca="1">+GETPIVOTDATA("XQT4",'quangthanh (2016)'!$A$3,"MA_HT","DTS","MA_QH","TIN")</f>
        <v>0</v>
      </c>
      <c r="BB47" s="91">
        <f ca="1">+GETPIVOTDATA("XQT4",'quangthanh (2016)'!$A$3,"MA_HT","DTS","MA_QH","SON")</f>
        <v>0</v>
      </c>
      <c r="BC47" s="91">
        <f ca="1">+GETPIVOTDATA("XQT4",'quangthanh (2016)'!$A$3,"MA_HT","DTS","MA_QH","MNC")</f>
        <v>0</v>
      </c>
      <c r="BD47" s="60">
        <f ca="1">+GETPIVOTDATA("XQT4",'quangthanh (2016)'!$A$3,"MA_HT","DTS","MA_QH","PNK")</f>
        <v>0</v>
      </c>
      <c r="BE47" s="111">
        <f ca="1">+GETPIVOTDATA("XQT4",'quangthanh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+GETPIVOTDATA("XQT4",'quangthanh (2016)'!$A$3,"MA_HT","DNG","MA_QH","LUC")</f>
        <v>0</v>
      </c>
      <c r="H48" s="22">
        <f ca="1">+GETPIVOTDATA("XQT4",'quangthanh (2016)'!$A$3,"MA_HT","DNG","MA_QH","LUK")</f>
        <v>0</v>
      </c>
      <c r="I48" s="22">
        <f ca="1">+GETPIVOTDATA("XQT4",'quangthanh (2016)'!$A$3,"MA_HT","DNG","MA_QH","LUN")</f>
        <v>0</v>
      </c>
      <c r="J48" s="22">
        <f ca="1">+GETPIVOTDATA("XQT4",'quangthanh (2016)'!$A$3,"MA_HT","DNG","MA_QH","HNK")</f>
        <v>0</v>
      </c>
      <c r="K48" s="22">
        <f ca="1">+GETPIVOTDATA("XQT4",'quangthanh (2016)'!$A$3,"MA_HT","DNG","MA_QH","CLN")</f>
        <v>0</v>
      </c>
      <c r="L48" s="22">
        <f ca="1">+GETPIVOTDATA("XQT4",'quangthanh (2016)'!$A$3,"MA_HT","DNG","MA_QH","RSX")</f>
        <v>0</v>
      </c>
      <c r="M48" s="22">
        <f ca="1">+GETPIVOTDATA("XQT4",'quangthanh (2016)'!$A$3,"MA_HT","DNG","MA_QH","RPH")</f>
        <v>0</v>
      </c>
      <c r="N48" s="22">
        <f ca="1">+GETPIVOTDATA("XQT4",'quangthanh (2016)'!$A$3,"MA_HT","DNG","MA_QH","RDD")</f>
        <v>0</v>
      </c>
      <c r="O48" s="22">
        <f ca="1">+GETPIVOTDATA("XQT4",'quangthanh (2016)'!$A$3,"MA_HT","DNG","MA_QH","NTS")</f>
        <v>0</v>
      </c>
      <c r="P48" s="22">
        <f ca="1">+GETPIVOTDATA("XQT4",'quangthanh (2016)'!$A$3,"MA_HT","DNG","MA_QH","LMU")</f>
        <v>0</v>
      </c>
      <c r="Q48" s="22">
        <f ca="1">+GETPIVOTDATA("XQT4",'quangthanh (2016)'!$A$3,"MA_HT","DNG","MA_QH","NKH")</f>
        <v>0</v>
      </c>
      <c r="R48" s="79">
        <f ca="1">SUM(S48:AA48,AN48:AT48,AV48:BD48)</f>
        <v>0</v>
      </c>
      <c r="S48" s="22">
        <f ca="1">+GETPIVOTDATA("XQT4",'quangthanh (2016)'!$A$3,"MA_HT","DNG","MA_QH","CQP")</f>
        <v>0</v>
      </c>
      <c r="T48" s="22">
        <f ca="1">+GETPIVOTDATA("XQT4",'quangthanh (2016)'!$A$3,"MA_HT","DNG","MA_QH","CAN")</f>
        <v>0</v>
      </c>
      <c r="U48" s="22">
        <f ca="1">+GETPIVOTDATA("XQT4",'quangthanh (2016)'!$A$3,"MA_HT","DNG","MA_QH","SKK")</f>
        <v>0</v>
      </c>
      <c r="V48" s="22">
        <f ca="1">+GETPIVOTDATA("XQT4",'quangthanh (2016)'!$A$3,"MA_HT","DNG","MA_QH","SKT")</f>
        <v>0</v>
      </c>
      <c r="W48" s="22">
        <f ca="1">+GETPIVOTDATA("XQT4",'quangthanh (2016)'!$A$3,"MA_HT","DNG","MA_QH","SKN")</f>
        <v>0</v>
      </c>
      <c r="X48" s="22">
        <f ca="1">+GETPIVOTDATA("XQT4",'quangthanh (2016)'!$A$3,"MA_HT","DNG","MA_QH","TMD")</f>
        <v>0</v>
      </c>
      <c r="Y48" s="22">
        <f ca="1">+GETPIVOTDATA("XQT4",'quangthanh (2016)'!$A$3,"MA_HT","DNG","MA_QH","SKC")</f>
        <v>0</v>
      </c>
      <c r="Z48" s="22">
        <f ca="1">+GETPIVOTDATA("XQT4",'quangthanh (2016)'!$A$3,"MA_HT","DNG","MA_QH","SKS")</f>
        <v>0</v>
      </c>
      <c r="AA48" s="52">
        <f ca="1" t="shared" si="21"/>
        <v>0</v>
      </c>
      <c r="AB48" s="22">
        <f ca="1">+GETPIVOTDATA("XQT4",'quangthanh (2016)'!$A$3,"MA_HT","DNG","MA_QH","DGT")</f>
        <v>0</v>
      </c>
      <c r="AC48" s="22">
        <f ca="1">+GETPIVOTDATA("XQT4",'quangthanh (2016)'!$A$3,"MA_HT","DNG","MA_QH","DTL")</f>
        <v>0</v>
      </c>
      <c r="AD48" s="22">
        <f ca="1">+GETPIVOTDATA("XQT4",'quangthanh (2016)'!$A$3,"MA_HT","DNG","MA_QH","DNL")</f>
        <v>0</v>
      </c>
      <c r="AE48" s="22">
        <f ca="1">+GETPIVOTDATA("XQT4",'quangthanh (2016)'!$A$3,"MA_HT","DNG","MA_QH","DBV")</f>
        <v>0</v>
      </c>
      <c r="AF48" s="22">
        <f ca="1">+GETPIVOTDATA("XQT4",'quangthanh (2016)'!$A$3,"MA_HT","DNG","MA_QH","DVH")</f>
        <v>0</v>
      </c>
      <c r="AG48" s="22">
        <f ca="1">+GETPIVOTDATA("XQT4",'quangthanh (2016)'!$A$3,"MA_HT","DNG","MA_QH","DYT")</f>
        <v>0</v>
      </c>
      <c r="AH48" s="22">
        <f ca="1">+GETPIVOTDATA("XQT4",'quangthanh (2016)'!$A$3,"MA_HT","DNG","MA_QH","DGD")</f>
        <v>0</v>
      </c>
      <c r="AI48" s="22">
        <f ca="1">+GETPIVOTDATA("XQT4",'quangthanh (2016)'!$A$3,"MA_HT","DNG","MA_QH","DTT")</f>
        <v>0</v>
      </c>
      <c r="AJ48" s="22">
        <f ca="1">+GETPIVOTDATA("XQT4",'quangthanh (2016)'!$A$3,"MA_HT","DNG","MA_QH","NCK")</f>
        <v>0</v>
      </c>
      <c r="AK48" s="22">
        <f ca="1">+GETPIVOTDATA("XQT4",'quangthanh (2016)'!$A$3,"MA_HT","DNG","MA_QH","DXH")</f>
        <v>0</v>
      </c>
      <c r="AL48" s="22">
        <f ca="1">+GETPIVOTDATA("XQT4",'quangthanh (2016)'!$A$3,"MA_HT","DNG","MA_QH","DCH")</f>
        <v>0</v>
      </c>
      <c r="AM48" s="22">
        <f ca="1">+GETPIVOTDATA("XQT4",'quangthanh (2016)'!$A$3,"MA_HT","DNG","MA_QH","DKG")</f>
        <v>0</v>
      </c>
      <c r="AN48" s="22">
        <f ca="1">+GETPIVOTDATA("XQT4",'quangthanh (2016)'!$A$3,"MA_HT","DNG","MA_QH","DDT")</f>
        <v>0</v>
      </c>
      <c r="AO48" s="22">
        <f ca="1">+GETPIVOTDATA("XQT4",'quangthanh (2016)'!$A$3,"MA_HT","DNG","MA_QH","DDL")</f>
        <v>0</v>
      </c>
      <c r="AP48" s="22">
        <f ca="1">+GETPIVOTDATA("XQT4",'quangthanh (2016)'!$A$3,"MA_HT","DNG","MA_QH","DRA")</f>
        <v>0</v>
      </c>
      <c r="AQ48" s="22">
        <f ca="1">+GETPIVOTDATA("XQT4",'quangthanh (2016)'!$A$3,"MA_HT","DNG","MA_QH","ONT")</f>
        <v>0</v>
      </c>
      <c r="AR48" s="22">
        <f ca="1">+GETPIVOTDATA("XQT4",'quangthanh (2016)'!$A$3,"MA_HT","DNG","MA_QH","ODT")</f>
        <v>0</v>
      </c>
      <c r="AS48" s="22">
        <f ca="1">+GETPIVOTDATA("XQT4",'quangthanh (2016)'!$A$3,"MA_HT","DNG","MA_QH","TSC")</f>
        <v>0</v>
      </c>
      <c r="AT48" s="22">
        <f ca="1">+GETPIVOTDATA("XQT4",'quangthanh (2016)'!$A$3,"MA_HT","DNG","MA_QH","DTS")</f>
        <v>0</v>
      </c>
      <c r="AU48" s="43" t="e">
        <f ca="1">$D48-$BF48</f>
        <v>#REF!</v>
      </c>
      <c r="AV48" s="22">
        <f ca="1">+GETPIVOTDATA("XQT4",'quangthanh (2016)'!$A$3,"MA_HT","DNG","MA_QH","TON")</f>
        <v>0</v>
      </c>
      <c r="AW48" s="22">
        <f ca="1">+GETPIVOTDATA("XQT4",'quangthanh (2016)'!$A$3,"MA_HT","DNG","MA_QH","NTD")</f>
        <v>0</v>
      </c>
      <c r="AX48" s="22">
        <f ca="1">+GETPIVOTDATA("XQT4",'quangthanh (2016)'!$A$3,"MA_HT","DNG","MA_QH","SKX")</f>
        <v>0</v>
      </c>
      <c r="AY48" s="22">
        <f ca="1">+GETPIVOTDATA("XQT4",'quangthanh (2016)'!$A$3,"MA_HT","DNG","MA_QH","DSH")</f>
        <v>0</v>
      </c>
      <c r="AZ48" s="22">
        <f ca="1">+GETPIVOTDATA("XQT4",'quangthanh (2016)'!$A$3,"MA_HT","DNG","MA_QH","DKV")</f>
        <v>0</v>
      </c>
      <c r="BA48" s="89">
        <f ca="1">+GETPIVOTDATA("XQT4",'quangthanh (2016)'!$A$3,"MA_HT","DNG","MA_QH","TIN")</f>
        <v>0</v>
      </c>
      <c r="BB48" s="50">
        <f ca="1">+GETPIVOTDATA("XQT4",'quangthanh (2016)'!$A$3,"MA_HT","DNG","MA_QH","SON")</f>
        <v>0</v>
      </c>
      <c r="BC48" s="50">
        <f ca="1">+GETPIVOTDATA("XQT4",'quangthanh (2016)'!$A$3,"MA_HT","DNG","MA_QH","MNC")</f>
        <v>0</v>
      </c>
      <c r="BD48" s="22">
        <f ca="1">+GETPIVOTDATA("XQT4",'quangthanh (2016)'!$A$3,"MA_HT","DNG","MA_QH","PNK")</f>
        <v>0</v>
      </c>
      <c r="BE48" s="71">
        <f ca="1">+GETPIVOTDATA("XQT4",'quangthanh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+GETPIVOTDATA("XQT4",'quangthanh (2016)'!$A$3,"MA_HT","TON","MA_QH","LUC")</f>
        <v>0</v>
      </c>
      <c r="H49" s="22">
        <f ca="1">+GETPIVOTDATA("XQT4",'quangthanh (2016)'!$A$3,"MA_HT","TON","MA_QH","LUK")</f>
        <v>0</v>
      </c>
      <c r="I49" s="22">
        <f ca="1">+GETPIVOTDATA("XQT4",'quangthanh (2016)'!$A$3,"MA_HT","TON","MA_QH","LUN")</f>
        <v>0</v>
      </c>
      <c r="J49" s="22">
        <f ca="1">+GETPIVOTDATA("XQT4",'quangthanh (2016)'!$A$3,"MA_HT","TON","MA_QH","HNK")</f>
        <v>0</v>
      </c>
      <c r="K49" s="22">
        <f ca="1">+GETPIVOTDATA("XQT4",'quangthanh (2016)'!$A$3,"MA_HT","TON","MA_QH","CLN")</f>
        <v>0</v>
      </c>
      <c r="L49" s="22">
        <f ca="1">+GETPIVOTDATA("XQT4",'quangthanh (2016)'!$A$3,"MA_HT","TON","MA_QH","RSX")</f>
        <v>0</v>
      </c>
      <c r="M49" s="22">
        <f ca="1">+GETPIVOTDATA("XQT4",'quangthanh (2016)'!$A$3,"MA_HT","TON","MA_QH","RPH")</f>
        <v>0</v>
      </c>
      <c r="N49" s="22">
        <f ca="1">+GETPIVOTDATA("XQT4",'quangthanh (2016)'!$A$3,"MA_HT","TON","MA_QH","RDD")</f>
        <v>0</v>
      </c>
      <c r="O49" s="22">
        <f ca="1">+GETPIVOTDATA("XQT4",'quangthanh (2016)'!$A$3,"MA_HT","TON","MA_QH","NTS")</f>
        <v>0</v>
      </c>
      <c r="P49" s="22">
        <f ca="1">+GETPIVOTDATA("XQT4",'quangthanh (2016)'!$A$3,"MA_HT","TON","MA_QH","LMU")</f>
        <v>0</v>
      </c>
      <c r="Q49" s="22">
        <f ca="1">+GETPIVOTDATA("XQT4",'quangthanh (2016)'!$A$3,"MA_HT","TON","MA_QH","NKH")</f>
        <v>0</v>
      </c>
      <c r="R49" s="79">
        <f ca="1">SUM(S49:AA49,AN49:AU49,AW49:BD49)</f>
        <v>0</v>
      </c>
      <c r="S49" s="22">
        <f ca="1">+GETPIVOTDATA("XQT4",'quangthanh (2016)'!$A$3,"MA_HT","TON","MA_QH","CQP")</f>
        <v>0</v>
      </c>
      <c r="T49" s="22">
        <f ca="1">+GETPIVOTDATA("XQT4",'quangthanh (2016)'!$A$3,"MA_HT","TON","MA_QH","CAN")</f>
        <v>0</v>
      </c>
      <c r="U49" s="22">
        <f ca="1">+GETPIVOTDATA("XQT4",'quangthanh (2016)'!$A$3,"MA_HT","TON","MA_QH","SKK")</f>
        <v>0</v>
      </c>
      <c r="V49" s="22">
        <f ca="1">+GETPIVOTDATA("XQT4",'quangthanh (2016)'!$A$3,"MA_HT","TON","MA_QH","SKT")</f>
        <v>0</v>
      </c>
      <c r="W49" s="22">
        <f ca="1">+GETPIVOTDATA("XQT4",'quangthanh (2016)'!$A$3,"MA_HT","TON","MA_QH","SKN")</f>
        <v>0</v>
      </c>
      <c r="X49" s="22">
        <f ca="1">+GETPIVOTDATA("XQT4",'quangthanh (2016)'!$A$3,"MA_HT","TON","MA_QH","TMD")</f>
        <v>0</v>
      </c>
      <c r="Y49" s="22">
        <f ca="1">+GETPIVOTDATA("XQT4",'quangthanh (2016)'!$A$3,"MA_HT","TON","MA_QH","SKC")</f>
        <v>0</v>
      </c>
      <c r="Z49" s="22">
        <f ca="1">+GETPIVOTDATA("XQT4",'quangthanh (2016)'!$A$3,"MA_HT","TON","MA_QH","SKS")</f>
        <v>0</v>
      </c>
      <c r="AA49" s="52">
        <f ca="1" t="shared" si="21"/>
        <v>0</v>
      </c>
      <c r="AB49" s="22">
        <f ca="1">+GETPIVOTDATA("XQT4",'quangthanh (2016)'!$A$3,"MA_HT","TON","MA_QH","DGT")</f>
        <v>0</v>
      </c>
      <c r="AC49" s="22">
        <f ca="1">+GETPIVOTDATA("XQT4",'quangthanh (2016)'!$A$3,"MA_HT","TON","MA_QH","DTL")</f>
        <v>0</v>
      </c>
      <c r="AD49" s="22">
        <f ca="1">+GETPIVOTDATA("XQT4",'quangthanh (2016)'!$A$3,"MA_HT","TON","MA_QH","DNL")</f>
        <v>0</v>
      </c>
      <c r="AE49" s="22">
        <f ca="1">+GETPIVOTDATA("XQT4",'quangthanh (2016)'!$A$3,"MA_HT","TON","MA_QH","DBV")</f>
        <v>0</v>
      </c>
      <c r="AF49" s="22">
        <f ca="1">+GETPIVOTDATA("XQT4",'quangthanh (2016)'!$A$3,"MA_HT","TON","MA_QH","DVH")</f>
        <v>0</v>
      </c>
      <c r="AG49" s="22">
        <f ca="1">+GETPIVOTDATA("XQT4",'quangthanh (2016)'!$A$3,"MA_HT","TON","MA_QH","DYT")</f>
        <v>0</v>
      </c>
      <c r="AH49" s="22">
        <f ca="1">+GETPIVOTDATA("XQT4",'quangthanh (2016)'!$A$3,"MA_HT","TON","MA_QH","DGD")</f>
        <v>0</v>
      </c>
      <c r="AI49" s="22">
        <f ca="1">+GETPIVOTDATA("XQT4",'quangthanh (2016)'!$A$3,"MA_HT","TON","MA_QH","DTT")</f>
        <v>0</v>
      </c>
      <c r="AJ49" s="22">
        <f ca="1">+GETPIVOTDATA("XQT4",'quangthanh (2016)'!$A$3,"MA_HT","TON","MA_QH","NCK")</f>
        <v>0</v>
      </c>
      <c r="AK49" s="22">
        <f ca="1">+GETPIVOTDATA("XQT4",'quangthanh (2016)'!$A$3,"MA_HT","TON","MA_QH","DXH")</f>
        <v>0</v>
      </c>
      <c r="AL49" s="22">
        <f ca="1">+GETPIVOTDATA("XQT4",'quangthanh (2016)'!$A$3,"MA_HT","TON","MA_QH","DCH")</f>
        <v>0</v>
      </c>
      <c r="AM49" s="22">
        <f ca="1">+GETPIVOTDATA("XQT4",'quangthanh (2016)'!$A$3,"MA_HT","TON","MA_QH","DKG")</f>
        <v>0</v>
      </c>
      <c r="AN49" s="22">
        <f ca="1">+GETPIVOTDATA("XQT4",'quangthanh (2016)'!$A$3,"MA_HT","TON","MA_QH","DDT")</f>
        <v>0</v>
      </c>
      <c r="AO49" s="22">
        <f ca="1">+GETPIVOTDATA("XQT4",'quangthanh (2016)'!$A$3,"MA_HT","TON","MA_QH","DDL")</f>
        <v>0</v>
      </c>
      <c r="AP49" s="22">
        <f ca="1">+GETPIVOTDATA("XQT4",'quangthanh (2016)'!$A$3,"MA_HT","TON","MA_QH","DRA")</f>
        <v>0</v>
      </c>
      <c r="AQ49" s="22">
        <f ca="1">+GETPIVOTDATA("XQT4",'quangthanh (2016)'!$A$3,"MA_HT","TON","MA_QH","ONT")</f>
        <v>0</v>
      </c>
      <c r="AR49" s="22">
        <f ca="1">+GETPIVOTDATA("XQT4",'quangthanh (2016)'!$A$3,"MA_HT","TON","MA_QH","ODT")</f>
        <v>0</v>
      </c>
      <c r="AS49" s="22">
        <f ca="1">+GETPIVOTDATA("XQT4",'quangthanh (2016)'!$A$3,"MA_HT","TON","MA_QH","TSC")</f>
        <v>0</v>
      </c>
      <c r="AT49" s="22">
        <f ca="1">+GETPIVOTDATA("XQT4",'quangthanh (2016)'!$A$3,"MA_HT","TON","MA_QH","DTS")</f>
        <v>0</v>
      </c>
      <c r="AU49" s="22">
        <f ca="1">+GETPIVOTDATA("XQT4",'quangthanh (2016)'!$A$3,"MA_HT","TON","MA_QH","DNG")</f>
        <v>0</v>
      </c>
      <c r="AV49" s="43" t="e">
        <f ca="1">$D49-$BF49</f>
        <v>#REF!</v>
      </c>
      <c r="AW49" s="22">
        <f ca="1">+GETPIVOTDATA("XQT4",'quangthanh (2016)'!$A$3,"MA_HT","TON","MA_QH","NTD")</f>
        <v>0</v>
      </c>
      <c r="AX49" s="22">
        <f ca="1">+GETPIVOTDATA("XQT4",'quangthanh (2016)'!$A$3,"MA_HT","TON","MA_QH","SKX")</f>
        <v>0</v>
      </c>
      <c r="AY49" s="22">
        <f ca="1">+GETPIVOTDATA("XQT4",'quangthanh (2016)'!$A$3,"MA_HT","TON","MA_QH","DSH")</f>
        <v>0</v>
      </c>
      <c r="AZ49" s="22">
        <f ca="1">+GETPIVOTDATA("XQT4",'quangthanh (2016)'!$A$3,"MA_HT","TON","MA_QH","DKV")</f>
        <v>0</v>
      </c>
      <c r="BA49" s="89">
        <f ca="1">+GETPIVOTDATA("XQT4",'quangthanh (2016)'!$A$3,"MA_HT","TON","MA_QH","TIN")</f>
        <v>0</v>
      </c>
      <c r="BB49" s="50">
        <f ca="1">+GETPIVOTDATA("XQT4",'quangthanh (2016)'!$A$3,"MA_HT","TON","MA_QH","SON")</f>
        <v>0</v>
      </c>
      <c r="BC49" s="50">
        <f ca="1">+GETPIVOTDATA("XQT4",'quangthanh (2016)'!$A$3,"MA_HT","TON","MA_QH","MNC")</f>
        <v>0</v>
      </c>
      <c r="BD49" s="22">
        <f ca="1">+GETPIVOTDATA("XQT4",'quangthanh (2016)'!$A$3,"MA_HT","TON","MA_QH","PNK")</f>
        <v>0</v>
      </c>
      <c r="BE49" s="71">
        <f ca="1">+GETPIVOTDATA("XQT4",'quangthanh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+GETPIVOTDATA("XQT4",'quangthanh (2016)'!$A$3,"MA_HT","NTD","MA_QH","LUC")</f>
        <v>0</v>
      </c>
      <c r="H50" s="22">
        <f ca="1">+GETPIVOTDATA("XQT4",'quangthanh (2016)'!$A$3,"MA_HT","NTD","MA_QH","LUK")</f>
        <v>0</v>
      </c>
      <c r="I50" s="22">
        <f ca="1">+GETPIVOTDATA("XQT4",'quangthanh (2016)'!$A$3,"MA_HT","NTD","MA_QH","LUN")</f>
        <v>0</v>
      </c>
      <c r="J50" s="22">
        <f ca="1">+GETPIVOTDATA("XQT4",'quangthanh (2016)'!$A$3,"MA_HT","NTD","MA_QH","HNK")</f>
        <v>0</v>
      </c>
      <c r="K50" s="22">
        <f ca="1">+GETPIVOTDATA("XQT4",'quangthanh (2016)'!$A$3,"MA_HT","NTD","MA_QH","CLN")</f>
        <v>0</v>
      </c>
      <c r="L50" s="22">
        <f ca="1">+GETPIVOTDATA("XQT4",'quangthanh (2016)'!$A$3,"MA_HT","NTD","MA_QH","RSX")</f>
        <v>0</v>
      </c>
      <c r="M50" s="22">
        <f ca="1">+GETPIVOTDATA("XQT4",'quangthanh (2016)'!$A$3,"MA_HT","NTD","MA_QH","RPH")</f>
        <v>0</v>
      </c>
      <c r="N50" s="22">
        <f ca="1">+GETPIVOTDATA("XQT4",'quangthanh (2016)'!$A$3,"MA_HT","NTD","MA_QH","RDD")</f>
        <v>0</v>
      </c>
      <c r="O50" s="22">
        <f ca="1">+GETPIVOTDATA("XQT4",'quangthanh (2016)'!$A$3,"MA_HT","NTD","MA_QH","NTS")</f>
        <v>0</v>
      </c>
      <c r="P50" s="22">
        <f ca="1">+GETPIVOTDATA("XQT4",'quangthanh (2016)'!$A$3,"MA_HT","NTD","MA_QH","LMU")</f>
        <v>0</v>
      </c>
      <c r="Q50" s="22">
        <f ca="1">+GETPIVOTDATA("XQT4",'quangthanh (2016)'!$A$3,"MA_HT","NTD","MA_QH","NKH")</f>
        <v>0</v>
      </c>
      <c r="R50" s="79">
        <f ca="1">SUM(S50:AA50,AN50:AV50,AX50:BD50)</f>
        <v>0</v>
      </c>
      <c r="S50" s="22">
        <f ca="1">+GETPIVOTDATA("XQT4",'quangthanh (2016)'!$A$3,"MA_HT","NTD","MA_QH","CQP")</f>
        <v>0</v>
      </c>
      <c r="T50" s="22">
        <f ca="1">+GETPIVOTDATA("XQT4",'quangthanh (2016)'!$A$3,"MA_HT","NTD","MA_QH","CAN")</f>
        <v>0</v>
      </c>
      <c r="U50" s="22">
        <f ca="1">+GETPIVOTDATA("XQT4",'quangthanh (2016)'!$A$3,"MA_HT","NTD","MA_QH","SKK")</f>
        <v>0</v>
      </c>
      <c r="V50" s="22">
        <f ca="1">+GETPIVOTDATA("XQT4",'quangthanh (2016)'!$A$3,"MA_HT","NTD","MA_QH","SKT")</f>
        <v>0</v>
      </c>
      <c r="W50" s="22">
        <f ca="1">+GETPIVOTDATA("XQT4",'quangthanh (2016)'!$A$3,"MA_HT","NTD","MA_QH","SKN")</f>
        <v>0</v>
      </c>
      <c r="X50" s="22">
        <f ca="1">+GETPIVOTDATA("XQT4",'quangthanh (2016)'!$A$3,"MA_HT","NTD","MA_QH","TMD")</f>
        <v>0</v>
      </c>
      <c r="Y50" s="22">
        <f ca="1">+GETPIVOTDATA("XQT4",'quangthanh (2016)'!$A$3,"MA_HT","NTD","MA_QH","SKC")</f>
        <v>0</v>
      </c>
      <c r="Z50" s="22">
        <f ca="1">+GETPIVOTDATA("XQT4",'quangthanh (2016)'!$A$3,"MA_HT","NTD","MA_QH","SKS")</f>
        <v>0</v>
      </c>
      <c r="AA50" s="52">
        <f ca="1" t="shared" si="21"/>
        <v>0</v>
      </c>
      <c r="AB50" s="22">
        <f ca="1">+GETPIVOTDATA("XQT4",'quangthanh (2016)'!$A$3,"MA_HT","NTD","MA_QH","DGT")</f>
        <v>0</v>
      </c>
      <c r="AC50" s="22">
        <f ca="1">+GETPIVOTDATA("XQT4",'quangthanh (2016)'!$A$3,"MA_HT","NTD","MA_QH","DTL")</f>
        <v>0</v>
      </c>
      <c r="AD50" s="22">
        <f ca="1">+GETPIVOTDATA("XQT4",'quangthanh (2016)'!$A$3,"MA_HT","NTD","MA_QH","DNL")</f>
        <v>0</v>
      </c>
      <c r="AE50" s="22">
        <f ca="1">+GETPIVOTDATA("XQT4",'quangthanh (2016)'!$A$3,"MA_HT","NTD","MA_QH","DBV")</f>
        <v>0</v>
      </c>
      <c r="AF50" s="22">
        <f ca="1">+GETPIVOTDATA("XQT4",'quangthanh (2016)'!$A$3,"MA_HT","NTD","MA_QH","DVH")</f>
        <v>0</v>
      </c>
      <c r="AG50" s="22">
        <f ca="1">+GETPIVOTDATA("XQT4",'quangthanh (2016)'!$A$3,"MA_HT","NTD","MA_QH","DYT")</f>
        <v>0</v>
      </c>
      <c r="AH50" s="22">
        <f ca="1">+GETPIVOTDATA("XQT4",'quangthanh (2016)'!$A$3,"MA_HT","NTD","MA_QH","DGD")</f>
        <v>0</v>
      </c>
      <c r="AI50" s="22">
        <f ca="1">+GETPIVOTDATA("XQT4",'quangthanh (2016)'!$A$3,"MA_HT","NTD","MA_QH","DTT")</f>
        <v>0</v>
      </c>
      <c r="AJ50" s="22">
        <f ca="1">+GETPIVOTDATA("XQT4",'quangthanh (2016)'!$A$3,"MA_HT","NTD","MA_QH","NCK")</f>
        <v>0</v>
      </c>
      <c r="AK50" s="22">
        <f ca="1">+GETPIVOTDATA("XQT4",'quangthanh (2016)'!$A$3,"MA_HT","NTD","MA_QH","DXH")</f>
        <v>0</v>
      </c>
      <c r="AL50" s="22">
        <f ca="1">+GETPIVOTDATA("XQT4",'quangthanh (2016)'!$A$3,"MA_HT","NTD","MA_QH","DCH")</f>
        <v>0</v>
      </c>
      <c r="AM50" s="22">
        <f ca="1">+GETPIVOTDATA("XQT4",'quangthanh (2016)'!$A$3,"MA_HT","NTD","MA_QH","DKG")</f>
        <v>0</v>
      </c>
      <c r="AN50" s="22">
        <f ca="1">+GETPIVOTDATA("XQT4",'quangthanh (2016)'!$A$3,"MA_HT","NTD","MA_QH","DDT")</f>
        <v>0</v>
      </c>
      <c r="AO50" s="22">
        <f ca="1">+GETPIVOTDATA("XQT4",'quangthanh (2016)'!$A$3,"MA_HT","NTD","MA_QH","DDL")</f>
        <v>0</v>
      </c>
      <c r="AP50" s="22">
        <f ca="1">+GETPIVOTDATA("XQT4",'quangthanh (2016)'!$A$3,"MA_HT","NTD","MA_QH","DRA")</f>
        <v>0</v>
      </c>
      <c r="AQ50" s="22">
        <f ca="1">+GETPIVOTDATA("XQT4",'quangthanh (2016)'!$A$3,"MA_HT","NTD","MA_QH","ONT")</f>
        <v>0</v>
      </c>
      <c r="AR50" s="22">
        <f ca="1">+GETPIVOTDATA("XQT4",'quangthanh (2016)'!$A$3,"MA_HT","NTD","MA_QH","ODT")</f>
        <v>0</v>
      </c>
      <c r="AS50" s="22">
        <f ca="1">+GETPIVOTDATA("XQT4",'quangthanh (2016)'!$A$3,"MA_HT","NTD","MA_QH","TSC")</f>
        <v>0</v>
      </c>
      <c r="AT50" s="22">
        <f ca="1">+GETPIVOTDATA("XQT4",'quangthanh (2016)'!$A$3,"MA_HT","NTD","MA_QH","DTS")</f>
        <v>0</v>
      </c>
      <c r="AU50" s="22">
        <f ca="1">+GETPIVOTDATA("XQT4",'quangthanh (2016)'!$A$3,"MA_HT","NTD","MA_QH","DNG")</f>
        <v>0</v>
      </c>
      <c r="AV50" s="22">
        <f ca="1">+GETPIVOTDATA("XQT4",'quangthanh (2016)'!$A$3,"MA_HT","NTD","MA_QH","TON")</f>
        <v>0</v>
      </c>
      <c r="AW50" s="43" t="e">
        <f ca="1">$D50-$BF50</f>
        <v>#REF!</v>
      </c>
      <c r="AX50" s="22">
        <f ca="1">+GETPIVOTDATA("XQT4",'quangthanh (2016)'!$A$3,"MA_HT","NTD","MA_QH","SKX")</f>
        <v>0</v>
      </c>
      <c r="AY50" s="22">
        <f ca="1">+GETPIVOTDATA("XQT4",'quangthanh (2016)'!$A$3,"MA_HT","NTD","MA_QH","DSH")</f>
        <v>0</v>
      </c>
      <c r="AZ50" s="22">
        <f ca="1">+GETPIVOTDATA("XQT4",'quangthanh (2016)'!$A$3,"MA_HT","NTD","MA_QH","DKV")</f>
        <v>0</v>
      </c>
      <c r="BA50" s="89">
        <f ca="1">+GETPIVOTDATA("XQT4",'quangthanh (2016)'!$A$3,"MA_HT","NTD","MA_QH","TIN")</f>
        <v>0</v>
      </c>
      <c r="BB50" s="50">
        <f ca="1">+GETPIVOTDATA("XQT4",'quangthanh (2016)'!$A$3,"MA_HT","NTD","MA_QH","SON")</f>
        <v>0</v>
      </c>
      <c r="BC50" s="50">
        <f ca="1">+GETPIVOTDATA("XQT4",'quangthanh (2016)'!$A$3,"MA_HT","NTD","MA_QH","MNC")</f>
        <v>0</v>
      </c>
      <c r="BD50" s="22">
        <f ca="1">+GETPIVOTDATA("XQT4",'quangthanh (2016)'!$A$3,"MA_HT","NTD","MA_QH","PNK")</f>
        <v>0</v>
      </c>
      <c r="BE50" s="71">
        <f ca="1">+GETPIVOTDATA("XQT4",'quangthanh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+GETPIVOTDATA("XQT4",'quangthanh (2016)'!$A$3,"MA_HT","SKX","MA_QH","LUC")</f>
        <v>0</v>
      </c>
      <c r="H51" s="22">
        <f ca="1">+GETPIVOTDATA("XQT4",'quangthanh (2016)'!$A$3,"MA_HT","SKX","MA_QH","LUK")</f>
        <v>0</v>
      </c>
      <c r="I51" s="22">
        <f ca="1">+GETPIVOTDATA("XQT4",'quangthanh (2016)'!$A$3,"MA_HT","SKX","MA_QH","LUN")</f>
        <v>0</v>
      </c>
      <c r="J51" s="22">
        <f ca="1">+GETPIVOTDATA("XQT4",'quangthanh (2016)'!$A$3,"MA_HT","SKX","MA_QH","HNK")</f>
        <v>0</v>
      </c>
      <c r="K51" s="22">
        <f ca="1">+GETPIVOTDATA("XQT4",'quangthanh (2016)'!$A$3,"MA_HT","SKX","MA_QH","CLN")</f>
        <v>0</v>
      </c>
      <c r="L51" s="22">
        <f ca="1">+GETPIVOTDATA("XQT4",'quangthanh (2016)'!$A$3,"MA_HT","SKX","MA_QH","RSX")</f>
        <v>0</v>
      </c>
      <c r="M51" s="22">
        <f ca="1">+GETPIVOTDATA("XQT4",'quangthanh (2016)'!$A$3,"MA_HT","SKX","MA_QH","RPH")</f>
        <v>0</v>
      </c>
      <c r="N51" s="22">
        <f ca="1">+GETPIVOTDATA("XQT4",'quangthanh (2016)'!$A$3,"MA_HT","SKX","MA_QH","RDD")</f>
        <v>0</v>
      </c>
      <c r="O51" s="22">
        <f ca="1">+GETPIVOTDATA("XQT4",'quangthanh (2016)'!$A$3,"MA_HT","SKX","MA_QH","NTS")</f>
        <v>0</v>
      </c>
      <c r="P51" s="22">
        <f ca="1">+GETPIVOTDATA("XQT4",'quangthanh (2016)'!$A$3,"MA_HT","SKX","MA_QH","LMU")</f>
        <v>0</v>
      </c>
      <c r="Q51" s="22">
        <f ca="1">+GETPIVOTDATA("XQT4",'quangthanh (2016)'!$A$3,"MA_HT","SKX","MA_QH","NKH")</f>
        <v>0</v>
      </c>
      <c r="R51" s="79">
        <f ca="1">SUM(S51:AA51,AN51:AW51,AY51:BD51)</f>
        <v>0</v>
      </c>
      <c r="S51" s="22">
        <f ca="1">+GETPIVOTDATA("XQT4",'quangthanh (2016)'!$A$3,"MA_HT","SKX","MA_QH","CQP")</f>
        <v>0</v>
      </c>
      <c r="T51" s="22">
        <f ca="1">+GETPIVOTDATA("XQT4",'quangthanh (2016)'!$A$3,"MA_HT","SKX","MA_QH","CAN")</f>
        <v>0</v>
      </c>
      <c r="U51" s="22">
        <f ca="1">+GETPIVOTDATA("XQT4",'quangthanh (2016)'!$A$3,"MA_HT","SKX","MA_QH","SKK")</f>
        <v>0</v>
      </c>
      <c r="V51" s="22">
        <f ca="1">+GETPIVOTDATA("XQT4",'quangthanh (2016)'!$A$3,"MA_HT","SKX","MA_QH","SKT")</f>
        <v>0</v>
      </c>
      <c r="W51" s="22">
        <f ca="1">+GETPIVOTDATA("XQT4",'quangthanh (2016)'!$A$3,"MA_HT","SKX","MA_QH","SKN")</f>
        <v>0</v>
      </c>
      <c r="X51" s="22">
        <f ca="1">+GETPIVOTDATA("XQT4",'quangthanh (2016)'!$A$3,"MA_HT","SKX","MA_QH","TMD")</f>
        <v>0</v>
      </c>
      <c r="Y51" s="22">
        <f ca="1">+GETPIVOTDATA("XQT4",'quangthanh (2016)'!$A$3,"MA_HT","SKX","MA_QH","SKC")</f>
        <v>0</v>
      </c>
      <c r="Z51" s="22">
        <f ca="1">+GETPIVOTDATA("XQT4",'quangthanh (2016)'!$A$3,"MA_HT","SKX","MA_QH","SKS")</f>
        <v>0</v>
      </c>
      <c r="AA51" s="52">
        <f ca="1" t="shared" si="21"/>
        <v>0</v>
      </c>
      <c r="AB51" s="22">
        <f ca="1">+GETPIVOTDATA("XQT4",'quangthanh (2016)'!$A$3,"MA_HT","SKX","MA_QH","DGT")</f>
        <v>0</v>
      </c>
      <c r="AC51" s="22">
        <f ca="1">+GETPIVOTDATA("XQT4",'quangthanh (2016)'!$A$3,"MA_HT","SKX","MA_QH","DTL")</f>
        <v>0</v>
      </c>
      <c r="AD51" s="22">
        <f ca="1">+GETPIVOTDATA("XQT4",'quangthanh (2016)'!$A$3,"MA_HT","SKX","MA_QH","DNL")</f>
        <v>0</v>
      </c>
      <c r="AE51" s="22">
        <f ca="1">+GETPIVOTDATA("XQT4",'quangthanh (2016)'!$A$3,"MA_HT","SKX","MA_QH","DBV")</f>
        <v>0</v>
      </c>
      <c r="AF51" s="22">
        <f ca="1">+GETPIVOTDATA("XQT4",'quangthanh (2016)'!$A$3,"MA_HT","SKX","MA_QH","DVH")</f>
        <v>0</v>
      </c>
      <c r="AG51" s="22">
        <f ca="1">+GETPIVOTDATA("XQT4",'quangthanh (2016)'!$A$3,"MA_HT","SKX","MA_QH","DYT")</f>
        <v>0</v>
      </c>
      <c r="AH51" s="22">
        <f ca="1">+GETPIVOTDATA("XQT4",'quangthanh (2016)'!$A$3,"MA_HT","SKX","MA_QH","DGD")</f>
        <v>0</v>
      </c>
      <c r="AI51" s="22">
        <f ca="1">+GETPIVOTDATA("XQT4",'quangthanh (2016)'!$A$3,"MA_HT","SKX","MA_QH","DTT")</f>
        <v>0</v>
      </c>
      <c r="AJ51" s="22">
        <f ca="1">+GETPIVOTDATA("XQT4",'quangthanh (2016)'!$A$3,"MA_HT","SKX","MA_QH","NCK")</f>
        <v>0</v>
      </c>
      <c r="AK51" s="22">
        <f ca="1">+GETPIVOTDATA("XQT4",'quangthanh (2016)'!$A$3,"MA_HT","SKX","MA_QH","DXH")</f>
        <v>0</v>
      </c>
      <c r="AL51" s="22">
        <f ca="1">+GETPIVOTDATA("XQT4",'quangthanh (2016)'!$A$3,"MA_HT","SKX","MA_QH","DCH")</f>
        <v>0</v>
      </c>
      <c r="AM51" s="22">
        <f ca="1">+GETPIVOTDATA("XQT4",'quangthanh (2016)'!$A$3,"MA_HT","SKX","MA_QH","DKG")</f>
        <v>0</v>
      </c>
      <c r="AN51" s="22">
        <f ca="1">+GETPIVOTDATA("XQT4",'quangthanh (2016)'!$A$3,"MA_HT","SKX","MA_QH","DDT")</f>
        <v>0</v>
      </c>
      <c r="AO51" s="22">
        <f ca="1">+GETPIVOTDATA("XQT4",'quangthanh (2016)'!$A$3,"MA_HT","SKX","MA_QH","DDL")</f>
        <v>0</v>
      </c>
      <c r="AP51" s="22">
        <f ca="1">+GETPIVOTDATA("XQT4",'quangthanh (2016)'!$A$3,"MA_HT","SKX","MA_QH","DRA")</f>
        <v>0</v>
      </c>
      <c r="AQ51" s="22">
        <f ca="1">+GETPIVOTDATA("XQT4",'quangthanh (2016)'!$A$3,"MA_HT","SKX","MA_QH","ONT")</f>
        <v>0</v>
      </c>
      <c r="AR51" s="22">
        <f ca="1">+GETPIVOTDATA("XQT4",'quangthanh (2016)'!$A$3,"MA_HT","SKX","MA_QH","ODT")</f>
        <v>0</v>
      </c>
      <c r="AS51" s="22">
        <f ca="1">+GETPIVOTDATA("XQT4",'quangthanh (2016)'!$A$3,"MA_HT","SKX","MA_QH","TSC")</f>
        <v>0</v>
      </c>
      <c r="AT51" s="22">
        <f ca="1">+GETPIVOTDATA("XQT4",'quangthanh (2016)'!$A$3,"MA_HT","SKX","MA_QH","DTS")</f>
        <v>0</v>
      </c>
      <c r="AU51" s="22">
        <f ca="1">+GETPIVOTDATA("XQT4",'quangthanh (2016)'!$A$3,"MA_HT","SKX","MA_QH","DNG")</f>
        <v>0</v>
      </c>
      <c r="AV51" s="22">
        <f ca="1">+GETPIVOTDATA("XQT4",'quangthanh (2016)'!$A$3,"MA_HT","SKX","MA_QH","TON")</f>
        <v>0</v>
      </c>
      <c r="AW51" s="22">
        <f ca="1">+GETPIVOTDATA("XQT4",'quangthanh (2016)'!$A$3,"MA_HT","SKX","MA_QH","NTD")</f>
        <v>0</v>
      </c>
      <c r="AX51" s="43" t="e">
        <f ca="1">$D51-$BF51</f>
        <v>#REF!</v>
      </c>
      <c r="AY51" s="22">
        <f ca="1">+GETPIVOTDATA("XQT4",'quangthanh (2016)'!$A$3,"MA_HT","SKX","MA_QH","DSH")</f>
        <v>0</v>
      </c>
      <c r="AZ51" s="22">
        <f ca="1">+GETPIVOTDATA("XQT4",'quangthanh (2016)'!$A$3,"MA_HT","SKX","MA_QH","DKV")</f>
        <v>0</v>
      </c>
      <c r="BA51" s="89">
        <f ca="1">+GETPIVOTDATA("XQT4",'quangthanh (2016)'!$A$3,"MA_HT","SKX","MA_QH","TIN")</f>
        <v>0</v>
      </c>
      <c r="BB51" s="50">
        <f ca="1">+GETPIVOTDATA("XQT4",'quangthanh (2016)'!$A$3,"MA_HT","SKX","MA_QH","SON")</f>
        <v>0</v>
      </c>
      <c r="BC51" s="50">
        <f ca="1">+GETPIVOTDATA("XQT4",'quangthanh (2016)'!$A$3,"MA_HT","SKX","MA_QH","MNC")</f>
        <v>0</v>
      </c>
      <c r="BD51" s="22">
        <f ca="1">+GETPIVOTDATA("XQT4",'quangthanh (2016)'!$A$3,"MA_HT","SKX","MA_QH","PNK")</f>
        <v>0</v>
      </c>
      <c r="BE51" s="71">
        <f ca="1">+GETPIVOTDATA("XQT4",'quangthanh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+GETPIVOTDATA("XQT4",'quangthanh (2016)'!$A$3,"MA_HT","DSH","MA_QH","LUC")</f>
        <v>0</v>
      </c>
      <c r="H52" s="22">
        <f ca="1">+GETPIVOTDATA("XQT4",'quangthanh (2016)'!$A$3,"MA_HT","DSH","MA_QH","LUK")</f>
        <v>0</v>
      </c>
      <c r="I52" s="22">
        <f ca="1">+GETPIVOTDATA("XQT4",'quangthanh (2016)'!$A$3,"MA_HT","DSH","MA_QH","LUN")</f>
        <v>0</v>
      </c>
      <c r="J52" s="22">
        <f ca="1">+GETPIVOTDATA("XQT4",'quangthanh (2016)'!$A$3,"MA_HT","DSH","MA_QH","HNK")</f>
        <v>0</v>
      </c>
      <c r="K52" s="22">
        <f ca="1">+GETPIVOTDATA("XQT4",'quangthanh (2016)'!$A$3,"MA_HT","DSH","MA_QH","CLN")</f>
        <v>0</v>
      </c>
      <c r="L52" s="22">
        <f ca="1">+GETPIVOTDATA("XQT4",'quangthanh (2016)'!$A$3,"MA_HT","DSH","MA_QH","RSX")</f>
        <v>0</v>
      </c>
      <c r="M52" s="22">
        <f ca="1">+GETPIVOTDATA("XQT4",'quangthanh (2016)'!$A$3,"MA_HT","DSH","MA_QH","RPH")</f>
        <v>0</v>
      </c>
      <c r="N52" s="22">
        <f ca="1">+GETPIVOTDATA("XQT4",'quangthanh (2016)'!$A$3,"MA_HT","DSH","MA_QH","RDD")</f>
        <v>0</v>
      </c>
      <c r="O52" s="22">
        <f ca="1">+GETPIVOTDATA("XQT4",'quangthanh (2016)'!$A$3,"MA_HT","DSH","MA_QH","NTS")</f>
        <v>0</v>
      </c>
      <c r="P52" s="22">
        <f ca="1">+GETPIVOTDATA("XQT4",'quangthanh (2016)'!$A$3,"MA_HT","DSH","MA_QH","LMU")</f>
        <v>0</v>
      </c>
      <c r="Q52" s="22">
        <f ca="1">+GETPIVOTDATA("XQT4",'quangthanh (2016)'!$A$3,"MA_HT","DSH","MA_QH","NKH")</f>
        <v>0</v>
      </c>
      <c r="R52" s="79">
        <f ca="1">SUM(S52:AA52,AN52:AX52,AZ52:BD52)</f>
        <v>0</v>
      </c>
      <c r="S52" s="22">
        <f ca="1">+GETPIVOTDATA("XQT4",'quangthanh (2016)'!$A$3,"MA_HT","DSH","MA_QH","CQP")</f>
        <v>0</v>
      </c>
      <c r="T52" s="22">
        <f ca="1">+GETPIVOTDATA("XQT4",'quangthanh (2016)'!$A$3,"MA_HT","DSH","MA_QH","CAN")</f>
        <v>0</v>
      </c>
      <c r="U52" s="22">
        <f ca="1">+GETPIVOTDATA("XQT4",'quangthanh (2016)'!$A$3,"MA_HT","DSH","MA_QH","SKK")</f>
        <v>0</v>
      </c>
      <c r="V52" s="22">
        <f ca="1">+GETPIVOTDATA("XQT4",'quangthanh (2016)'!$A$3,"MA_HT","DSH","MA_QH","SKT")</f>
        <v>0</v>
      </c>
      <c r="W52" s="22">
        <f ca="1">+GETPIVOTDATA("XQT4",'quangthanh (2016)'!$A$3,"MA_HT","DSH","MA_QH","SKN")</f>
        <v>0</v>
      </c>
      <c r="X52" s="22">
        <f ca="1">+GETPIVOTDATA("XQT4",'quangthanh (2016)'!$A$3,"MA_HT","DSH","MA_QH","TMD")</f>
        <v>0</v>
      </c>
      <c r="Y52" s="22">
        <f ca="1">+GETPIVOTDATA("XQT4",'quangthanh (2016)'!$A$3,"MA_HT","DSH","MA_QH","SKC")</f>
        <v>0</v>
      </c>
      <c r="Z52" s="22">
        <f ca="1">+GETPIVOTDATA("XQT4",'quangthanh (2016)'!$A$3,"MA_HT","DSH","MA_QH","SKS")</f>
        <v>0</v>
      </c>
      <c r="AA52" s="52">
        <f ca="1" t="shared" si="21"/>
        <v>0</v>
      </c>
      <c r="AB52" s="22">
        <f ca="1">+GETPIVOTDATA("XQT4",'quangthanh (2016)'!$A$3,"MA_HT","DSH","MA_QH","DGT")</f>
        <v>0</v>
      </c>
      <c r="AC52" s="22">
        <f ca="1">+GETPIVOTDATA("XQT4",'quangthanh (2016)'!$A$3,"MA_HT","DSH","MA_QH","DTL")</f>
        <v>0</v>
      </c>
      <c r="AD52" s="22">
        <f ca="1">+GETPIVOTDATA("XQT4",'quangthanh (2016)'!$A$3,"MA_HT","DSH","MA_QH","DNL")</f>
        <v>0</v>
      </c>
      <c r="AE52" s="22">
        <f ca="1">+GETPIVOTDATA("XQT4",'quangthanh (2016)'!$A$3,"MA_HT","DSH","MA_QH","DBV")</f>
        <v>0</v>
      </c>
      <c r="AF52" s="22">
        <f ca="1">+GETPIVOTDATA("XQT4",'quangthanh (2016)'!$A$3,"MA_HT","DSH","MA_QH","DVH")</f>
        <v>0</v>
      </c>
      <c r="AG52" s="22">
        <f ca="1">+GETPIVOTDATA("XQT4",'quangthanh (2016)'!$A$3,"MA_HT","DSH","MA_QH","DYT")</f>
        <v>0</v>
      </c>
      <c r="AH52" s="22">
        <f ca="1">+GETPIVOTDATA("XQT4",'quangthanh (2016)'!$A$3,"MA_HT","DSH","MA_QH","DGD")</f>
        <v>0</v>
      </c>
      <c r="AI52" s="22">
        <f ca="1">+GETPIVOTDATA("XQT4",'quangthanh (2016)'!$A$3,"MA_HT","DSH","MA_QH","DTT")</f>
        <v>0</v>
      </c>
      <c r="AJ52" s="22">
        <f ca="1">+GETPIVOTDATA("XQT4",'quangthanh (2016)'!$A$3,"MA_HT","DSH","MA_QH","NCK")</f>
        <v>0</v>
      </c>
      <c r="AK52" s="22">
        <f ca="1">+GETPIVOTDATA("XQT4",'quangthanh (2016)'!$A$3,"MA_HT","DSH","MA_QH","DXH")</f>
        <v>0</v>
      </c>
      <c r="AL52" s="22">
        <f ca="1">+GETPIVOTDATA("XQT4",'quangthanh (2016)'!$A$3,"MA_HT","DSH","MA_QH","DCH")</f>
        <v>0</v>
      </c>
      <c r="AM52" s="22">
        <f ca="1">+GETPIVOTDATA("XQT4",'quangthanh (2016)'!$A$3,"MA_HT","DSH","MA_QH","DKG")</f>
        <v>0</v>
      </c>
      <c r="AN52" s="22">
        <f ca="1">+GETPIVOTDATA("XQT4",'quangthanh (2016)'!$A$3,"MA_HT","DSH","MA_QH","DDT")</f>
        <v>0</v>
      </c>
      <c r="AO52" s="22">
        <f ca="1">+GETPIVOTDATA("XQT4",'quangthanh (2016)'!$A$3,"MA_HT","DSH","MA_QH","DDL")</f>
        <v>0</v>
      </c>
      <c r="AP52" s="22">
        <f ca="1">+GETPIVOTDATA("XQT4",'quangthanh (2016)'!$A$3,"MA_HT","DSH","MA_QH","DRA")</f>
        <v>0</v>
      </c>
      <c r="AQ52" s="22">
        <f ca="1">+GETPIVOTDATA("XQT4",'quangthanh (2016)'!$A$3,"MA_HT","DSH","MA_QH","ONT")</f>
        <v>0</v>
      </c>
      <c r="AR52" s="22">
        <f ca="1">+GETPIVOTDATA("XQT4",'quangthanh (2016)'!$A$3,"MA_HT","DSH","MA_QH","ODT")</f>
        <v>0</v>
      </c>
      <c r="AS52" s="22">
        <f ca="1">+GETPIVOTDATA("XQT4",'quangthanh (2016)'!$A$3,"MA_HT","DSH","MA_QH","TSC")</f>
        <v>0</v>
      </c>
      <c r="AT52" s="22">
        <f ca="1">+GETPIVOTDATA("XQT4",'quangthanh (2016)'!$A$3,"MA_HT","DSH","MA_QH","DTS")</f>
        <v>0</v>
      </c>
      <c r="AU52" s="22">
        <f ca="1">+GETPIVOTDATA("XQT4",'quangthanh (2016)'!$A$3,"MA_HT","DSH","MA_QH","DNG")</f>
        <v>0</v>
      </c>
      <c r="AV52" s="22">
        <f ca="1">+GETPIVOTDATA("XQT4",'quangthanh (2016)'!$A$3,"MA_HT","DSH","MA_QH","TON")</f>
        <v>0</v>
      </c>
      <c r="AW52" s="22">
        <f ca="1">+GETPIVOTDATA("XQT4",'quangthanh (2016)'!$A$3,"MA_HT","DSH","MA_QH","NTD")</f>
        <v>0</v>
      </c>
      <c r="AX52" s="22">
        <f ca="1">+GETPIVOTDATA("XQT4",'quangthanh (2016)'!$A$3,"MA_HT","DSH","MA_QH","SKX")</f>
        <v>0</v>
      </c>
      <c r="AY52" s="43" t="e">
        <f ca="1">$D52-$BF52</f>
        <v>#REF!</v>
      </c>
      <c r="AZ52" s="22">
        <f ca="1">+GETPIVOTDATA("XQT4",'quangthanh (2016)'!$A$3,"MA_HT","DSH","MA_QH","DKV")</f>
        <v>0</v>
      </c>
      <c r="BA52" s="89">
        <f ca="1">+GETPIVOTDATA("XQT4",'quangthanh (2016)'!$A$3,"MA_HT","DSH","MA_QH","TIN")</f>
        <v>0</v>
      </c>
      <c r="BB52" s="50">
        <f ca="1">+GETPIVOTDATA("XQT4",'quangthanh (2016)'!$A$3,"MA_HT","DSH","MA_QH","SON")</f>
        <v>0</v>
      </c>
      <c r="BC52" s="50">
        <f ca="1">+GETPIVOTDATA("XQT4",'quangthanh (2016)'!$A$3,"MA_HT","DSH","MA_QH","MNC")</f>
        <v>0</v>
      </c>
      <c r="BD52" s="22">
        <f ca="1">+GETPIVOTDATA("XQT4",'quangthanh (2016)'!$A$3,"MA_HT","DSH","MA_QH","PNK")</f>
        <v>0</v>
      </c>
      <c r="BE52" s="71">
        <f ca="1">+GETPIVOTDATA("XQT4",'quangthanh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+GETPIVOTDATA("XQT4",'quangthanh (2016)'!$A$3,"MA_HT","DKV","MA_QH","LUC")</f>
        <v>0</v>
      </c>
      <c r="H53" s="22">
        <f ca="1">+GETPIVOTDATA("XQT4",'quangthanh (2016)'!$A$3,"MA_HT","DKV","MA_QH","LUK")</f>
        <v>0</v>
      </c>
      <c r="I53" s="22">
        <f ca="1">+GETPIVOTDATA("XQT4",'quangthanh (2016)'!$A$3,"MA_HT","DKV","MA_QH","LUN")</f>
        <v>0</v>
      </c>
      <c r="J53" s="22">
        <f ca="1">+GETPIVOTDATA("XQT4",'quangthanh (2016)'!$A$3,"MA_HT","DKV","MA_QH","HNK")</f>
        <v>0</v>
      </c>
      <c r="K53" s="22">
        <f ca="1">+GETPIVOTDATA("XQT4",'quangthanh (2016)'!$A$3,"MA_HT","DKV","MA_QH","CLN")</f>
        <v>0</v>
      </c>
      <c r="L53" s="22">
        <f ca="1">+GETPIVOTDATA("XQT4",'quangthanh (2016)'!$A$3,"MA_HT","DKV","MA_QH","RSX")</f>
        <v>0</v>
      </c>
      <c r="M53" s="22">
        <f ca="1">+GETPIVOTDATA("XQT4",'quangthanh (2016)'!$A$3,"MA_HT","DKV","MA_QH","RPH")</f>
        <v>0</v>
      </c>
      <c r="N53" s="22">
        <f ca="1">+GETPIVOTDATA("XQT4",'quangthanh (2016)'!$A$3,"MA_HT","DKV","MA_QH","RDD")</f>
        <v>0</v>
      </c>
      <c r="O53" s="22">
        <f ca="1">+GETPIVOTDATA("XQT4",'quangthanh (2016)'!$A$3,"MA_HT","DKV","MA_QH","NTS")</f>
        <v>0</v>
      </c>
      <c r="P53" s="22">
        <f ca="1">+GETPIVOTDATA("XQT4",'quangthanh (2016)'!$A$3,"MA_HT","DKV","MA_QH","LMU")</f>
        <v>0</v>
      </c>
      <c r="Q53" s="22">
        <f ca="1">+GETPIVOTDATA("XQT4",'quangthanh (2016)'!$A$3,"MA_HT","DKV","MA_QH","NKH")</f>
        <v>0</v>
      </c>
      <c r="R53" s="79">
        <f ca="1">SUM(S53:AA53,AN53:AY53,BB53:BD53)</f>
        <v>0</v>
      </c>
      <c r="S53" s="22">
        <f ca="1">+GETPIVOTDATA("XQT4",'quangthanh (2016)'!$A$3,"MA_HT","DKV","MA_QH","CQP")</f>
        <v>0</v>
      </c>
      <c r="T53" s="22">
        <f ca="1">+GETPIVOTDATA("XQT4",'quangthanh (2016)'!$A$3,"MA_HT","DKV","MA_QH","CAN")</f>
        <v>0</v>
      </c>
      <c r="U53" s="22">
        <f ca="1">+GETPIVOTDATA("XQT4",'quangthanh (2016)'!$A$3,"MA_HT","DKV","MA_QH","SKK")</f>
        <v>0</v>
      </c>
      <c r="V53" s="22">
        <f ca="1">+GETPIVOTDATA("XQT4",'quangthanh (2016)'!$A$3,"MA_HT","DKV","MA_QH","SKT")</f>
        <v>0</v>
      </c>
      <c r="W53" s="22">
        <f ca="1">+GETPIVOTDATA("XQT4",'quangthanh (2016)'!$A$3,"MA_HT","DKV","MA_QH","SKN")</f>
        <v>0</v>
      </c>
      <c r="X53" s="22">
        <f ca="1">+GETPIVOTDATA("XQT4",'quangthanh (2016)'!$A$3,"MA_HT","DKV","MA_QH","TMD")</f>
        <v>0</v>
      </c>
      <c r="Y53" s="22">
        <f ca="1">+GETPIVOTDATA("XQT4",'quangthanh (2016)'!$A$3,"MA_HT","DKV","MA_QH","SKC")</f>
        <v>0</v>
      </c>
      <c r="Z53" s="22">
        <f ca="1">+GETPIVOTDATA("XQT4",'quangthanh (2016)'!$A$3,"MA_HT","DKV","MA_QH","SKS")</f>
        <v>0</v>
      </c>
      <c r="AA53" s="52">
        <f ca="1" t="shared" si="21"/>
        <v>0</v>
      </c>
      <c r="AB53" s="22">
        <f ca="1">+GETPIVOTDATA("XQT4",'quangthanh (2016)'!$A$3,"MA_HT","DKV","MA_QH","DGT")</f>
        <v>0</v>
      </c>
      <c r="AC53" s="22">
        <f ca="1">+GETPIVOTDATA("XQT4",'quangthanh (2016)'!$A$3,"MA_HT","DKV","MA_QH","DTL")</f>
        <v>0</v>
      </c>
      <c r="AD53" s="22">
        <f ca="1">+GETPIVOTDATA("XQT4",'quangthanh (2016)'!$A$3,"MA_HT","DKV","MA_QH","DNL")</f>
        <v>0</v>
      </c>
      <c r="AE53" s="22">
        <f ca="1">+GETPIVOTDATA("XQT4",'quangthanh (2016)'!$A$3,"MA_HT","DKV","MA_QH","DBV")</f>
        <v>0</v>
      </c>
      <c r="AF53" s="22">
        <f ca="1">+GETPIVOTDATA("XQT4",'quangthanh (2016)'!$A$3,"MA_HT","DKV","MA_QH","DVH")</f>
        <v>0</v>
      </c>
      <c r="AG53" s="22">
        <f ca="1">+GETPIVOTDATA("XQT4",'quangthanh (2016)'!$A$3,"MA_HT","DKV","MA_QH","DYT")</f>
        <v>0</v>
      </c>
      <c r="AH53" s="22">
        <f ca="1">+GETPIVOTDATA("XQT4",'quangthanh (2016)'!$A$3,"MA_HT","DKV","MA_QH","DGD")</f>
        <v>0</v>
      </c>
      <c r="AI53" s="22">
        <f ca="1">+GETPIVOTDATA("XQT4",'quangthanh (2016)'!$A$3,"MA_HT","DKV","MA_QH","DTT")</f>
        <v>0</v>
      </c>
      <c r="AJ53" s="22">
        <f ca="1">+GETPIVOTDATA("XQT4",'quangthanh (2016)'!$A$3,"MA_HT","DKV","MA_QH","NCK")</f>
        <v>0</v>
      </c>
      <c r="AK53" s="22">
        <f ca="1">+GETPIVOTDATA("XQT4",'quangthanh (2016)'!$A$3,"MA_HT","DKV","MA_QH","DXH")</f>
        <v>0</v>
      </c>
      <c r="AL53" s="22">
        <f ca="1">+GETPIVOTDATA("XQT4",'quangthanh (2016)'!$A$3,"MA_HT","DKV","MA_QH","DCH")</f>
        <v>0</v>
      </c>
      <c r="AM53" s="22">
        <f ca="1">+GETPIVOTDATA("XQT4",'quangthanh (2016)'!$A$3,"MA_HT","DKV","MA_QH","DKG")</f>
        <v>0</v>
      </c>
      <c r="AN53" s="22">
        <f ca="1">+GETPIVOTDATA("XQT4",'quangthanh (2016)'!$A$3,"MA_HT","DKV","MA_QH","DDT")</f>
        <v>0</v>
      </c>
      <c r="AO53" s="22">
        <f ca="1">+GETPIVOTDATA("XQT4",'quangthanh (2016)'!$A$3,"MA_HT","DKV","MA_QH","DDL")</f>
        <v>0</v>
      </c>
      <c r="AP53" s="22">
        <f ca="1">+GETPIVOTDATA("XQT4",'quangthanh (2016)'!$A$3,"MA_HT","DKV","MA_QH","DRA")</f>
        <v>0</v>
      </c>
      <c r="AQ53" s="22">
        <f ca="1">+GETPIVOTDATA("XQT4",'quangthanh (2016)'!$A$3,"MA_HT","DKV","MA_QH","ONT")</f>
        <v>0</v>
      </c>
      <c r="AR53" s="22">
        <f ca="1">+GETPIVOTDATA("XQT4",'quangthanh (2016)'!$A$3,"MA_HT","DKV","MA_QH","ODT")</f>
        <v>0</v>
      </c>
      <c r="AS53" s="22">
        <f ca="1">+GETPIVOTDATA("XQT4",'quangthanh (2016)'!$A$3,"MA_HT","DKV","MA_QH","TSC")</f>
        <v>0</v>
      </c>
      <c r="AT53" s="22">
        <f ca="1">+GETPIVOTDATA("XQT4",'quangthanh (2016)'!$A$3,"MA_HT","DKV","MA_QH","DTS")</f>
        <v>0</v>
      </c>
      <c r="AU53" s="22">
        <f ca="1">+GETPIVOTDATA("XQT4",'quangthanh (2016)'!$A$3,"MA_HT","DKV","MA_QH","DNG")</f>
        <v>0</v>
      </c>
      <c r="AV53" s="22">
        <f ca="1">+GETPIVOTDATA("XQT4",'quangthanh (2016)'!$A$3,"MA_HT","DKV","MA_QH","TON")</f>
        <v>0</v>
      </c>
      <c r="AW53" s="22">
        <f ca="1">+GETPIVOTDATA("XQT4",'quangthanh (2016)'!$A$3,"MA_HT","DKV","MA_QH","NTD")</f>
        <v>0</v>
      </c>
      <c r="AX53" s="22">
        <f ca="1">+GETPIVOTDATA("XQT4",'quangthanh (2016)'!$A$3,"MA_HT","DKV","MA_QH","SKX")</f>
        <v>0</v>
      </c>
      <c r="AY53" s="22">
        <f ca="1">+GETPIVOTDATA("XQT4",'quangthanh (2016)'!$A$3,"MA_HT","DKV","MA_QH","DSH")</f>
        <v>0</v>
      </c>
      <c r="AZ53" s="43" t="e">
        <f ca="1">$D53-$BF53</f>
        <v>#REF!</v>
      </c>
      <c r="BA53" s="89">
        <f ca="1">+GETPIVOTDATA("XQT4",'quangthanh (2016)'!$A$3,"MA_HT","DKV","MA_QH","TIN")</f>
        <v>0</v>
      </c>
      <c r="BB53" s="50">
        <f ca="1">+GETPIVOTDATA("XQT4",'quangthanh (2016)'!$A$3,"MA_HT","DKV","MA_QH","SON")</f>
        <v>0</v>
      </c>
      <c r="BC53" s="50">
        <f ca="1">+GETPIVOTDATA("XQT4",'quangthanh (2016)'!$A$3,"MA_HT","DKV","MA_QH","MNC")</f>
        <v>0</v>
      </c>
      <c r="BD53" s="22">
        <f ca="1">+GETPIVOTDATA("XQT4",'quangthanh (2016)'!$A$3,"MA_HT","DKV","MA_QH","PNK")</f>
        <v>0</v>
      </c>
      <c r="BE53" s="71">
        <f ca="1">+GETPIVOTDATA("XQT4",'quangthanh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+GETPIVOTDATA("XQT4",'quangthanh (2016)'!$A$3,"MA_HT","TIN","MA_QH","LUC")</f>
        <v>0</v>
      </c>
      <c r="H54" s="22">
        <f ca="1">+GETPIVOTDATA("XQT4",'quangthanh (2016)'!$A$3,"MA_HT","TIN","MA_QH","LUK")</f>
        <v>0</v>
      </c>
      <c r="I54" s="22">
        <f ca="1">+GETPIVOTDATA("XQT4",'quangthanh (2016)'!$A$3,"MA_HT","TIN","MA_QH","LUN")</f>
        <v>0</v>
      </c>
      <c r="J54" s="22">
        <f ca="1">+GETPIVOTDATA("XQT4",'quangthanh (2016)'!$A$3,"MA_HT","TIN","MA_QH","HNK")</f>
        <v>0</v>
      </c>
      <c r="K54" s="22">
        <f ca="1">+GETPIVOTDATA("XQT4",'quangthanh (2016)'!$A$3,"MA_HT","TIN","MA_QH","CLN")</f>
        <v>0</v>
      </c>
      <c r="L54" s="22">
        <f ca="1">+GETPIVOTDATA("XQT4",'quangthanh (2016)'!$A$3,"MA_HT","TIN","MA_QH","RSX")</f>
        <v>0</v>
      </c>
      <c r="M54" s="22">
        <f ca="1">+GETPIVOTDATA("XQT4",'quangthanh (2016)'!$A$3,"MA_HT","TIN","MA_QH","RPH")</f>
        <v>0</v>
      </c>
      <c r="N54" s="22">
        <f ca="1">+GETPIVOTDATA("XQT4",'quangthanh (2016)'!$A$3,"MA_HT","TIN","MA_QH","RDD")</f>
        <v>0</v>
      </c>
      <c r="O54" s="22">
        <f ca="1">+GETPIVOTDATA("XQT4",'quangthanh (2016)'!$A$3,"MA_HT","TIN","MA_QH","NTS")</f>
        <v>0</v>
      </c>
      <c r="P54" s="22">
        <f ca="1">+GETPIVOTDATA("XQT4",'quangthanh (2016)'!$A$3,"MA_HT","TIN","MA_QH","LMU")</f>
        <v>0</v>
      </c>
      <c r="Q54" s="22">
        <f ca="1">+GETPIVOTDATA("XQT4",'quangthanh (2016)'!$A$3,"MA_HT","TIN","MA_QH","NKH")</f>
        <v>0</v>
      </c>
      <c r="R54" s="79">
        <f ca="1">SUM(S54:AA54,AN54:AZ54,BB54:BD54)</f>
        <v>0</v>
      </c>
      <c r="S54" s="22">
        <f ca="1">+GETPIVOTDATA("XQT4",'quangthanh (2016)'!$A$3,"MA_HT","TIN","MA_QH","CQP")</f>
        <v>0</v>
      </c>
      <c r="T54" s="22">
        <f ca="1">+GETPIVOTDATA("XQT4",'quangthanh (2016)'!$A$3,"MA_HT","TIN","MA_QH","CAN")</f>
        <v>0</v>
      </c>
      <c r="U54" s="22">
        <f ca="1">+GETPIVOTDATA("XQT4",'quangthanh (2016)'!$A$3,"MA_HT","TIN","MA_QH","SKK")</f>
        <v>0</v>
      </c>
      <c r="V54" s="22">
        <f ca="1">+GETPIVOTDATA("XQT4",'quangthanh (2016)'!$A$3,"MA_HT","TIN","MA_QH","SKT")</f>
        <v>0</v>
      </c>
      <c r="W54" s="22">
        <f ca="1">+GETPIVOTDATA("XQT4",'quangthanh (2016)'!$A$3,"MA_HT","TIN","MA_QH","SKN")</f>
        <v>0</v>
      </c>
      <c r="X54" s="22">
        <f ca="1">+GETPIVOTDATA("XQT4",'quangthanh (2016)'!$A$3,"MA_HT","TIN","MA_QH","TMD")</f>
        <v>0</v>
      </c>
      <c r="Y54" s="22">
        <f ca="1">+GETPIVOTDATA("XQT4",'quangthanh (2016)'!$A$3,"MA_HT","TIN","MA_QH","SKC")</f>
        <v>0</v>
      </c>
      <c r="Z54" s="22">
        <f ca="1">+GETPIVOTDATA("XQT4",'quangthanh (2016)'!$A$3,"MA_HT","TIN","MA_QH","SKS")</f>
        <v>0</v>
      </c>
      <c r="AA54" s="52">
        <f ca="1" t="shared" si="21"/>
        <v>0</v>
      </c>
      <c r="AB54" s="22">
        <f ca="1">+GETPIVOTDATA("XQT4",'quangthanh (2016)'!$A$3,"MA_HT","TIN","MA_QH","DGT")</f>
        <v>0</v>
      </c>
      <c r="AC54" s="22">
        <f ca="1">+GETPIVOTDATA("XQT4",'quangthanh (2016)'!$A$3,"MA_HT","TIN","MA_QH","DTL")</f>
        <v>0</v>
      </c>
      <c r="AD54" s="22">
        <f ca="1">+GETPIVOTDATA("XQT4",'quangthanh (2016)'!$A$3,"MA_HT","TIN","MA_QH","DNL")</f>
        <v>0</v>
      </c>
      <c r="AE54" s="22">
        <f ca="1">+GETPIVOTDATA("XQT4",'quangthanh (2016)'!$A$3,"MA_HT","TIN","MA_QH","DBV")</f>
        <v>0</v>
      </c>
      <c r="AF54" s="22">
        <f ca="1">+GETPIVOTDATA("XQT4",'quangthanh (2016)'!$A$3,"MA_HT","TIN","MA_QH","DVH")</f>
        <v>0</v>
      </c>
      <c r="AG54" s="22">
        <f ca="1">+GETPIVOTDATA("XQT4",'quangthanh (2016)'!$A$3,"MA_HT","TIN","MA_QH","DYT")</f>
        <v>0</v>
      </c>
      <c r="AH54" s="22">
        <f ca="1">+GETPIVOTDATA("XQT4",'quangthanh (2016)'!$A$3,"MA_HT","TIN","MA_QH","DGD")</f>
        <v>0</v>
      </c>
      <c r="AI54" s="22">
        <f ca="1">+GETPIVOTDATA("XQT4",'quangthanh (2016)'!$A$3,"MA_HT","TIN","MA_QH","DTT")</f>
        <v>0</v>
      </c>
      <c r="AJ54" s="22">
        <f ca="1">+GETPIVOTDATA("XQT4",'quangthanh (2016)'!$A$3,"MA_HT","TIN","MA_QH","NCK")</f>
        <v>0</v>
      </c>
      <c r="AK54" s="22">
        <f ca="1">+GETPIVOTDATA("XQT4",'quangthanh (2016)'!$A$3,"MA_HT","TIN","MA_QH","DXH")</f>
        <v>0</v>
      </c>
      <c r="AL54" s="22">
        <f ca="1">+GETPIVOTDATA("XQT4",'quangthanh (2016)'!$A$3,"MA_HT","TIN","MA_QH","DCH")</f>
        <v>0</v>
      </c>
      <c r="AM54" s="22">
        <f ca="1">+GETPIVOTDATA("XQT4",'quangthanh (2016)'!$A$3,"MA_HT","TIN","MA_QH","DKG")</f>
        <v>0</v>
      </c>
      <c r="AN54" s="22">
        <f ca="1">+GETPIVOTDATA("XQT4",'quangthanh (2016)'!$A$3,"MA_HT","TIN","MA_QH","DDT")</f>
        <v>0</v>
      </c>
      <c r="AO54" s="22">
        <f ca="1">+GETPIVOTDATA("XQT4",'quangthanh (2016)'!$A$3,"MA_HT","TIN","MA_QH","DDL")</f>
        <v>0</v>
      </c>
      <c r="AP54" s="22">
        <f ca="1">+GETPIVOTDATA("XQT4",'quangthanh (2016)'!$A$3,"MA_HT","TIN","MA_QH","DRA")</f>
        <v>0</v>
      </c>
      <c r="AQ54" s="22">
        <f ca="1">+GETPIVOTDATA("XQT4",'quangthanh (2016)'!$A$3,"MA_HT","TIN","MA_QH","ONT")</f>
        <v>0</v>
      </c>
      <c r="AR54" s="22">
        <f ca="1">+GETPIVOTDATA("XQT4",'quangthanh (2016)'!$A$3,"MA_HT","TIN","MA_QH","ODT")</f>
        <v>0</v>
      </c>
      <c r="AS54" s="22">
        <f ca="1">+GETPIVOTDATA("XQT4",'quangthanh (2016)'!$A$3,"MA_HT","TIN","MA_QH","TSC")</f>
        <v>0</v>
      </c>
      <c r="AT54" s="22">
        <f ca="1">+GETPIVOTDATA("XQT4",'quangthanh (2016)'!$A$3,"MA_HT","TIN","MA_QH","DTS")</f>
        <v>0</v>
      </c>
      <c r="AU54" s="22">
        <f ca="1">+GETPIVOTDATA("XQT4",'quangthanh (2016)'!$A$3,"MA_HT","TIN","MA_QH","DNG")</f>
        <v>0</v>
      </c>
      <c r="AV54" s="22">
        <f ca="1">+GETPIVOTDATA("XQT4",'quangthanh (2016)'!$A$3,"MA_HT","TIN","MA_QH","TON")</f>
        <v>0</v>
      </c>
      <c r="AW54" s="22">
        <f ca="1">+GETPIVOTDATA("XQT4",'quangthanh (2016)'!$A$3,"MA_HT","TIN","MA_QH","NTD")</f>
        <v>0</v>
      </c>
      <c r="AX54" s="22">
        <f ca="1">+GETPIVOTDATA("XQT4",'quangthanh (2016)'!$A$3,"MA_HT","TIN","MA_QH","SKX")</f>
        <v>0</v>
      </c>
      <c r="AY54" s="22">
        <f ca="1">+GETPIVOTDATA("XQT4",'quangthanh (2016)'!$A$3,"MA_HT","TIN","MA_QH","DSH")</f>
        <v>0</v>
      </c>
      <c r="AZ54" s="22">
        <f ca="1">+GETPIVOTDATA("XQT4",'quangthanh (2016)'!$A$3,"MA_HT","TIN","MA_QH","DKV")</f>
        <v>0</v>
      </c>
      <c r="BA54" s="43" t="e">
        <f ca="1">$D54-$BF54</f>
        <v>#REF!</v>
      </c>
      <c r="BB54" s="22">
        <f ca="1">+GETPIVOTDATA("XQT4",'quangthanh (2016)'!$A$3,"MA_HT","TIN","MA_QH","SON")</f>
        <v>0</v>
      </c>
      <c r="BC54" s="22">
        <f ca="1">+GETPIVOTDATA("XQT4",'quangthanh (2016)'!$A$3,"MA_HT","TIN","MA_QH","MNC")</f>
        <v>0</v>
      </c>
      <c r="BD54" s="22">
        <f ca="1">+GETPIVOTDATA("XQT4",'quangthanh (2016)'!$A$3,"MA_HT","TIN","MA_QH","PNK")</f>
        <v>0</v>
      </c>
      <c r="BE54" s="71">
        <f ca="1">+GETPIVOTDATA("XQT4",'quangthanh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+GETPIVOTDATA("XQT4",'quangthanh (2016)'!$A$3,"MA_HT","SON","MA_QH","LUC")</f>
        <v>0</v>
      </c>
      <c r="H55" s="22">
        <f ca="1">+GETPIVOTDATA("XQT4",'quangthanh (2016)'!$A$3,"MA_HT","SON","MA_QH","LUK")</f>
        <v>0</v>
      </c>
      <c r="I55" s="22">
        <f ca="1">+GETPIVOTDATA("XQT4",'quangthanh (2016)'!$A$3,"MA_HT","SON","MA_QH","LUN")</f>
        <v>0</v>
      </c>
      <c r="J55" s="22">
        <f ca="1">+GETPIVOTDATA("XQT4",'quangthanh (2016)'!$A$3,"MA_HT","SON","MA_QH","HNK")</f>
        <v>0</v>
      </c>
      <c r="K55" s="22">
        <f ca="1">+GETPIVOTDATA("XQT4",'quangthanh (2016)'!$A$3,"MA_HT","SON","MA_QH","CLN")</f>
        <v>0</v>
      </c>
      <c r="L55" s="22">
        <f ca="1">+GETPIVOTDATA("XQT4",'quangthanh (2016)'!$A$3,"MA_HT","SON","MA_QH","RSX")</f>
        <v>0</v>
      </c>
      <c r="M55" s="22">
        <f ca="1">+GETPIVOTDATA("XQT4",'quangthanh (2016)'!$A$3,"MA_HT","SON","MA_QH","RPH")</f>
        <v>0</v>
      </c>
      <c r="N55" s="22">
        <f ca="1">+GETPIVOTDATA("XQT4",'quangthanh (2016)'!$A$3,"MA_HT","SON","MA_QH","RDD")</f>
        <v>0</v>
      </c>
      <c r="O55" s="22">
        <f ca="1">+GETPIVOTDATA("XQT4",'quangthanh (2016)'!$A$3,"MA_HT","SON","MA_QH","NTS")</f>
        <v>0</v>
      </c>
      <c r="P55" s="22">
        <f ca="1">+GETPIVOTDATA("XQT4",'quangthanh (2016)'!$A$3,"MA_HT","SON","MA_QH","LMU")</f>
        <v>0</v>
      </c>
      <c r="Q55" s="22">
        <f ca="1">+GETPIVOTDATA("XQT4",'quangthanh (2016)'!$A$3,"MA_HT","SON","MA_QH","NKH")</f>
        <v>0</v>
      </c>
      <c r="R55" s="79">
        <f ca="1">SUM(S55:AA55,AN55:AZ55,BC55:BD55)</f>
        <v>0</v>
      </c>
      <c r="S55" s="22">
        <f ca="1">+GETPIVOTDATA("XQT4",'quangthanh (2016)'!$A$3,"MA_HT","SON","MA_QH","CQP")</f>
        <v>0</v>
      </c>
      <c r="T55" s="22">
        <f ca="1">+GETPIVOTDATA("XQT4",'quangthanh (2016)'!$A$3,"MA_HT","SON","MA_QH","CAN")</f>
        <v>0</v>
      </c>
      <c r="U55" s="22">
        <f ca="1">+GETPIVOTDATA("XQT4",'quangthanh (2016)'!$A$3,"MA_HT","SON","MA_QH","SKK")</f>
        <v>0</v>
      </c>
      <c r="V55" s="22">
        <f ca="1">+GETPIVOTDATA("XQT4",'quangthanh (2016)'!$A$3,"MA_HT","SON","MA_QH","SKT")</f>
        <v>0</v>
      </c>
      <c r="W55" s="22">
        <f ca="1">+GETPIVOTDATA("XQT4",'quangthanh (2016)'!$A$3,"MA_HT","SON","MA_QH","SKN")</f>
        <v>0</v>
      </c>
      <c r="X55" s="22">
        <f ca="1">+GETPIVOTDATA("XQT4",'quangthanh (2016)'!$A$3,"MA_HT","SON","MA_QH","TMD")</f>
        <v>0</v>
      </c>
      <c r="Y55" s="22">
        <f ca="1">+GETPIVOTDATA("XQT4",'quangthanh (2016)'!$A$3,"MA_HT","SON","MA_QH","SKC")</f>
        <v>0</v>
      </c>
      <c r="Z55" s="22">
        <f ca="1">+GETPIVOTDATA("XQT4",'quangthanh (2016)'!$A$3,"MA_HT","SON","MA_QH","SKS")</f>
        <v>0</v>
      </c>
      <c r="AA55" s="52">
        <f ca="1" t="shared" si="21"/>
        <v>0</v>
      </c>
      <c r="AB55" s="22">
        <f ca="1">+GETPIVOTDATA("XQT4",'quangthanh (2016)'!$A$3,"MA_HT","SON","MA_QH","DGT")</f>
        <v>0</v>
      </c>
      <c r="AC55" s="22">
        <f ca="1">+GETPIVOTDATA("XQT4",'quangthanh (2016)'!$A$3,"MA_HT","SON","MA_QH","DTL")</f>
        <v>0</v>
      </c>
      <c r="AD55" s="22">
        <f ca="1">+GETPIVOTDATA("XQT4",'quangthanh (2016)'!$A$3,"MA_HT","SON","MA_QH","DNL")</f>
        <v>0</v>
      </c>
      <c r="AE55" s="22">
        <f ca="1">+GETPIVOTDATA("XQT4",'quangthanh (2016)'!$A$3,"MA_HT","SON","MA_QH","DBV")</f>
        <v>0</v>
      </c>
      <c r="AF55" s="22">
        <f ca="1">+GETPIVOTDATA("XQT4",'quangthanh (2016)'!$A$3,"MA_HT","SON","MA_QH","DVH")</f>
        <v>0</v>
      </c>
      <c r="AG55" s="22">
        <f ca="1">+GETPIVOTDATA("XQT4",'quangthanh (2016)'!$A$3,"MA_HT","SON","MA_QH","DYT")</f>
        <v>0</v>
      </c>
      <c r="AH55" s="22">
        <f ca="1">+GETPIVOTDATA("XQT4",'quangthanh (2016)'!$A$3,"MA_HT","SON","MA_QH","DGD")</f>
        <v>0</v>
      </c>
      <c r="AI55" s="22">
        <f ca="1">+GETPIVOTDATA("XQT4",'quangthanh (2016)'!$A$3,"MA_HT","SON","MA_QH","DTT")</f>
        <v>0</v>
      </c>
      <c r="AJ55" s="22">
        <f ca="1">+GETPIVOTDATA("XQT4",'quangthanh (2016)'!$A$3,"MA_HT","SON","MA_QH","NCK")</f>
        <v>0</v>
      </c>
      <c r="AK55" s="22">
        <f ca="1">+GETPIVOTDATA("XQT4",'quangthanh (2016)'!$A$3,"MA_HT","SON","MA_QH","DXH")</f>
        <v>0</v>
      </c>
      <c r="AL55" s="22">
        <f ca="1">+GETPIVOTDATA("XQT4",'quangthanh (2016)'!$A$3,"MA_HT","SON","MA_QH","DCH")</f>
        <v>0</v>
      </c>
      <c r="AM55" s="22">
        <f ca="1">+GETPIVOTDATA("XQT4",'quangthanh (2016)'!$A$3,"MA_HT","SON","MA_QH","DKG")</f>
        <v>0</v>
      </c>
      <c r="AN55" s="22">
        <f ca="1">+GETPIVOTDATA("XQT4",'quangthanh (2016)'!$A$3,"MA_HT","SON","MA_QH","DDT")</f>
        <v>0</v>
      </c>
      <c r="AO55" s="22">
        <f ca="1">+GETPIVOTDATA("XQT4",'quangthanh (2016)'!$A$3,"MA_HT","SON","MA_QH","DDL")</f>
        <v>0</v>
      </c>
      <c r="AP55" s="22">
        <f ca="1">+GETPIVOTDATA("XQT4",'quangthanh (2016)'!$A$3,"MA_HT","SON","MA_QH","DRA")</f>
        <v>0</v>
      </c>
      <c r="AQ55" s="22">
        <f ca="1">+GETPIVOTDATA("XQT4",'quangthanh (2016)'!$A$3,"MA_HT","SON","MA_QH","ONT")</f>
        <v>0</v>
      </c>
      <c r="AR55" s="22">
        <f ca="1">+GETPIVOTDATA("XQT4",'quangthanh (2016)'!$A$3,"MA_HT","SON","MA_QH","ODT")</f>
        <v>0</v>
      </c>
      <c r="AS55" s="22">
        <f ca="1">+GETPIVOTDATA("XQT4",'quangthanh (2016)'!$A$3,"MA_HT","SON","MA_QH","TSC")</f>
        <v>0</v>
      </c>
      <c r="AT55" s="22">
        <f ca="1">+GETPIVOTDATA("XQT4",'quangthanh (2016)'!$A$3,"MA_HT","SON","MA_QH","DTS")</f>
        <v>0</v>
      </c>
      <c r="AU55" s="22">
        <f ca="1">+GETPIVOTDATA("XQT4",'quangthanh (2016)'!$A$3,"MA_HT","SON","MA_QH","DNG")</f>
        <v>0</v>
      </c>
      <c r="AV55" s="22">
        <f ca="1">+GETPIVOTDATA("XQT4",'quangthanh (2016)'!$A$3,"MA_HT","SON","MA_QH","TON")</f>
        <v>0</v>
      </c>
      <c r="AW55" s="22">
        <f ca="1">+GETPIVOTDATA("XQT4",'quangthanh (2016)'!$A$3,"MA_HT","SON","MA_QH","NTD")</f>
        <v>0</v>
      </c>
      <c r="AX55" s="22">
        <f ca="1">+GETPIVOTDATA("XQT4",'quangthanh (2016)'!$A$3,"MA_HT","SON","MA_QH","SKX")</f>
        <v>0</v>
      </c>
      <c r="AY55" s="22">
        <f ca="1">+GETPIVOTDATA("XQT4",'quangthanh (2016)'!$A$3,"MA_HT","SON","MA_QH","DSH")</f>
        <v>0</v>
      </c>
      <c r="AZ55" s="22">
        <f ca="1">+GETPIVOTDATA("XQT4",'quangthanh (2016)'!$A$3,"MA_HT","SON","MA_QH","DKV")</f>
        <v>0</v>
      </c>
      <c r="BA55" s="89">
        <f ca="1">+GETPIVOTDATA("XQT4",'quangthanh (2016)'!$A$3,"MA_HT","SON","MA_QH","TIN")</f>
        <v>0</v>
      </c>
      <c r="BB55" s="43" t="e">
        <f ca="1">$D55-$BF55</f>
        <v>#REF!</v>
      </c>
      <c r="BC55" s="50">
        <f ca="1">+GETPIVOTDATA("XQT4",'quangthanh (2016)'!$A$3,"MA_HT","SON","MA_QH","MNC")</f>
        <v>0</v>
      </c>
      <c r="BD55" s="22">
        <f ca="1">+GETPIVOTDATA("XQT4",'quangthanh (2016)'!$A$3,"MA_HT","SON","MA_QH","PNK")</f>
        <v>0</v>
      </c>
      <c r="BE55" s="71">
        <f ca="1">+GETPIVOTDATA("XQT4",'quangthanh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+GETPIVOTDATA("XQT4",'quangthanh (2016)'!$A$3,"MA_HT","MNC","MA_QH","LUC")</f>
        <v>0</v>
      </c>
      <c r="H56" s="22">
        <f ca="1">+GETPIVOTDATA("XQT4",'quangthanh (2016)'!$A$3,"MA_HT","MNC","MA_QH","LUK")</f>
        <v>0</v>
      </c>
      <c r="I56" s="22">
        <f ca="1">+GETPIVOTDATA("XQT4",'quangthanh (2016)'!$A$3,"MA_HT","MNC","MA_QH","LUN")</f>
        <v>0</v>
      </c>
      <c r="J56" s="22">
        <f ca="1">+GETPIVOTDATA("XQT4",'quangthanh (2016)'!$A$3,"MA_HT","MNC","MA_QH","HNK")</f>
        <v>0</v>
      </c>
      <c r="K56" s="22">
        <f ca="1">+GETPIVOTDATA("XQT4",'quangthanh (2016)'!$A$3,"MA_HT","MNC","MA_QH","CLN")</f>
        <v>0</v>
      </c>
      <c r="L56" s="22">
        <f ca="1">+GETPIVOTDATA("XQT4",'quangthanh (2016)'!$A$3,"MA_HT","MNC","MA_QH","RSX")</f>
        <v>0</v>
      </c>
      <c r="M56" s="22">
        <f ca="1">+GETPIVOTDATA("XQT4",'quangthanh (2016)'!$A$3,"MA_HT","MNC","MA_QH","RPH")</f>
        <v>0</v>
      </c>
      <c r="N56" s="22">
        <f ca="1">+GETPIVOTDATA("XQT4",'quangthanh (2016)'!$A$3,"MA_HT","MNC","MA_QH","RDD")</f>
        <v>0</v>
      </c>
      <c r="O56" s="22">
        <f ca="1">+GETPIVOTDATA("XQT4",'quangthanh (2016)'!$A$3,"MA_HT","MNC","MA_QH","NTS")</f>
        <v>0</v>
      </c>
      <c r="P56" s="22">
        <f ca="1">+GETPIVOTDATA("XQT4",'quangthanh (2016)'!$A$3,"MA_HT","MNC","MA_QH","LMU")</f>
        <v>0</v>
      </c>
      <c r="Q56" s="22">
        <f ca="1">+GETPIVOTDATA("XQT4",'quangthanh (2016)'!$A$3,"MA_HT","MNC","MA_QH","NKH")</f>
        <v>0</v>
      </c>
      <c r="R56" s="79">
        <f ca="1">SUM(S56:AA56,AN56:BB56,BD56)</f>
        <v>0</v>
      </c>
      <c r="S56" s="22">
        <f ca="1">+GETPIVOTDATA("XQT4",'quangthanh (2016)'!$A$3,"MA_HT","MNC","MA_QH","CQP")</f>
        <v>0</v>
      </c>
      <c r="T56" s="22">
        <f ca="1">+GETPIVOTDATA("XQT4",'quangthanh (2016)'!$A$3,"MA_HT","MNC","MA_QH","CAN")</f>
        <v>0</v>
      </c>
      <c r="U56" s="22">
        <f ca="1">+GETPIVOTDATA("XQT4",'quangthanh (2016)'!$A$3,"MA_HT","MNC","MA_QH","SKK")</f>
        <v>0</v>
      </c>
      <c r="V56" s="22">
        <f ca="1">+GETPIVOTDATA("XQT4",'quangthanh (2016)'!$A$3,"MA_HT","MNC","MA_QH","SKT")</f>
        <v>0</v>
      </c>
      <c r="W56" s="22">
        <f ca="1">+GETPIVOTDATA("XQT4",'quangthanh (2016)'!$A$3,"MA_HT","MNC","MA_QH","SKN")</f>
        <v>0</v>
      </c>
      <c r="X56" s="22">
        <f ca="1">+GETPIVOTDATA("XQT4",'quangthanh (2016)'!$A$3,"MA_HT","MNC","MA_QH","TMD")</f>
        <v>0</v>
      </c>
      <c r="Y56" s="22">
        <f ca="1">+GETPIVOTDATA("XQT4",'quangthanh (2016)'!$A$3,"MA_HT","MNC","MA_QH","SKC")</f>
        <v>0</v>
      </c>
      <c r="Z56" s="22">
        <f ca="1">+GETPIVOTDATA("XQT4",'quangthanh (2016)'!$A$3,"MA_HT","MNC","MA_QH","SKS")</f>
        <v>0</v>
      </c>
      <c r="AA56" s="52">
        <f ca="1" t="shared" si="21"/>
        <v>0</v>
      </c>
      <c r="AB56" s="22">
        <f ca="1">+GETPIVOTDATA("XQT4",'quangthanh (2016)'!$A$3,"MA_HT","MNC","MA_QH","DGT")</f>
        <v>0</v>
      </c>
      <c r="AC56" s="22">
        <f ca="1">+GETPIVOTDATA("XQT4",'quangthanh (2016)'!$A$3,"MA_HT","MNC","MA_QH","DTL")</f>
        <v>0</v>
      </c>
      <c r="AD56" s="22">
        <f ca="1">+GETPIVOTDATA("XQT4",'quangthanh (2016)'!$A$3,"MA_HT","MNC","MA_QH","DNL")</f>
        <v>0</v>
      </c>
      <c r="AE56" s="22">
        <f ca="1">+GETPIVOTDATA("XQT4",'quangthanh (2016)'!$A$3,"MA_HT","MNC","MA_QH","DBV")</f>
        <v>0</v>
      </c>
      <c r="AF56" s="22">
        <f ca="1">+GETPIVOTDATA("XQT4",'quangthanh (2016)'!$A$3,"MA_HT","MNC","MA_QH","DVH")</f>
        <v>0</v>
      </c>
      <c r="AG56" s="22">
        <f ca="1">+GETPIVOTDATA("XQT4",'quangthanh (2016)'!$A$3,"MA_HT","MNC","MA_QH","DYT")</f>
        <v>0</v>
      </c>
      <c r="AH56" s="22">
        <f ca="1">+GETPIVOTDATA("XQT4",'quangthanh (2016)'!$A$3,"MA_HT","MNC","MA_QH","DGD")</f>
        <v>0</v>
      </c>
      <c r="AI56" s="22">
        <f ca="1">+GETPIVOTDATA("XQT4",'quangthanh (2016)'!$A$3,"MA_HT","MNC","MA_QH","DTT")</f>
        <v>0</v>
      </c>
      <c r="AJ56" s="22">
        <f ca="1">+GETPIVOTDATA("XQT4",'quangthanh (2016)'!$A$3,"MA_HT","MNC","MA_QH","NCK")</f>
        <v>0</v>
      </c>
      <c r="AK56" s="22">
        <f ca="1">+GETPIVOTDATA("XQT4",'quangthanh (2016)'!$A$3,"MA_HT","MNC","MA_QH","DXH")</f>
        <v>0</v>
      </c>
      <c r="AL56" s="22">
        <f ca="1">+GETPIVOTDATA("XQT4",'quangthanh (2016)'!$A$3,"MA_HT","MNC","MA_QH","DCH")</f>
        <v>0</v>
      </c>
      <c r="AM56" s="22">
        <f ca="1">+GETPIVOTDATA("XQT4",'quangthanh (2016)'!$A$3,"MA_HT","MNC","MA_QH","DKG")</f>
        <v>0</v>
      </c>
      <c r="AN56" s="22">
        <f ca="1">+GETPIVOTDATA("XQT4",'quangthanh (2016)'!$A$3,"MA_HT","MNC","MA_QH","DDT")</f>
        <v>0</v>
      </c>
      <c r="AO56" s="22">
        <f ca="1">+GETPIVOTDATA("XQT4",'quangthanh (2016)'!$A$3,"MA_HT","MNC","MA_QH","DDL")</f>
        <v>0</v>
      </c>
      <c r="AP56" s="22">
        <f ca="1">+GETPIVOTDATA("XQT4",'quangthanh (2016)'!$A$3,"MA_HT","MNC","MA_QH","DRA")</f>
        <v>0</v>
      </c>
      <c r="AQ56" s="22">
        <f ca="1">+GETPIVOTDATA("XQT4",'quangthanh (2016)'!$A$3,"MA_HT","MNC","MA_QH","ONT")</f>
        <v>0</v>
      </c>
      <c r="AR56" s="22">
        <f ca="1">+GETPIVOTDATA("XQT4",'quangthanh (2016)'!$A$3,"MA_HT","MNC","MA_QH","ODT")</f>
        <v>0</v>
      </c>
      <c r="AS56" s="22">
        <f ca="1">+GETPIVOTDATA("XQT4",'quangthanh (2016)'!$A$3,"MA_HT","MNC","MA_QH","TSC")</f>
        <v>0</v>
      </c>
      <c r="AT56" s="22">
        <f ca="1">+GETPIVOTDATA("XQT4",'quangthanh (2016)'!$A$3,"MA_HT","MNC","MA_QH","DTS")</f>
        <v>0</v>
      </c>
      <c r="AU56" s="22">
        <f ca="1">+GETPIVOTDATA("XQT4",'quangthanh (2016)'!$A$3,"MA_HT","MNC","MA_QH","DNG")</f>
        <v>0</v>
      </c>
      <c r="AV56" s="22">
        <f ca="1">+GETPIVOTDATA("XQT4",'quangthanh (2016)'!$A$3,"MA_HT","MNC","MA_QH","TON")</f>
        <v>0</v>
      </c>
      <c r="AW56" s="22">
        <f ca="1">+GETPIVOTDATA("XQT4",'quangthanh (2016)'!$A$3,"MA_HT","MNC","MA_QH","NTD")</f>
        <v>0</v>
      </c>
      <c r="AX56" s="22">
        <f ca="1">+GETPIVOTDATA("XQT4",'quangthanh (2016)'!$A$3,"MA_HT","MNC","MA_QH","SKX")</f>
        <v>0</v>
      </c>
      <c r="AY56" s="22">
        <f ca="1">+GETPIVOTDATA("XQT4",'quangthanh (2016)'!$A$3,"MA_HT","MNC","MA_QH","DSH")</f>
        <v>0</v>
      </c>
      <c r="AZ56" s="22">
        <f ca="1">+GETPIVOTDATA("XQT4",'quangthanh (2016)'!$A$3,"MA_HT","MNC","MA_QH","DKV")</f>
        <v>0</v>
      </c>
      <c r="BA56" s="89">
        <f ca="1">+GETPIVOTDATA("XQT4",'quangthanh (2016)'!$A$3,"MA_HT","MNC","MA_QH","TIN")</f>
        <v>0</v>
      </c>
      <c r="BB56" s="50">
        <f ca="1">+GETPIVOTDATA("XQT4",'quangthanh (2016)'!$A$3,"MA_HT","MNC","MA_QH","SON")</f>
        <v>0</v>
      </c>
      <c r="BC56" s="43" t="e">
        <f ca="1">$D56-$BF56</f>
        <v>#REF!</v>
      </c>
      <c r="BD56" s="22">
        <f ca="1">+GETPIVOTDATA("XQT4",'quangthanh (2016)'!$A$3,"MA_HT","MNC","MA_QH","PNK")</f>
        <v>0</v>
      </c>
      <c r="BE56" s="71">
        <f ca="1">+GETPIVOTDATA("XQT4",'quangthanh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+GETPIVOTDATA("XQT4",'quangthanh (2016)'!$A$3,"MA_HT","PNK","MA_QH","LUC")</f>
        <v>0</v>
      </c>
      <c r="H57" s="22">
        <f ca="1">+GETPIVOTDATA("XQT4",'quangthanh (2016)'!$A$3,"MA_HT","PNK","MA_QH","LUK")</f>
        <v>0</v>
      </c>
      <c r="I57" s="22">
        <f ca="1">+GETPIVOTDATA("XQT4",'quangthanh (2016)'!$A$3,"MA_HT","PNK","MA_QH","LUN")</f>
        <v>0</v>
      </c>
      <c r="J57" s="22">
        <f ca="1">+GETPIVOTDATA("XQT4",'quangthanh (2016)'!$A$3,"MA_HT","PNK","MA_QH","HNK")</f>
        <v>0</v>
      </c>
      <c r="K57" s="22">
        <f ca="1">+GETPIVOTDATA("XQT4",'quangthanh (2016)'!$A$3,"MA_HT","PNK","MA_QH","CLN")</f>
        <v>0</v>
      </c>
      <c r="L57" s="22">
        <f ca="1">+GETPIVOTDATA("XQT4",'quangthanh (2016)'!$A$3,"MA_HT","PNK","MA_QH","RSX")</f>
        <v>0</v>
      </c>
      <c r="M57" s="22">
        <f ca="1">+GETPIVOTDATA("XQT4",'quangthanh (2016)'!$A$3,"MA_HT","PNK","MA_QH","RPH")</f>
        <v>0</v>
      </c>
      <c r="N57" s="22">
        <f ca="1">+GETPIVOTDATA("XQT4",'quangthanh (2016)'!$A$3,"MA_HT","PNK","MA_QH","RDD")</f>
        <v>0</v>
      </c>
      <c r="O57" s="22">
        <f ca="1">+GETPIVOTDATA("XQT4",'quangthanh (2016)'!$A$3,"MA_HT","PNK","MA_QH","NTS")</f>
        <v>0</v>
      </c>
      <c r="P57" s="22">
        <f ca="1">+GETPIVOTDATA("XQT4",'quangthanh (2016)'!$A$3,"MA_HT","PNK","MA_QH","LMU")</f>
        <v>0</v>
      </c>
      <c r="Q57" s="22">
        <f ca="1">+GETPIVOTDATA("XQT4",'quangthanh (2016)'!$A$3,"MA_HT","PNK","MA_QH","NKH")</f>
        <v>0</v>
      </c>
      <c r="R57" s="79">
        <f ca="1">SUM(S57:AA57,AN57:BC57)</f>
        <v>0</v>
      </c>
      <c r="S57" s="22">
        <f ca="1">+GETPIVOTDATA("XQT4",'quangthanh (2016)'!$A$3,"MA_HT","PNK","MA_QH","CQP")</f>
        <v>0</v>
      </c>
      <c r="T57" s="22">
        <f ca="1">+GETPIVOTDATA("XQT4",'quangthanh (2016)'!$A$3,"MA_HT","PNK","MA_QH","CAN")</f>
        <v>0</v>
      </c>
      <c r="U57" s="22">
        <f ca="1">+GETPIVOTDATA("XQT4",'quangthanh (2016)'!$A$3,"MA_HT","PNK","MA_QH","SKK")</f>
        <v>0</v>
      </c>
      <c r="V57" s="22">
        <f ca="1">+GETPIVOTDATA("XQT4",'quangthanh (2016)'!$A$3,"MA_HT","PNK","MA_QH","SKT")</f>
        <v>0</v>
      </c>
      <c r="W57" s="22">
        <f ca="1">+GETPIVOTDATA("XQT4",'quangthanh (2016)'!$A$3,"MA_HT","PNK","MA_QH","SKN")</f>
        <v>0</v>
      </c>
      <c r="X57" s="22">
        <f ca="1">+GETPIVOTDATA("XQT4",'quangthanh (2016)'!$A$3,"MA_HT","PNK","MA_QH","TMD")</f>
        <v>0</v>
      </c>
      <c r="Y57" s="22">
        <f ca="1">+GETPIVOTDATA("XQT4",'quangthanh (2016)'!$A$3,"MA_HT","PNK","MA_QH","SKC")</f>
        <v>0</v>
      </c>
      <c r="Z57" s="22">
        <f ca="1">+GETPIVOTDATA("XQT4",'quangthanh (2016)'!$A$3,"MA_HT","PNK","MA_QH","SKS")</f>
        <v>0</v>
      </c>
      <c r="AA57" s="52">
        <f ca="1" t="shared" si="21"/>
        <v>0</v>
      </c>
      <c r="AB57" s="22">
        <f ca="1">+GETPIVOTDATA("XQT4",'quangthanh (2016)'!$A$3,"MA_HT","PNK","MA_QH","DGT")</f>
        <v>0</v>
      </c>
      <c r="AC57" s="22">
        <f ca="1">+GETPIVOTDATA("XQT4",'quangthanh (2016)'!$A$3,"MA_HT","PNK","MA_QH","DTL")</f>
        <v>0</v>
      </c>
      <c r="AD57" s="22">
        <f ca="1">+GETPIVOTDATA("XQT4",'quangthanh (2016)'!$A$3,"MA_HT","PNK","MA_QH","DNL")</f>
        <v>0</v>
      </c>
      <c r="AE57" s="22">
        <f ca="1">+GETPIVOTDATA("XQT4",'quangthanh (2016)'!$A$3,"MA_HT","PNK","MA_QH","DBV")</f>
        <v>0</v>
      </c>
      <c r="AF57" s="22">
        <f ca="1">+GETPIVOTDATA("XQT4",'quangthanh (2016)'!$A$3,"MA_HT","PNK","MA_QH","DVH")</f>
        <v>0</v>
      </c>
      <c r="AG57" s="22">
        <f ca="1">+GETPIVOTDATA("XQT4",'quangthanh (2016)'!$A$3,"MA_HT","PNK","MA_QH","DYT")</f>
        <v>0</v>
      </c>
      <c r="AH57" s="22">
        <f ca="1">+GETPIVOTDATA("XQT4",'quangthanh (2016)'!$A$3,"MA_HT","PNK","MA_QH","DGD")</f>
        <v>0</v>
      </c>
      <c r="AI57" s="22">
        <f ca="1">+GETPIVOTDATA("XQT4",'quangthanh (2016)'!$A$3,"MA_HT","PNK","MA_QH","DTT")</f>
        <v>0</v>
      </c>
      <c r="AJ57" s="22">
        <f ca="1">+GETPIVOTDATA("XQT4",'quangthanh (2016)'!$A$3,"MA_HT","PNK","MA_QH","NCK")</f>
        <v>0</v>
      </c>
      <c r="AK57" s="22">
        <f ca="1">+GETPIVOTDATA("XQT4",'quangthanh (2016)'!$A$3,"MA_HT","PNK","MA_QH","DXH")</f>
        <v>0</v>
      </c>
      <c r="AL57" s="22">
        <f ca="1">+GETPIVOTDATA("XQT4",'quangthanh (2016)'!$A$3,"MA_HT","PNK","MA_QH","DCH")</f>
        <v>0</v>
      </c>
      <c r="AM57" s="22">
        <f ca="1">+GETPIVOTDATA("XQT4",'quangthanh (2016)'!$A$3,"MA_HT","PNK","MA_QH","DKG")</f>
        <v>0</v>
      </c>
      <c r="AN57" s="22">
        <f ca="1">+GETPIVOTDATA("XQT4",'quangthanh (2016)'!$A$3,"MA_HT","PNK","MA_QH","DDT")</f>
        <v>0</v>
      </c>
      <c r="AO57" s="22">
        <f ca="1">+GETPIVOTDATA("XQT4",'quangthanh (2016)'!$A$3,"MA_HT","PNK","MA_QH","DDL")</f>
        <v>0</v>
      </c>
      <c r="AP57" s="22">
        <f ca="1">+GETPIVOTDATA("XQT4",'quangthanh (2016)'!$A$3,"MA_HT","PNK","MA_QH","DRA")</f>
        <v>0</v>
      </c>
      <c r="AQ57" s="22">
        <f ca="1">+GETPIVOTDATA("XQT4",'quangthanh (2016)'!$A$3,"MA_HT","PNK","MA_QH","ONT")</f>
        <v>0</v>
      </c>
      <c r="AR57" s="22">
        <f ca="1">+GETPIVOTDATA("XQT4",'quangthanh (2016)'!$A$3,"MA_HT","PNK","MA_QH","ODT")</f>
        <v>0</v>
      </c>
      <c r="AS57" s="22">
        <f ca="1">+GETPIVOTDATA("XQT4",'quangthanh (2016)'!$A$3,"MA_HT","PNK","MA_QH","TSC")</f>
        <v>0</v>
      </c>
      <c r="AT57" s="22">
        <f ca="1">+GETPIVOTDATA("XQT4",'quangthanh (2016)'!$A$3,"MA_HT","PNK","MA_QH","DTS")</f>
        <v>0</v>
      </c>
      <c r="AU57" s="22">
        <f ca="1">+GETPIVOTDATA("XQT4",'quangthanh (2016)'!$A$3,"MA_HT","PNK","MA_QH","DNG")</f>
        <v>0</v>
      </c>
      <c r="AV57" s="22">
        <f ca="1">+GETPIVOTDATA("XQT4",'quangthanh (2016)'!$A$3,"MA_HT","PNK","MA_QH","TON")</f>
        <v>0</v>
      </c>
      <c r="AW57" s="22">
        <f ca="1">+GETPIVOTDATA("XQT4",'quangthanh (2016)'!$A$3,"MA_HT","PNK","MA_QH","NTD")</f>
        <v>0</v>
      </c>
      <c r="AX57" s="22">
        <f ca="1">+GETPIVOTDATA("XQT4",'quangthanh (2016)'!$A$3,"MA_HT","PNK","MA_QH","SKX")</f>
        <v>0</v>
      </c>
      <c r="AY57" s="22">
        <f ca="1">+GETPIVOTDATA("XQT4",'quangthanh (2016)'!$A$3,"MA_HT","PNK","MA_QH","DSH")</f>
        <v>0</v>
      </c>
      <c r="AZ57" s="22">
        <f ca="1">+GETPIVOTDATA("XQT4",'quangthanh (2016)'!$A$3,"MA_HT","PNK","MA_QH","DKV")</f>
        <v>0</v>
      </c>
      <c r="BA57" s="89">
        <f ca="1">+GETPIVOTDATA("XQT4",'quangthanh (2016)'!$A$3,"MA_HT","PNK","MA_QH","TIN")</f>
        <v>0</v>
      </c>
      <c r="BB57" s="50">
        <f ca="1">+GETPIVOTDATA("XQT4",'quangthanh (2016)'!$A$3,"MA_HT","PNK","MA_QH","SON")</f>
        <v>0</v>
      </c>
      <c r="BC57" s="50">
        <f ca="1">+GETPIVOTDATA("XQT4",'quangthanh (2016)'!$A$3,"MA_HT","PNK","MA_QH","MNC")</f>
        <v>0</v>
      </c>
      <c r="BD57" s="43" t="e">
        <f ca="1">$D57-$BF57</f>
        <v>#REF!</v>
      </c>
      <c r="BE57" s="71">
        <f ca="1">+GETPIVOTDATA("XQT4",'quangthanh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+GETPIVOTDATA("XQT4",'quangthanh (2016)'!$A$3,"MA_HT","CSD","MA_QH","LUC")</f>
        <v>0</v>
      </c>
      <c r="H58" s="71">
        <f ca="1">+GETPIVOTDATA("XQT4",'quangthanh (2016)'!$A$3,"MA_HT","CSD","MA_QH","LUK")</f>
        <v>0</v>
      </c>
      <c r="I58" s="71">
        <f ca="1">+GETPIVOTDATA("XQT4",'quangthanh (2016)'!$A$3,"MA_HT","CSD","MA_QH","LUN")</f>
        <v>0</v>
      </c>
      <c r="J58" s="71">
        <f ca="1">+GETPIVOTDATA("XQT4",'quangthanh (2016)'!$A$3,"MA_HT","CSD","MA_QH","HNK")</f>
        <v>0</v>
      </c>
      <c r="K58" s="71">
        <f ca="1">+GETPIVOTDATA("XQT4",'quangthanh (2016)'!$A$3,"MA_HT","CSD","MA_QH","CLN")</f>
        <v>0</v>
      </c>
      <c r="L58" s="71">
        <f ca="1">+GETPIVOTDATA("XQT4",'quangthanh (2016)'!$A$3,"MA_HT","CSD","MA_QH","RSX")</f>
        <v>0</v>
      </c>
      <c r="M58" s="71">
        <f ca="1">+GETPIVOTDATA("XQT4",'quangthanh (2016)'!$A$3,"MA_HT","CSD","MA_QH","RPH")</f>
        <v>0</v>
      </c>
      <c r="N58" s="71">
        <f ca="1">+GETPIVOTDATA("XQT4",'quangthanh (2016)'!$A$3,"MA_HT","CSD","MA_QH","RDD")</f>
        <v>0</v>
      </c>
      <c r="O58" s="71">
        <f ca="1">+GETPIVOTDATA("XQT4",'quangthanh (2016)'!$A$3,"MA_HT","CSD","MA_QH","NTS")</f>
        <v>0</v>
      </c>
      <c r="P58" s="71">
        <f ca="1">+GETPIVOTDATA("XQT4",'quangthanh (2016)'!$A$3,"MA_HT","CSD","MA_QH","LMU")</f>
        <v>0</v>
      </c>
      <c r="Q58" s="71">
        <f ca="1">+GETPIVOTDATA("XQT4",'quangthanh (2016)'!$A$3,"MA_HT","CSD","MA_QH","NKH")</f>
        <v>0</v>
      </c>
      <c r="R58" s="79">
        <f ca="1">SUM(S58:AA58,AN58:BD58)</f>
        <v>0</v>
      </c>
      <c r="S58" s="80">
        <f ca="1">+GETPIVOTDATA("XQT4",'quangthanh (2016)'!$A$3,"MA_HT","CSD","MA_QH","CQP")</f>
        <v>0</v>
      </c>
      <c r="T58" s="80">
        <f ca="1">+GETPIVOTDATA("XQT4",'quangthanh (2016)'!$A$3,"MA_HT","CSD","MA_QH","CAN")</f>
        <v>0</v>
      </c>
      <c r="U58" s="71">
        <f ca="1">+GETPIVOTDATA("XQT4",'quangthanh (2016)'!$A$3,"MA_HT","CSD","MA_QH","SKK")</f>
        <v>0</v>
      </c>
      <c r="V58" s="71">
        <f ca="1">+GETPIVOTDATA("XQT4",'quangthanh (2016)'!$A$3,"MA_HT","CSD","MA_QH","SKT")</f>
        <v>0</v>
      </c>
      <c r="W58" s="71">
        <f ca="1">+GETPIVOTDATA("XQT4",'quangthanh (2016)'!$A$3,"MA_HT","CSD","MA_QH","SKN")</f>
        <v>0</v>
      </c>
      <c r="X58" s="71">
        <f ca="1">+GETPIVOTDATA("XQT4",'quangthanh (2016)'!$A$3,"MA_HT","CSD","MA_QH","TMD")</f>
        <v>0</v>
      </c>
      <c r="Y58" s="71">
        <f ca="1">+GETPIVOTDATA("XQT4",'quangthanh (2016)'!$A$3,"MA_HT","CSD","MA_QH","SKC")</f>
        <v>0</v>
      </c>
      <c r="Z58" s="71">
        <f ca="1">+GETPIVOTDATA("XQT4",'quangthanh (2016)'!$A$3,"MA_HT","CSD","MA_QH","SKS")</f>
        <v>0</v>
      </c>
      <c r="AA58" s="52">
        <f ca="1" t="shared" si="21"/>
        <v>0</v>
      </c>
      <c r="AB58" s="80">
        <f ca="1">+GETPIVOTDATA("XQT4",'quangthanh (2016)'!$A$3,"MA_HT","CSD","MA_QH","DGT")</f>
        <v>0</v>
      </c>
      <c r="AC58" s="80">
        <f ca="1">+GETPIVOTDATA("XQT4",'quangthanh (2016)'!$A$3,"MA_HT","CSD","MA_QH","DTL")</f>
        <v>0</v>
      </c>
      <c r="AD58" s="80">
        <f ca="1">+GETPIVOTDATA("XQT4",'quangthanh (2016)'!$A$3,"MA_HT","CSD","MA_QH","DNL")</f>
        <v>0</v>
      </c>
      <c r="AE58" s="80">
        <f ca="1">+GETPIVOTDATA("XQT4",'quangthanh (2016)'!$A$3,"MA_HT","CSD","MA_QH","DBV")</f>
        <v>0</v>
      </c>
      <c r="AF58" s="80">
        <f ca="1">+GETPIVOTDATA("XQT4",'quangthanh (2016)'!$A$3,"MA_HT","CSD","MA_QH","DVH")</f>
        <v>0</v>
      </c>
      <c r="AG58" s="80">
        <f ca="1">+GETPIVOTDATA("XQT4",'quangthanh (2016)'!$A$3,"MA_HT","CSD","MA_QH","DYT")</f>
        <v>0</v>
      </c>
      <c r="AH58" s="80">
        <f ca="1">+GETPIVOTDATA("XQT4",'quangthanh (2016)'!$A$3,"MA_HT","CSD","MA_QH","DGD")</f>
        <v>0</v>
      </c>
      <c r="AI58" s="80">
        <f ca="1">+GETPIVOTDATA("XQT4",'quangthanh (2016)'!$A$3,"MA_HT","CSD","MA_QH","DTT")</f>
        <v>0</v>
      </c>
      <c r="AJ58" s="80">
        <f ca="1">+GETPIVOTDATA("XQT4",'quangthanh (2016)'!$A$3,"MA_HT","CSD","MA_QH","NCK")</f>
        <v>0</v>
      </c>
      <c r="AK58" s="80">
        <f ca="1">+GETPIVOTDATA("XQT4",'quangthanh (2016)'!$A$3,"MA_HT","CSD","MA_QH","DXH")</f>
        <v>0</v>
      </c>
      <c r="AL58" s="80">
        <f ca="1">+GETPIVOTDATA("XQT4",'quangthanh (2016)'!$A$3,"MA_HT","CSD","MA_QH","DCH")</f>
        <v>0</v>
      </c>
      <c r="AM58" s="80">
        <f ca="1">+GETPIVOTDATA("XQT4",'quangthanh (2016)'!$A$3,"MA_HT","CSD","MA_QH","DKG")</f>
        <v>0</v>
      </c>
      <c r="AN58" s="71">
        <f ca="1">+GETPIVOTDATA("XQT4",'quangthanh (2016)'!$A$3,"MA_HT","CSD","MA_QH","DDT")</f>
        <v>0</v>
      </c>
      <c r="AO58" s="71">
        <f ca="1">+GETPIVOTDATA("XQT4",'quangthanh (2016)'!$A$3,"MA_HT","CSD","MA_QH","DDL")</f>
        <v>0</v>
      </c>
      <c r="AP58" s="71">
        <f ca="1">+GETPIVOTDATA("XQT4",'quangthanh (2016)'!$A$3,"MA_HT","CSD","MA_QH","DRA")</f>
        <v>0</v>
      </c>
      <c r="AQ58" s="71">
        <f ca="1">+GETPIVOTDATA("XQT4",'quangthanh (2016)'!$A$3,"MA_HT","CSD","MA_QH","ONT")</f>
        <v>0</v>
      </c>
      <c r="AR58" s="71">
        <f ca="1">+GETPIVOTDATA("XQT4",'quangthanh (2016)'!$A$3,"MA_HT","CSD","MA_QH","ODT")</f>
        <v>0</v>
      </c>
      <c r="AS58" s="71">
        <f ca="1">+GETPIVOTDATA("XQT4",'quangthanh (2016)'!$A$3,"MA_HT","CSD","MA_QH","TSC")</f>
        <v>0</v>
      </c>
      <c r="AT58" s="71">
        <f ca="1">+GETPIVOTDATA("XQT4",'quangthanh (2016)'!$A$3,"MA_HT","CSD","MA_QH","DTS")</f>
        <v>0</v>
      </c>
      <c r="AU58" s="71">
        <f ca="1">+GETPIVOTDATA("XQT4",'quangthanh (2016)'!$A$3,"MA_HT","CSD","MA_QH","DNG")</f>
        <v>0</v>
      </c>
      <c r="AV58" s="71">
        <f ca="1">+GETPIVOTDATA("XQT4",'quangthanh (2016)'!$A$3,"MA_HT","CSD","MA_QH","TON")</f>
        <v>0</v>
      </c>
      <c r="AW58" s="71">
        <f ca="1">+GETPIVOTDATA("XQT4",'quangthanh (2016)'!$A$3,"MA_HT","CSD","MA_QH","NTD")</f>
        <v>0</v>
      </c>
      <c r="AX58" s="71">
        <f ca="1">+GETPIVOTDATA("XQT4",'quangthanh (2016)'!$A$3,"MA_HT","CSD","MA_QH","SKX")</f>
        <v>0</v>
      </c>
      <c r="AY58" s="71">
        <f ca="1">+GETPIVOTDATA("XQT4",'quangthanh (2016)'!$A$3,"MA_HT","CSD","MA_QH","DSH")</f>
        <v>0</v>
      </c>
      <c r="AZ58" s="71">
        <f ca="1">+GETPIVOTDATA("XQT4",'quangthanh (2016)'!$A$3,"MA_HT","CSD","MA_QH","DKV")</f>
        <v>0</v>
      </c>
      <c r="BA58" s="89">
        <f ca="1">+GETPIVOTDATA("XQT4",'quangthanh (2016)'!$A$3,"MA_HT","CSD","MA_QH","TIN")</f>
        <v>0</v>
      </c>
      <c r="BB58" s="80">
        <f ca="1">+GETPIVOTDATA("XQT4",'quangthanh (2016)'!$A$3,"MA_HT","CSD","MA_QH","SON")</f>
        <v>0</v>
      </c>
      <c r="BC58" s="80">
        <f ca="1">+GETPIVOTDATA("XQT4",'quangthanh (2016)'!$A$3,"MA_HT","CSD","MA_QH","MNC")</f>
        <v>0</v>
      </c>
      <c r="BD58" s="71">
        <f ca="1">+GETPIVOTDATA("XQT4",'quangthanh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0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+GETPIVOTDATA("XSB4",'sonbinh (2016)'!$A$3,"MA_HT","LUC","MA_QH","LUK")</f>
        <v>0</v>
      </c>
      <c r="I8" s="50">
        <f ca="1">+GETPIVOTDATA("XSB4",'sonbinh (2016)'!$A$3,"MA_HT","LUC","MA_QH","LUN")</f>
        <v>0</v>
      </c>
      <c r="J8" s="50">
        <f ca="1">+GETPIVOTDATA("XSB4",'sonbinh (2016)'!$A$3,"MA_HT","LUC","MA_QH","HNK")</f>
        <v>0</v>
      </c>
      <c r="K8" s="50">
        <f ca="1">+GETPIVOTDATA("XSB4",'sonbinh (2016)'!$A$3,"MA_HT","LUC","MA_QH","CLN")</f>
        <v>0</v>
      </c>
      <c r="L8" s="50">
        <f ca="1">+GETPIVOTDATA("XSB4",'sonbinh (2016)'!$A$3,"MA_HT","LUC","MA_QH","RSX")</f>
        <v>0</v>
      </c>
      <c r="M8" s="50">
        <f ca="1">+GETPIVOTDATA("XSB4",'sonbinh (2016)'!$A$3,"MA_HT","LUC","MA_QH","RPH")</f>
        <v>0</v>
      </c>
      <c r="N8" s="50">
        <f ca="1">+GETPIVOTDATA("XSB4",'sonbinh (2016)'!$A$3,"MA_HT","LUC","MA_QH","RDD")</f>
        <v>0</v>
      </c>
      <c r="O8" s="50">
        <f ca="1">+GETPIVOTDATA("XSB4",'sonbinh (2016)'!$A$3,"MA_HT","LUC","MA_QH","NTS")</f>
        <v>0</v>
      </c>
      <c r="P8" s="50">
        <f ca="1">+GETPIVOTDATA("XSB4",'sonbinh (2016)'!$A$3,"MA_HT","LUC","MA_QH","LMU")</f>
        <v>0</v>
      </c>
      <c r="Q8" s="50">
        <f ca="1">+GETPIVOTDATA("XSB4",'sonbinh (2016)'!$A$3,"MA_HT","LUC","MA_QH","NKH")</f>
        <v>0</v>
      </c>
      <c r="R8" s="48">
        <f ca="1" t="shared" si="2"/>
        <v>0</v>
      </c>
      <c r="S8" s="50">
        <f ca="1">+GETPIVOTDATA("XSB4",'sonbinh (2016)'!$A$3,"MA_HT","LUC","MA_QH","CQP")</f>
        <v>0</v>
      </c>
      <c r="T8" s="50">
        <f ca="1">+GETPIVOTDATA("XSB4",'sonbinh (2016)'!$A$3,"MA_HT","LUC","MA_QH","CAN")</f>
        <v>0</v>
      </c>
      <c r="U8" s="50">
        <f ca="1">+GETPIVOTDATA("XSB4",'sonbinh (2016)'!$A$3,"MA_HT","LUC","MA_QH","SKK")</f>
        <v>0</v>
      </c>
      <c r="V8" s="50">
        <f ca="1">+GETPIVOTDATA("XSB4",'sonbinh (2016)'!$A$3,"MA_HT","LUC","MA_QH","SKT")</f>
        <v>0</v>
      </c>
      <c r="W8" s="50">
        <f ca="1">+GETPIVOTDATA("XSB4",'sonbinh (2016)'!$A$3,"MA_HT","LUC","MA_QH","SKN")</f>
        <v>0</v>
      </c>
      <c r="X8" s="50">
        <f ca="1">+GETPIVOTDATA("XSB4",'sonbinh (2016)'!$A$3,"MA_HT","LUC","MA_QH","TMD")</f>
        <v>0</v>
      </c>
      <c r="Y8" s="50">
        <f ca="1">+GETPIVOTDATA("XSB4",'sonbinh (2016)'!$A$3,"MA_HT","LUC","MA_QH","SKC")</f>
        <v>0</v>
      </c>
      <c r="Z8" s="50">
        <f ca="1">+GETPIVOTDATA("XSB4",'sonbinh (2016)'!$A$3,"MA_HT","LUC","MA_QH","SKS")</f>
        <v>0</v>
      </c>
      <c r="AA8" s="52">
        <f ca="1" t="shared" si="4"/>
        <v>0</v>
      </c>
      <c r="AB8" s="50">
        <f ca="1">+GETPIVOTDATA("XSB4",'sonbinh (2016)'!$A$3,"MA_HT","LUC","MA_QH","DGT")</f>
        <v>0</v>
      </c>
      <c r="AC8" s="50">
        <f ca="1">+GETPIVOTDATA("XSB4",'sonbinh (2016)'!$A$3,"MA_HT","LUC","MA_QH","DTL")</f>
        <v>0</v>
      </c>
      <c r="AD8" s="50">
        <f ca="1">+GETPIVOTDATA("XSB4",'sonbinh (2016)'!$A$3,"MA_HT","LUC","MA_QH","DNL")</f>
        <v>0</v>
      </c>
      <c r="AE8" s="50">
        <f ca="1">+GETPIVOTDATA("XSB4",'sonbinh (2016)'!$A$3,"MA_HT","LUC","MA_QH","DBV")</f>
        <v>0</v>
      </c>
      <c r="AF8" s="50">
        <f ca="1">+GETPIVOTDATA("XSB4",'sonbinh (2016)'!$A$3,"MA_HT","LUC","MA_QH","DVH")</f>
        <v>0</v>
      </c>
      <c r="AG8" s="50">
        <f ca="1">+GETPIVOTDATA("XSB4",'sonbinh (2016)'!$A$3,"MA_HT","LUC","MA_QH","DYT")</f>
        <v>0</v>
      </c>
      <c r="AH8" s="50">
        <f ca="1">+GETPIVOTDATA("XSB4",'sonbinh (2016)'!$A$3,"MA_HT","LUC","MA_QH","DGD")</f>
        <v>0</v>
      </c>
      <c r="AI8" s="50">
        <f ca="1">+GETPIVOTDATA("XSB4",'sonbinh (2016)'!$A$3,"MA_HT","LUC","MA_QH","DTT")</f>
        <v>0</v>
      </c>
      <c r="AJ8" s="50">
        <f ca="1">+GETPIVOTDATA("XSB4",'sonbinh (2016)'!$A$3,"MA_HT","LUC","MA_QH","NCK")</f>
        <v>0</v>
      </c>
      <c r="AK8" s="50">
        <f ca="1">+GETPIVOTDATA("XSB4",'sonbinh (2016)'!$A$3,"MA_HT","LUC","MA_QH","DXH")</f>
        <v>0</v>
      </c>
      <c r="AL8" s="50">
        <f ca="1">+GETPIVOTDATA("XSB4",'sonbinh (2016)'!$A$3,"MA_HT","LUC","MA_QH","DCH")</f>
        <v>0</v>
      </c>
      <c r="AM8" s="50">
        <f ca="1">+GETPIVOTDATA("XSB4",'sonbinh (2016)'!$A$3,"MA_HT","LUC","MA_QH","DKG")</f>
        <v>0</v>
      </c>
      <c r="AN8" s="50">
        <f ca="1">+GETPIVOTDATA("XSB4",'sonbinh (2016)'!$A$3,"MA_HT","LUC","MA_QH","DDT")</f>
        <v>0</v>
      </c>
      <c r="AO8" s="50">
        <f ca="1">+GETPIVOTDATA("XSB4",'sonbinh (2016)'!$A$3,"MA_HT","LUC","MA_QH","DDL")</f>
        <v>0</v>
      </c>
      <c r="AP8" s="50">
        <f ca="1">+GETPIVOTDATA("XSB4",'sonbinh (2016)'!$A$3,"MA_HT","LUC","MA_QH","DRA")</f>
        <v>0</v>
      </c>
      <c r="AQ8" s="50">
        <f ca="1">+GETPIVOTDATA("XSB4",'sonbinh (2016)'!$A$3,"MA_HT","LUC","MA_QH","ONT")</f>
        <v>0</v>
      </c>
      <c r="AR8" s="50">
        <f ca="1">+GETPIVOTDATA("XSB4",'sonbinh (2016)'!$A$3,"MA_HT","LUC","MA_QH","ODT")</f>
        <v>0</v>
      </c>
      <c r="AS8" s="50">
        <f ca="1">+GETPIVOTDATA("XSB4",'sonbinh (2016)'!$A$3,"MA_HT","LUC","MA_QH","TSC")</f>
        <v>0</v>
      </c>
      <c r="AT8" s="50">
        <f ca="1">+GETPIVOTDATA("XSB4",'sonbinh (2016)'!$A$3,"MA_HT","LUC","MA_QH","DTS")</f>
        <v>0</v>
      </c>
      <c r="AU8" s="50">
        <f ca="1">+GETPIVOTDATA("XSB4",'sonbinh (2016)'!$A$3,"MA_HT","LUC","MA_QH","DNG")</f>
        <v>0</v>
      </c>
      <c r="AV8" s="50">
        <f ca="1">+GETPIVOTDATA("XSB4",'sonbinh (2016)'!$A$3,"MA_HT","LUC","MA_QH","TON")</f>
        <v>0</v>
      </c>
      <c r="AW8" s="50">
        <f ca="1">+GETPIVOTDATA("XSB4",'sonbinh (2016)'!$A$3,"MA_HT","LUC","MA_QH","NTD")</f>
        <v>0</v>
      </c>
      <c r="AX8" s="50">
        <f ca="1">+GETPIVOTDATA("XSB4",'sonbinh (2016)'!$A$3,"MA_HT","LUC","MA_QH","SKX")</f>
        <v>0</v>
      </c>
      <c r="AY8" s="50">
        <f ca="1">+GETPIVOTDATA("XSB4",'sonbinh (2016)'!$A$3,"MA_HT","LUC","MA_QH","DSH")</f>
        <v>0</v>
      </c>
      <c r="AZ8" s="50">
        <f ca="1">+GETPIVOTDATA("XSB4",'sonbinh (2016)'!$A$3,"MA_HT","LUC","MA_QH","DKV")</f>
        <v>0</v>
      </c>
      <c r="BA8" s="88">
        <f ca="1">+GETPIVOTDATA("XSB4",'sonbinh (2016)'!$A$3,"MA_HT","LUC","MA_QH","TIN")</f>
        <v>0</v>
      </c>
      <c r="BB8" s="50">
        <f ca="1">+GETPIVOTDATA("XSB4",'sonbinh (2016)'!$A$3,"MA_HT","LUC","MA_QH","SON")</f>
        <v>0</v>
      </c>
      <c r="BC8" s="50">
        <f ca="1">+GETPIVOTDATA("XSB4",'sonbinh (2016)'!$A$3,"MA_HT","LUC","MA_QH","MNC")</f>
        <v>0</v>
      </c>
      <c r="BD8" s="50">
        <f ca="1">+GETPIVOTDATA("XSB4",'sonbinh (2016)'!$A$3,"MA_HT","LUC","MA_QH","PNK")</f>
        <v>0</v>
      </c>
      <c r="BE8" s="80">
        <f ca="1">+GETPIVOTDATA("XSB4",'sonbinh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+GETPIVOTDATA("XSB4",'sonbinh (2016)'!$A$3,"MA_HT","LUK","MA_QH","LUC")</f>
        <v>0</v>
      </c>
      <c r="H9" s="49" t="e">
        <f ca="1">$D9-$BF9</f>
        <v>#REF!</v>
      </c>
      <c r="I9" s="50">
        <f ca="1">+GETPIVOTDATA("XSB4",'sonbinh (2016)'!$A$3,"MA_HT","LUK","MA_QH","LUN")</f>
        <v>0</v>
      </c>
      <c r="J9" s="50">
        <f ca="1">+GETPIVOTDATA("XSB4",'sonbinh (2016)'!$A$3,"MA_HT","LUK","MA_QH","HNK")</f>
        <v>0</v>
      </c>
      <c r="K9" s="50">
        <f ca="1">+GETPIVOTDATA("XSB4",'sonbinh (2016)'!$A$3,"MA_HT","LUK","MA_QH","CLN")</f>
        <v>0</v>
      </c>
      <c r="L9" s="50">
        <f ca="1">+GETPIVOTDATA("XSB4",'sonbinh (2016)'!$A$3,"MA_HT","LUK","MA_QH","RSX")</f>
        <v>0</v>
      </c>
      <c r="M9" s="50">
        <f ca="1">+GETPIVOTDATA("XSB4",'sonbinh (2016)'!$A$3,"MA_HT","LUK","MA_QH","RPH")</f>
        <v>0</v>
      </c>
      <c r="N9" s="50">
        <f ca="1">+GETPIVOTDATA("XSB4",'sonbinh (2016)'!$A$3,"MA_HT","LUK","MA_QH","RDD")</f>
        <v>0</v>
      </c>
      <c r="O9" s="50">
        <f ca="1">+GETPIVOTDATA("XSB4",'sonbinh (2016)'!$A$3,"MA_HT","LUK","MA_QH","NTS")</f>
        <v>0</v>
      </c>
      <c r="P9" s="50">
        <f ca="1">+GETPIVOTDATA("XSB4",'sonbinh (2016)'!$A$3,"MA_HT","LUK","MA_QH","LMU")</f>
        <v>0</v>
      </c>
      <c r="Q9" s="50">
        <f ca="1">+GETPIVOTDATA("XSB4",'sonbinh (2016)'!$A$3,"MA_HT","LUK","MA_QH","NKH")</f>
        <v>0</v>
      </c>
      <c r="R9" s="48">
        <f ca="1" t="shared" si="2"/>
        <v>0</v>
      </c>
      <c r="S9" s="50">
        <f ca="1">+GETPIVOTDATA("XSB4",'sonbinh (2016)'!$A$3,"MA_HT","LUK","MA_QH","CQP")</f>
        <v>0</v>
      </c>
      <c r="T9" s="50">
        <f ca="1">+GETPIVOTDATA("XSB4",'sonbinh (2016)'!$A$3,"MA_HT","LUK","MA_QH","CAN")</f>
        <v>0</v>
      </c>
      <c r="U9" s="50">
        <f ca="1">+GETPIVOTDATA("XSB4",'sonbinh (2016)'!$A$3,"MA_HT","LUK","MA_QH","SKK")</f>
        <v>0</v>
      </c>
      <c r="V9" s="50">
        <f ca="1">+GETPIVOTDATA("XSB4",'sonbinh (2016)'!$A$3,"MA_HT","LUK","MA_QH","SKT")</f>
        <v>0</v>
      </c>
      <c r="W9" s="50">
        <f ca="1">+GETPIVOTDATA("XSB4",'sonbinh (2016)'!$A$3,"MA_HT","LUK","MA_QH","SKN")</f>
        <v>0</v>
      </c>
      <c r="X9" s="50">
        <f ca="1">+GETPIVOTDATA("XSB4",'sonbinh (2016)'!$A$3,"MA_HT","LUK","MA_QH","TMD")</f>
        <v>0</v>
      </c>
      <c r="Y9" s="50">
        <f ca="1">+GETPIVOTDATA("XSB4",'sonbinh (2016)'!$A$3,"MA_HT","LUK","MA_QH","SKC")</f>
        <v>0</v>
      </c>
      <c r="Z9" s="50">
        <f ca="1">+GETPIVOTDATA("XSB4",'sonbinh (2016)'!$A$3,"MA_HT","LUK","MA_QH","SKS")</f>
        <v>0</v>
      </c>
      <c r="AA9" s="52">
        <f ca="1" t="shared" si="4"/>
        <v>0</v>
      </c>
      <c r="AB9" s="50">
        <f ca="1">+GETPIVOTDATA("XSB4",'sonbinh (2016)'!$A$3,"MA_HT","LUK","MA_QH","DGT")</f>
        <v>0</v>
      </c>
      <c r="AC9" s="50">
        <f ca="1">+GETPIVOTDATA("XSB4",'sonbinh (2016)'!$A$3,"MA_HT","LUK","MA_QH","DTL")</f>
        <v>0</v>
      </c>
      <c r="AD9" s="50">
        <f ca="1">+GETPIVOTDATA("XSB4",'sonbinh (2016)'!$A$3,"MA_HT","LUK","MA_QH","DNL")</f>
        <v>0</v>
      </c>
      <c r="AE9" s="50">
        <f ca="1">+GETPIVOTDATA("XSB4",'sonbinh (2016)'!$A$3,"MA_HT","LUK","MA_QH","DBV")</f>
        <v>0</v>
      </c>
      <c r="AF9" s="50">
        <f ca="1">+GETPIVOTDATA("XSB4",'sonbinh (2016)'!$A$3,"MA_HT","LUK","MA_QH","DVH")</f>
        <v>0</v>
      </c>
      <c r="AG9" s="50">
        <f ca="1">+GETPIVOTDATA("XSB4",'sonbinh (2016)'!$A$3,"MA_HT","LUK","MA_QH","DYT")</f>
        <v>0</v>
      </c>
      <c r="AH9" s="50">
        <f ca="1">+GETPIVOTDATA("XSB4",'sonbinh (2016)'!$A$3,"MA_HT","LUK","MA_QH","DGD")</f>
        <v>0</v>
      </c>
      <c r="AI9" s="50">
        <f ca="1">+GETPIVOTDATA("XSB4",'sonbinh (2016)'!$A$3,"MA_HT","LUK","MA_QH","DTT")</f>
        <v>0</v>
      </c>
      <c r="AJ9" s="50">
        <f ca="1">+GETPIVOTDATA("XSB4",'sonbinh (2016)'!$A$3,"MA_HT","LUK","MA_QH","NCK")</f>
        <v>0</v>
      </c>
      <c r="AK9" s="50">
        <f ca="1">+GETPIVOTDATA("XSB4",'sonbinh (2016)'!$A$3,"MA_HT","LUK","MA_QH","DXH")</f>
        <v>0</v>
      </c>
      <c r="AL9" s="50">
        <f ca="1">+GETPIVOTDATA("XSB4",'sonbinh (2016)'!$A$3,"MA_HT","LUK","MA_QH","DCH")</f>
        <v>0</v>
      </c>
      <c r="AM9" s="50">
        <f ca="1">+GETPIVOTDATA("XSB4",'sonbinh (2016)'!$A$3,"MA_HT","LUK","MA_QH","DKG")</f>
        <v>0</v>
      </c>
      <c r="AN9" s="50">
        <f ca="1">+GETPIVOTDATA("XSB4",'sonbinh (2016)'!$A$3,"MA_HT","LUK","MA_QH","DDT")</f>
        <v>0</v>
      </c>
      <c r="AO9" s="50">
        <f ca="1">+GETPIVOTDATA("XSB4",'sonbinh (2016)'!$A$3,"MA_HT","LUK","MA_QH","DDL")</f>
        <v>0</v>
      </c>
      <c r="AP9" s="50">
        <f ca="1">+GETPIVOTDATA("XSB4",'sonbinh (2016)'!$A$3,"MA_HT","LUK","MA_QH","DRA")</f>
        <v>0</v>
      </c>
      <c r="AQ9" s="50">
        <f ca="1">+GETPIVOTDATA("XSB4",'sonbinh (2016)'!$A$3,"MA_HT","LUK","MA_QH","ONT")</f>
        <v>0</v>
      </c>
      <c r="AR9" s="50">
        <f ca="1">+GETPIVOTDATA("XSB4",'sonbinh (2016)'!$A$3,"MA_HT","LUK","MA_QH","ODT")</f>
        <v>0</v>
      </c>
      <c r="AS9" s="50">
        <f ca="1">+GETPIVOTDATA("XSB4",'sonbinh (2016)'!$A$3,"MA_HT","LUK","MA_QH","TSC")</f>
        <v>0</v>
      </c>
      <c r="AT9" s="50">
        <f ca="1">+GETPIVOTDATA("XSB4",'sonbinh (2016)'!$A$3,"MA_HT","LUK","MA_QH","DTS")</f>
        <v>0</v>
      </c>
      <c r="AU9" s="50">
        <f ca="1">+GETPIVOTDATA("XSB4",'sonbinh (2016)'!$A$3,"MA_HT","LUK","MA_QH","DNG")</f>
        <v>0</v>
      </c>
      <c r="AV9" s="50">
        <f ca="1">+GETPIVOTDATA("XSB4",'sonbinh (2016)'!$A$3,"MA_HT","LUK","MA_QH","TON")</f>
        <v>0</v>
      </c>
      <c r="AW9" s="50">
        <f ca="1">+GETPIVOTDATA("XSB4",'sonbinh (2016)'!$A$3,"MA_HT","LUK","MA_QH","NTD")</f>
        <v>0</v>
      </c>
      <c r="AX9" s="50">
        <f ca="1">+GETPIVOTDATA("XSB4",'sonbinh (2016)'!$A$3,"MA_HT","LUK","MA_QH","SKX")</f>
        <v>0</v>
      </c>
      <c r="AY9" s="50">
        <f ca="1">+GETPIVOTDATA("XSB4",'sonbinh (2016)'!$A$3,"MA_HT","LUK","MA_QH","DSH")</f>
        <v>0</v>
      </c>
      <c r="AZ9" s="50">
        <f ca="1">+GETPIVOTDATA("XSB4",'sonbinh (2016)'!$A$3,"MA_HT","LUK","MA_QH","DKV")</f>
        <v>0</v>
      </c>
      <c r="BA9" s="88">
        <f ca="1">+GETPIVOTDATA("XSB4",'sonbinh (2016)'!$A$3,"MA_HT","LUK","MA_QH","TIN")</f>
        <v>0</v>
      </c>
      <c r="BB9" s="50">
        <f ca="1">+GETPIVOTDATA("XSB4",'sonbinh (2016)'!$A$3,"MA_HT","LUK","MA_QH","SON")</f>
        <v>0</v>
      </c>
      <c r="BC9" s="50">
        <f ca="1">+GETPIVOTDATA("XSB4",'sonbinh (2016)'!$A$3,"MA_HT","LUK","MA_QH","MNC")</f>
        <v>0</v>
      </c>
      <c r="BD9" s="50">
        <f ca="1">+GETPIVOTDATA("XSB4",'sonbinh (2016)'!$A$3,"MA_HT","LUK","MA_QH","PNK")</f>
        <v>0</v>
      </c>
      <c r="BE9" s="80">
        <f ca="1">+GETPIVOTDATA("XSB4",'sonbinh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+GETPIVOTDATA("XSB4",'sonbinh (2016)'!$A$3,"MA_HT","LUN","MA_QH","LUC")</f>
        <v>0</v>
      </c>
      <c r="H10" s="50">
        <f ca="1">+GETPIVOTDATA("XSB4",'sonbinh (2016)'!$A$3,"MA_HT","LUN","MA_QH","LUK")</f>
        <v>0</v>
      </c>
      <c r="I10" s="49" t="e">
        <f ca="1">$D10-$BF10</f>
        <v>#REF!</v>
      </c>
      <c r="J10" s="50">
        <f ca="1">+GETPIVOTDATA("XSB4",'sonbinh (2016)'!$A$3,"MA_HT","LUN","MA_QH","HNK")</f>
        <v>0</v>
      </c>
      <c r="K10" s="50">
        <f ca="1">+GETPIVOTDATA("XSB4",'sonbinh (2016)'!$A$3,"MA_HT","LUN","MA_QH","CLN")</f>
        <v>0</v>
      </c>
      <c r="L10" s="50">
        <f ca="1">+GETPIVOTDATA("XSB4",'sonbinh (2016)'!$A$3,"MA_HT","LUN","MA_QH","RSX")</f>
        <v>0</v>
      </c>
      <c r="M10" s="50">
        <f ca="1">+GETPIVOTDATA("XSB4",'sonbinh (2016)'!$A$3,"MA_HT","LUN","MA_QH","RPH")</f>
        <v>0</v>
      </c>
      <c r="N10" s="50">
        <f ca="1">+GETPIVOTDATA("XSB4",'sonbinh (2016)'!$A$3,"MA_HT","LUN","MA_QH","RDD")</f>
        <v>0</v>
      </c>
      <c r="O10" s="50">
        <f ca="1">+GETPIVOTDATA("XSB4",'sonbinh (2016)'!$A$3,"MA_HT","LUN","MA_QH","NTS")</f>
        <v>0</v>
      </c>
      <c r="P10" s="50">
        <f ca="1">+GETPIVOTDATA("XSB4",'sonbinh (2016)'!$A$3,"MA_HT","LUN","MA_QH","LMU")</f>
        <v>0</v>
      </c>
      <c r="Q10" s="50">
        <f ca="1">+GETPIVOTDATA("XSB4",'sonbinh (2016)'!$A$3,"MA_HT","LUN","MA_QH","NKH")</f>
        <v>0</v>
      </c>
      <c r="R10" s="48">
        <f ca="1" t="shared" si="2"/>
        <v>0</v>
      </c>
      <c r="S10" s="50">
        <f ca="1">+GETPIVOTDATA("XSB4",'sonbinh (2016)'!$A$3,"MA_HT","LUN","MA_QH","CQP")</f>
        <v>0</v>
      </c>
      <c r="T10" s="50">
        <f ca="1">+GETPIVOTDATA("XSB4",'sonbinh (2016)'!$A$3,"MA_HT","LUN","MA_QH","CAN")</f>
        <v>0</v>
      </c>
      <c r="U10" s="50">
        <f ca="1">+GETPIVOTDATA("XSB4",'sonbinh (2016)'!$A$3,"MA_HT","LUN","MA_QH","SKK")</f>
        <v>0</v>
      </c>
      <c r="V10" s="50">
        <f ca="1">+GETPIVOTDATA("XSB4",'sonbinh (2016)'!$A$3,"MA_HT","LUN","MA_QH","SKT")</f>
        <v>0</v>
      </c>
      <c r="W10" s="50">
        <f ca="1">+GETPIVOTDATA("XSB4",'sonbinh (2016)'!$A$3,"MA_HT","LUN","MA_QH","SKN")</f>
        <v>0</v>
      </c>
      <c r="X10" s="50">
        <f ca="1">+GETPIVOTDATA("XSB4",'sonbinh (2016)'!$A$3,"MA_HT","LUN","MA_QH","TMD")</f>
        <v>0</v>
      </c>
      <c r="Y10" s="50">
        <f ca="1">+GETPIVOTDATA("XSB4",'sonbinh (2016)'!$A$3,"MA_HT","LUN","MA_QH","SKC")</f>
        <v>0</v>
      </c>
      <c r="Z10" s="50">
        <f ca="1">+GETPIVOTDATA("XSB4",'sonbinh (2016)'!$A$3,"MA_HT","LUN","MA_QH","SKS")</f>
        <v>0</v>
      </c>
      <c r="AA10" s="52">
        <f ca="1" t="shared" si="4"/>
        <v>0</v>
      </c>
      <c r="AB10" s="50">
        <f ca="1">+GETPIVOTDATA("XSB4",'sonbinh (2016)'!$A$3,"MA_HT","LUN","MA_QH","DGT")</f>
        <v>0</v>
      </c>
      <c r="AC10" s="50">
        <f ca="1">+GETPIVOTDATA("XSB4",'sonbinh (2016)'!$A$3,"MA_HT","LUN","MA_QH","DTL")</f>
        <v>0</v>
      </c>
      <c r="AD10" s="50">
        <f ca="1">+GETPIVOTDATA("XSB4",'sonbinh (2016)'!$A$3,"MA_HT","LUN","MA_QH","DNL")</f>
        <v>0</v>
      </c>
      <c r="AE10" s="50">
        <f ca="1">+GETPIVOTDATA("XSB4",'sonbinh (2016)'!$A$3,"MA_HT","LUN","MA_QH","DBV")</f>
        <v>0</v>
      </c>
      <c r="AF10" s="50">
        <f ca="1">+GETPIVOTDATA("XSB4",'sonbinh (2016)'!$A$3,"MA_HT","LUN","MA_QH","DVH")</f>
        <v>0</v>
      </c>
      <c r="AG10" s="50">
        <f ca="1">+GETPIVOTDATA("XSB4",'sonbinh (2016)'!$A$3,"MA_HT","LUN","MA_QH","DYT")</f>
        <v>0</v>
      </c>
      <c r="AH10" s="50">
        <f ca="1">+GETPIVOTDATA("XSB4",'sonbinh (2016)'!$A$3,"MA_HT","LUN","MA_QH","DGD")</f>
        <v>0</v>
      </c>
      <c r="AI10" s="50">
        <f ca="1">+GETPIVOTDATA("XSB4",'sonbinh (2016)'!$A$3,"MA_HT","LUN","MA_QH","DTT")</f>
        <v>0</v>
      </c>
      <c r="AJ10" s="50">
        <f ca="1">+GETPIVOTDATA("XSB4",'sonbinh (2016)'!$A$3,"MA_HT","LUN","MA_QH","NCK")</f>
        <v>0</v>
      </c>
      <c r="AK10" s="50">
        <f ca="1">+GETPIVOTDATA("XSB4",'sonbinh (2016)'!$A$3,"MA_HT","LUN","MA_QH","DXH")</f>
        <v>0</v>
      </c>
      <c r="AL10" s="50">
        <f ca="1">+GETPIVOTDATA("XSB4",'sonbinh (2016)'!$A$3,"MA_HT","LUN","MA_QH","DCH")</f>
        <v>0</v>
      </c>
      <c r="AM10" s="50">
        <f ca="1">+GETPIVOTDATA("XSB4",'sonbinh (2016)'!$A$3,"MA_HT","LUN","MA_QH","DKG")</f>
        <v>0</v>
      </c>
      <c r="AN10" s="50">
        <f ca="1">+GETPIVOTDATA("XSB4",'sonbinh (2016)'!$A$3,"MA_HT","LUN","MA_QH","DDT")</f>
        <v>0</v>
      </c>
      <c r="AO10" s="50">
        <f ca="1">+GETPIVOTDATA("XSB4",'sonbinh (2016)'!$A$3,"MA_HT","LUN","MA_QH","DDL")</f>
        <v>0</v>
      </c>
      <c r="AP10" s="50">
        <f ca="1">+GETPIVOTDATA("XSB4",'sonbinh (2016)'!$A$3,"MA_HT","LUN","MA_QH","DRA")</f>
        <v>0</v>
      </c>
      <c r="AQ10" s="50">
        <f ca="1">+GETPIVOTDATA("XSB4",'sonbinh (2016)'!$A$3,"MA_HT","LUN","MA_QH","ONT")</f>
        <v>0</v>
      </c>
      <c r="AR10" s="50">
        <f ca="1">+GETPIVOTDATA("XSB4",'sonbinh (2016)'!$A$3,"MA_HT","LUN","MA_QH","ODT")</f>
        <v>0</v>
      </c>
      <c r="AS10" s="50">
        <f ca="1">+GETPIVOTDATA("XSB4",'sonbinh (2016)'!$A$3,"MA_HT","LUN","MA_QH","TSC")</f>
        <v>0</v>
      </c>
      <c r="AT10" s="50">
        <f ca="1">+GETPIVOTDATA("XSB4",'sonbinh (2016)'!$A$3,"MA_HT","LUN","MA_QH","DTS")</f>
        <v>0</v>
      </c>
      <c r="AU10" s="50">
        <f ca="1">+GETPIVOTDATA("XSB4",'sonbinh (2016)'!$A$3,"MA_HT","LUN","MA_QH","DNG")</f>
        <v>0</v>
      </c>
      <c r="AV10" s="50">
        <f ca="1">+GETPIVOTDATA("XSB4",'sonbinh (2016)'!$A$3,"MA_HT","LUN","MA_QH","TON")</f>
        <v>0</v>
      </c>
      <c r="AW10" s="50">
        <f ca="1">+GETPIVOTDATA("XSB4",'sonbinh (2016)'!$A$3,"MA_HT","LUN","MA_QH","NTD")</f>
        <v>0</v>
      </c>
      <c r="AX10" s="50">
        <f ca="1">+GETPIVOTDATA("XSB4",'sonbinh (2016)'!$A$3,"MA_HT","LUN","MA_QH","SKX")</f>
        <v>0</v>
      </c>
      <c r="AY10" s="50">
        <f ca="1">+GETPIVOTDATA("XSB4",'sonbinh (2016)'!$A$3,"MA_HT","LUN","MA_QH","DSH")</f>
        <v>0</v>
      </c>
      <c r="AZ10" s="50">
        <f ca="1">+GETPIVOTDATA("XSB4",'sonbinh (2016)'!$A$3,"MA_HT","LUN","MA_QH","DKV")</f>
        <v>0</v>
      </c>
      <c r="BA10" s="88">
        <f ca="1">+GETPIVOTDATA("XSB4",'sonbinh (2016)'!$A$3,"MA_HT","LUN","MA_QH","TIN")</f>
        <v>0</v>
      </c>
      <c r="BB10" s="50">
        <f ca="1">+GETPIVOTDATA("XSB4",'sonbinh (2016)'!$A$3,"MA_HT","LUN","MA_QH","SON")</f>
        <v>0</v>
      </c>
      <c r="BC10" s="50">
        <f ca="1">+GETPIVOTDATA("XSB4",'sonbinh (2016)'!$A$3,"MA_HT","LUN","MA_QH","MNC")</f>
        <v>0</v>
      </c>
      <c r="BD10" s="50">
        <f ca="1">+GETPIVOTDATA("XSB4",'sonbinh (2016)'!$A$3,"MA_HT","LUN","MA_QH","PNK")</f>
        <v>0</v>
      </c>
      <c r="BE10" s="80">
        <f ca="1">+GETPIVOTDATA("XSB4",'sonbinh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+GETPIVOTDATA("XSB4",'sonbinh (2016)'!$A$3,"MA_HT","HNK","MA_QH","LUC")</f>
        <v>0</v>
      </c>
      <c r="H11" s="22">
        <f ca="1">+GETPIVOTDATA("XSB4",'sonbinh (2016)'!$A$3,"MA_HT","HNK","MA_QH","LUK")</f>
        <v>0</v>
      </c>
      <c r="I11" s="22">
        <f ca="1">+GETPIVOTDATA("XSB4",'sonbinh (2016)'!$A$3,"MA_HT","HNK","MA_QH","LUN")</f>
        <v>0</v>
      </c>
      <c r="J11" s="43" t="e">
        <f ca="1">$D11-$BF11</f>
        <v>#REF!</v>
      </c>
      <c r="K11" s="22">
        <f ca="1">+GETPIVOTDATA("XSB4",'sonbinh (2016)'!$A$3,"MA_HT","HNK","MA_QH","CLN")</f>
        <v>0</v>
      </c>
      <c r="L11" s="22">
        <f ca="1">+GETPIVOTDATA("XSB4",'sonbinh (2016)'!$A$3,"MA_HT","HNK","MA_QH","RSX")</f>
        <v>0</v>
      </c>
      <c r="M11" s="22">
        <f ca="1">+GETPIVOTDATA("XSB4",'sonbinh (2016)'!$A$3,"MA_HT","HNK","MA_QH","RPH")</f>
        <v>0</v>
      </c>
      <c r="N11" s="22">
        <f ca="1">+GETPIVOTDATA("XSB4",'sonbinh (2016)'!$A$3,"MA_HT","HNK","MA_QH","RDD")</f>
        <v>0</v>
      </c>
      <c r="O11" s="22">
        <f ca="1">+GETPIVOTDATA("XSB4",'sonbinh (2016)'!$A$3,"MA_HT","HNK","MA_QH","NTS")</f>
        <v>0</v>
      </c>
      <c r="P11" s="22">
        <f ca="1">+GETPIVOTDATA("XSB4",'sonbinh (2016)'!$A$3,"MA_HT","HNK","MA_QH","LMU")</f>
        <v>0</v>
      </c>
      <c r="Q11" s="22">
        <f ca="1">+GETPIVOTDATA("XSB4",'sonbinh (2016)'!$A$3,"MA_HT","HNK","MA_QH","NKH")</f>
        <v>0</v>
      </c>
      <c r="R11" s="42">
        <f ca="1" t="shared" si="2"/>
        <v>0</v>
      </c>
      <c r="S11" s="22">
        <f ca="1">+GETPIVOTDATA("XSB4",'sonbinh (2016)'!$A$3,"MA_HT","HNK","MA_QH","CQP")</f>
        <v>0</v>
      </c>
      <c r="T11" s="22">
        <f ca="1">+GETPIVOTDATA("XSB4",'sonbinh (2016)'!$A$3,"MA_HT","HNK","MA_QH","CAN")</f>
        <v>0</v>
      </c>
      <c r="U11" s="22">
        <f ca="1">+GETPIVOTDATA("XSB4",'sonbinh (2016)'!$A$3,"MA_HT","HNK","MA_QH","SKK")</f>
        <v>0</v>
      </c>
      <c r="V11" s="22">
        <f ca="1">+GETPIVOTDATA("XSB4",'sonbinh (2016)'!$A$3,"MA_HT","HNK","MA_QH","SKT")</f>
        <v>0</v>
      </c>
      <c r="W11" s="22">
        <f ca="1">+GETPIVOTDATA("XSB4",'sonbinh (2016)'!$A$3,"MA_HT","HNK","MA_QH","SKN")</f>
        <v>0</v>
      </c>
      <c r="X11" s="22">
        <f ca="1">+GETPIVOTDATA("XSB4",'sonbinh (2016)'!$A$3,"MA_HT","HNK","MA_QH","TMD")</f>
        <v>0</v>
      </c>
      <c r="Y11" s="22">
        <f ca="1">+GETPIVOTDATA("XSB4",'sonbinh (2016)'!$A$3,"MA_HT","HNK","MA_QH","SKC")</f>
        <v>0</v>
      </c>
      <c r="Z11" s="22">
        <f ca="1">+GETPIVOTDATA("XSB4",'sonbinh (2016)'!$A$3,"MA_HT","HNK","MA_QH","SKS")</f>
        <v>0</v>
      </c>
      <c r="AA11" s="52">
        <f ca="1" t="shared" si="4"/>
        <v>0</v>
      </c>
      <c r="AB11" s="22">
        <f ca="1">+GETPIVOTDATA("XSB4",'sonbinh (2016)'!$A$3,"MA_HT","HNK","MA_QH","DGT")</f>
        <v>0</v>
      </c>
      <c r="AC11" s="22">
        <f ca="1">+GETPIVOTDATA("XSB4",'sonbinh (2016)'!$A$3,"MA_HT","HNK","MA_QH","DTL")</f>
        <v>0</v>
      </c>
      <c r="AD11" s="22">
        <f ca="1">+GETPIVOTDATA("XSB4",'sonbinh (2016)'!$A$3,"MA_HT","HNK","MA_QH","DNL")</f>
        <v>0</v>
      </c>
      <c r="AE11" s="22">
        <f ca="1">+GETPIVOTDATA("XSB4",'sonbinh (2016)'!$A$3,"MA_HT","HNK","MA_QH","DBV")</f>
        <v>0</v>
      </c>
      <c r="AF11" s="22">
        <f ca="1">+GETPIVOTDATA("XSB4",'sonbinh (2016)'!$A$3,"MA_HT","HNK","MA_QH","DVH")</f>
        <v>0</v>
      </c>
      <c r="AG11" s="22">
        <f ca="1">+GETPIVOTDATA("XSB4",'sonbinh (2016)'!$A$3,"MA_HT","HNK","MA_QH","DYT")</f>
        <v>0</v>
      </c>
      <c r="AH11" s="22">
        <f ca="1">+GETPIVOTDATA("XSB4",'sonbinh (2016)'!$A$3,"MA_HT","HNK","MA_QH","DGD")</f>
        <v>0</v>
      </c>
      <c r="AI11" s="22">
        <f ca="1">+GETPIVOTDATA("XSB4",'sonbinh (2016)'!$A$3,"MA_HT","HNK","MA_QH","DTT")</f>
        <v>0</v>
      </c>
      <c r="AJ11" s="22">
        <f ca="1">+GETPIVOTDATA("XSB4",'sonbinh (2016)'!$A$3,"MA_HT","HNK","MA_QH","NCK")</f>
        <v>0</v>
      </c>
      <c r="AK11" s="22">
        <f ca="1">+GETPIVOTDATA("XSB4",'sonbinh (2016)'!$A$3,"MA_HT","HNK","MA_QH","DXH")</f>
        <v>0</v>
      </c>
      <c r="AL11" s="22">
        <f ca="1">+GETPIVOTDATA("XSB4",'sonbinh (2016)'!$A$3,"MA_HT","HNK","MA_QH","DCH")</f>
        <v>0</v>
      </c>
      <c r="AM11" s="22">
        <f ca="1">+GETPIVOTDATA("XSB4",'sonbinh (2016)'!$A$3,"MA_HT","HNK","MA_QH","DKG")</f>
        <v>0</v>
      </c>
      <c r="AN11" s="22">
        <f ca="1">+GETPIVOTDATA("XSB4",'sonbinh (2016)'!$A$3,"MA_HT","HNK","MA_QH","DDT")</f>
        <v>0</v>
      </c>
      <c r="AO11" s="22">
        <f ca="1">+GETPIVOTDATA("XSB4",'sonbinh (2016)'!$A$3,"MA_HT","HNK","MA_QH","DDL")</f>
        <v>0</v>
      </c>
      <c r="AP11" s="22">
        <f ca="1">+GETPIVOTDATA("XSB4",'sonbinh (2016)'!$A$3,"MA_HT","HNK","MA_QH","DRA")</f>
        <v>0</v>
      </c>
      <c r="AQ11" s="22">
        <f ca="1">+GETPIVOTDATA("XSB4",'sonbinh (2016)'!$A$3,"MA_HT","HNK","MA_QH","ONT")</f>
        <v>0</v>
      </c>
      <c r="AR11" s="22">
        <f ca="1">+GETPIVOTDATA("XSB4",'sonbinh (2016)'!$A$3,"MA_HT","HNK","MA_QH","ODT")</f>
        <v>0</v>
      </c>
      <c r="AS11" s="22">
        <f ca="1">+GETPIVOTDATA("XSB4",'sonbinh (2016)'!$A$3,"MA_HT","HNK","MA_QH","TSC")</f>
        <v>0</v>
      </c>
      <c r="AT11" s="22">
        <f ca="1">+GETPIVOTDATA("XSB4",'sonbinh (2016)'!$A$3,"MA_HT","HNK","MA_QH","DTS")</f>
        <v>0</v>
      </c>
      <c r="AU11" s="22">
        <f ca="1">+GETPIVOTDATA("XSB4",'sonbinh (2016)'!$A$3,"MA_HT","HNK","MA_QH","DNG")</f>
        <v>0</v>
      </c>
      <c r="AV11" s="22">
        <f ca="1">+GETPIVOTDATA("XSB4",'sonbinh (2016)'!$A$3,"MA_HT","HNK","MA_QH","TON")</f>
        <v>0</v>
      </c>
      <c r="AW11" s="22">
        <f ca="1">+GETPIVOTDATA("XSB4",'sonbinh (2016)'!$A$3,"MA_HT","HNK","MA_QH","NTD")</f>
        <v>0</v>
      </c>
      <c r="AX11" s="22">
        <f ca="1">+GETPIVOTDATA("XSB4",'sonbinh (2016)'!$A$3,"MA_HT","HNK","MA_QH","SKX")</f>
        <v>0</v>
      </c>
      <c r="AY11" s="22">
        <f ca="1">+GETPIVOTDATA("XSB4",'sonbinh (2016)'!$A$3,"MA_HT","HNK","MA_QH","DSH")</f>
        <v>0</v>
      </c>
      <c r="AZ11" s="22">
        <f ca="1">+GETPIVOTDATA("XSB4",'sonbinh (2016)'!$A$3,"MA_HT","HNK","MA_QH","DKV")</f>
        <v>0</v>
      </c>
      <c r="BA11" s="89">
        <f ca="1">+GETPIVOTDATA("XSB4",'sonbinh (2016)'!$A$3,"MA_HT","HNK","MA_QH","TIN")</f>
        <v>0</v>
      </c>
      <c r="BB11" s="50">
        <f ca="1">+GETPIVOTDATA("XSB4",'sonbinh (2016)'!$A$3,"MA_HT","HNK","MA_QH","SON")</f>
        <v>0</v>
      </c>
      <c r="BC11" s="50">
        <f ca="1">+GETPIVOTDATA("XSB4",'sonbinh (2016)'!$A$3,"MA_HT","HNK","MA_QH","MNC")</f>
        <v>0</v>
      </c>
      <c r="BD11" s="22">
        <f ca="1">+GETPIVOTDATA("XSB4",'sonbinh (2016)'!$A$3,"MA_HT","HNK","MA_QH","PNK")</f>
        <v>0</v>
      </c>
      <c r="BE11" s="71">
        <f ca="1">+GETPIVOTDATA("XSB4",'sonbinh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+GETPIVOTDATA("XSB4",'sonbinh (2016)'!$A$3,"MA_HT","CLN","MA_QH","LUC")</f>
        <v>0</v>
      </c>
      <c r="H12" s="22">
        <f ca="1">+GETPIVOTDATA("XSB4",'sonbinh (2016)'!$A$3,"MA_HT","CLN","MA_QH","LUK")</f>
        <v>0</v>
      </c>
      <c r="I12" s="22">
        <f ca="1">+GETPIVOTDATA("XSB4",'sonbinh (2016)'!$A$3,"MA_HT","CLN","MA_QH","LUN")</f>
        <v>0</v>
      </c>
      <c r="J12" s="22">
        <f ca="1">+GETPIVOTDATA("XSB4",'sonbinh (2016)'!$A$3,"MA_HT","CLN","MA_QH","HNK")</f>
        <v>0</v>
      </c>
      <c r="K12" s="43" t="e">
        <f ca="1">$D12-$BF12</f>
        <v>#REF!</v>
      </c>
      <c r="L12" s="22">
        <f ca="1">+GETPIVOTDATA("XSB4",'sonbinh (2016)'!$A$3,"MA_HT","CLN","MA_QH","RSX")</f>
        <v>0</v>
      </c>
      <c r="M12" s="22">
        <f ca="1">+GETPIVOTDATA("XSB4",'sonbinh (2016)'!$A$3,"MA_HT","CLN","MA_QH","RPH")</f>
        <v>0</v>
      </c>
      <c r="N12" s="22">
        <f ca="1">+GETPIVOTDATA("XSB4",'sonbinh (2016)'!$A$3,"MA_HT","CLN","MA_QH","RDD")</f>
        <v>0</v>
      </c>
      <c r="O12" s="22">
        <f ca="1">+GETPIVOTDATA("XSB4",'sonbinh (2016)'!$A$3,"MA_HT","CLN","MA_QH","NTS")</f>
        <v>0</v>
      </c>
      <c r="P12" s="22">
        <f ca="1">+GETPIVOTDATA("XSB4",'sonbinh (2016)'!$A$3,"MA_HT","CLN","MA_QH","LMU")</f>
        <v>0</v>
      </c>
      <c r="Q12" s="22">
        <f ca="1">+GETPIVOTDATA("XSB4",'sonbinh (2016)'!$A$3,"MA_HT","CLN","MA_QH","NKH")</f>
        <v>0</v>
      </c>
      <c r="R12" s="42">
        <f ca="1" t="shared" si="2"/>
        <v>0</v>
      </c>
      <c r="S12" s="22">
        <f ca="1">+GETPIVOTDATA("XSB4",'sonbinh (2016)'!$A$3,"MA_HT","CLN","MA_QH","CQP")</f>
        <v>0</v>
      </c>
      <c r="T12" s="22">
        <f ca="1">+GETPIVOTDATA("XSB4",'sonbinh (2016)'!$A$3,"MA_HT","CLN","MA_QH","CAN")</f>
        <v>0</v>
      </c>
      <c r="U12" s="22">
        <f ca="1">+GETPIVOTDATA("XSB4",'sonbinh (2016)'!$A$3,"MA_HT","CLN","MA_QH","SKK")</f>
        <v>0</v>
      </c>
      <c r="V12" s="22">
        <f ca="1">+GETPIVOTDATA("XSB4",'sonbinh (2016)'!$A$3,"MA_HT","CLN","MA_QH","SKT")</f>
        <v>0</v>
      </c>
      <c r="W12" s="22">
        <f ca="1">+GETPIVOTDATA("XSB4",'sonbinh (2016)'!$A$3,"MA_HT","CLN","MA_QH","SKN")</f>
        <v>0</v>
      </c>
      <c r="X12" s="22">
        <f ca="1">+GETPIVOTDATA("XSB4",'sonbinh (2016)'!$A$3,"MA_HT","CLN","MA_QH","TMD")</f>
        <v>0</v>
      </c>
      <c r="Y12" s="22">
        <f ca="1">+GETPIVOTDATA("XSB4",'sonbinh (2016)'!$A$3,"MA_HT","CLN","MA_QH","SKC")</f>
        <v>0</v>
      </c>
      <c r="Z12" s="22">
        <f ca="1">+GETPIVOTDATA("XSB4",'sonbinh (2016)'!$A$3,"MA_HT","CLN","MA_QH","SKS")</f>
        <v>0</v>
      </c>
      <c r="AA12" s="52">
        <f ca="1" t="shared" si="4"/>
        <v>0</v>
      </c>
      <c r="AB12" s="22">
        <f ca="1">+GETPIVOTDATA("XSB4",'sonbinh (2016)'!$A$3,"MA_HT","CLN","MA_QH","DGT")</f>
        <v>0</v>
      </c>
      <c r="AC12" s="22">
        <f ca="1">+GETPIVOTDATA("XSB4",'sonbinh (2016)'!$A$3,"MA_HT","CLN","MA_QH","DTL")</f>
        <v>0</v>
      </c>
      <c r="AD12" s="22">
        <f ca="1">+GETPIVOTDATA("XSB4",'sonbinh (2016)'!$A$3,"MA_HT","CLN","MA_QH","DNL")</f>
        <v>0</v>
      </c>
      <c r="AE12" s="22">
        <f ca="1">+GETPIVOTDATA("XSB4",'sonbinh (2016)'!$A$3,"MA_HT","CLN","MA_QH","DBV")</f>
        <v>0</v>
      </c>
      <c r="AF12" s="22">
        <f ca="1">+GETPIVOTDATA("XSB4",'sonbinh (2016)'!$A$3,"MA_HT","CLN","MA_QH","DVH")</f>
        <v>0</v>
      </c>
      <c r="AG12" s="22">
        <f ca="1">+GETPIVOTDATA("XSB4",'sonbinh (2016)'!$A$3,"MA_HT","CLN","MA_QH","DYT")</f>
        <v>0</v>
      </c>
      <c r="AH12" s="22">
        <f ca="1">+GETPIVOTDATA("XSB4",'sonbinh (2016)'!$A$3,"MA_HT","CLN","MA_QH","DGD")</f>
        <v>0</v>
      </c>
      <c r="AI12" s="22">
        <f ca="1">+GETPIVOTDATA("XSB4",'sonbinh (2016)'!$A$3,"MA_HT","CLN","MA_QH","DTT")</f>
        <v>0</v>
      </c>
      <c r="AJ12" s="22">
        <f ca="1">+GETPIVOTDATA("XSB4",'sonbinh (2016)'!$A$3,"MA_HT","CLN","MA_QH","NCK")</f>
        <v>0</v>
      </c>
      <c r="AK12" s="22">
        <f ca="1">+GETPIVOTDATA("XSB4",'sonbinh (2016)'!$A$3,"MA_HT","CLN","MA_QH","DXH")</f>
        <v>0</v>
      </c>
      <c r="AL12" s="22">
        <f ca="1">+GETPIVOTDATA("XSB4",'sonbinh (2016)'!$A$3,"MA_HT","CLN","MA_QH","DCH")</f>
        <v>0</v>
      </c>
      <c r="AM12" s="22">
        <f ca="1">+GETPIVOTDATA("XSB4",'sonbinh (2016)'!$A$3,"MA_HT","CLN","MA_QH","DKG")</f>
        <v>0</v>
      </c>
      <c r="AN12" s="22">
        <f ca="1">+GETPIVOTDATA("XSB4",'sonbinh (2016)'!$A$3,"MA_HT","CLN","MA_QH","DDT")</f>
        <v>0</v>
      </c>
      <c r="AO12" s="22">
        <f ca="1">+GETPIVOTDATA("XSB4",'sonbinh (2016)'!$A$3,"MA_HT","CLN","MA_QH","DDL")</f>
        <v>0</v>
      </c>
      <c r="AP12" s="22">
        <f ca="1">+GETPIVOTDATA("XSB4",'sonbinh (2016)'!$A$3,"MA_HT","CLN","MA_QH","DRA")</f>
        <v>0</v>
      </c>
      <c r="AQ12" s="22">
        <f ca="1">+GETPIVOTDATA("XSB4",'sonbinh (2016)'!$A$3,"MA_HT","CLN","MA_QH","ONT")</f>
        <v>0</v>
      </c>
      <c r="AR12" s="22">
        <f ca="1">+GETPIVOTDATA("XSB4",'sonbinh (2016)'!$A$3,"MA_HT","CLN","MA_QH","ODT")</f>
        <v>0</v>
      </c>
      <c r="AS12" s="22">
        <f ca="1">+GETPIVOTDATA("XSB4",'sonbinh (2016)'!$A$3,"MA_HT","CLN","MA_QH","TSC")</f>
        <v>0</v>
      </c>
      <c r="AT12" s="22">
        <f ca="1">+GETPIVOTDATA("XSB4",'sonbinh (2016)'!$A$3,"MA_HT","CLN","MA_QH","DTS")</f>
        <v>0</v>
      </c>
      <c r="AU12" s="22">
        <f ca="1">+GETPIVOTDATA("XSB4",'sonbinh (2016)'!$A$3,"MA_HT","CLN","MA_QH","DNG")</f>
        <v>0</v>
      </c>
      <c r="AV12" s="22">
        <f ca="1">+GETPIVOTDATA("XSB4",'sonbinh (2016)'!$A$3,"MA_HT","CLN","MA_QH","TON")</f>
        <v>0</v>
      </c>
      <c r="AW12" s="22">
        <f ca="1">+GETPIVOTDATA("XSB4",'sonbinh (2016)'!$A$3,"MA_HT","CLN","MA_QH","NTD")</f>
        <v>0</v>
      </c>
      <c r="AX12" s="22">
        <f ca="1">+GETPIVOTDATA("XSB4",'sonbinh (2016)'!$A$3,"MA_HT","CLN","MA_QH","SKX")</f>
        <v>0</v>
      </c>
      <c r="AY12" s="22">
        <f ca="1">+GETPIVOTDATA("XSB4",'sonbinh (2016)'!$A$3,"MA_HT","CLN","MA_QH","DSH")</f>
        <v>0</v>
      </c>
      <c r="AZ12" s="22">
        <f ca="1">+GETPIVOTDATA("XSB4",'sonbinh (2016)'!$A$3,"MA_HT","CLN","MA_QH","DKV")</f>
        <v>0</v>
      </c>
      <c r="BA12" s="89">
        <f ca="1">+GETPIVOTDATA("XSB4",'sonbinh (2016)'!$A$3,"MA_HT","CLN","MA_QH","TIN")</f>
        <v>0</v>
      </c>
      <c r="BB12" s="50">
        <f ca="1">+GETPIVOTDATA("XSB4",'sonbinh (2016)'!$A$3,"MA_HT","CLN","MA_QH","SON")</f>
        <v>0</v>
      </c>
      <c r="BC12" s="50">
        <f ca="1">+GETPIVOTDATA("XSB4",'sonbinh (2016)'!$A$3,"MA_HT","CLN","MA_QH","MNC")</f>
        <v>0</v>
      </c>
      <c r="BD12" s="22">
        <f ca="1">+GETPIVOTDATA("XSB4",'sonbinh (2016)'!$A$3,"MA_HT","CLN","MA_QH","PNK")</f>
        <v>0</v>
      </c>
      <c r="BE12" s="71">
        <f ca="1">+GETPIVOTDATA("XSB4",'sonbinh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+GETPIVOTDATA("XSB4",'sonbinh (2016)'!$A$3,"MA_HT","RSX","MA_QH","LUC")</f>
        <v>0</v>
      </c>
      <c r="H13" s="22">
        <f ca="1">+GETPIVOTDATA("XSB4",'sonbinh (2016)'!$A$3,"MA_HT","RSX","MA_QH","LUK")</f>
        <v>0</v>
      </c>
      <c r="I13" s="22">
        <f ca="1">+GETPIVOTDATA("XSB4",'sonbinh (2016)'!$A$3,"MA_HT","RSX","MA_QH","LUN")</f>
        <v>0</v>
      </c>
      <c r="J13" s="22">
        <f ca="1">+GETPIVOTDATA("XSB4",'sonbinh (2016)'!$A$3,"MA_HT","RSX","MA_QH","HNK")</f>
        <v>0</v>
      </c>
      <c r="K13" s="22">
        <f ca="1">+GETPIVOTDATA("XSB4",'sonbinh (2016)'!$A$3,"MA_HT","RSX","MA_QH","CLN")</f>
        <v>0</v>
      </c>
      <c r="L13" s="43" t="e">
        <f ca="1">$D13-$BF13</f>
        <v>#REF!</v>
      </c>
      <c r="M13" s="22">
        <f ca="1">+GETPIVOTDATA("XSB4",'sonbinh (2016)'!$A$3,"MA_HT","RSX","MA_QH","RPH")</f>
        <v>0</v>
      </c>
      <c r="N13" s="22">
        <f ca="1">+GETPIVOTDATA("XSB4",'sonbinh (2016)'!$A$3,"MA_HT","RSX","MA_QH","RDD")</f>
        <v>0</v>
      </c>
      <c r="O13" s="22">
        <f ca="1">+GETPIVOTDATA("XSB4",'sonbinh (2016)'!$A$3,"MA_HT","RSX","MA_QH","NTS")</f>
        <v>0</v>
      </c>
      <c r="P13" s="22">
        <f ca="1">+GETPIVOTDATA("XSB4",'sonbinh (2016)'!$A$3,"MA_HT","RSX","MA_QH","LMU")</f>
        <v>0</v>
      </c>
      <c r="Q13" s="22">
        <f ca="1">+GETPIVOTDATA("XSB4",'sonbinh (2016)'!$A$3,"MA_HT","RSX","MA_QH","NKH")</f>
        <v>0</v>
      </c>
      <c r="R13" s="42">
        <f ca="1" t="shared" si="2"/>
        <v>0</v>
      </c>
      <c r="S13" s="22">
        <f ca="1">+GETPIVOTDATA("XSB4",'sonbinh (2016)'!$A$3,"MA_HT","RSX","MA_QH","CQP")</f>
        <v>0</v>
      </c>
      <c r="T13" s="22">
        <f ca="1">+GETPIVOTDATA("XSB4",'sonbinh (2016)'!$A$3,"MA_HT","RSX","MA_QH","CAN")</f>
        <v>0</v>
      </c>
      <c r="U13" s="22">
        <f ca="1">+GETPIVOTDATA("XSB4",'sonbinh (2016)'!$A$3,"MA_HT","RSX","MA_QH","SKK")</f>
        <v>0</v>
      </c>
      <c r="V13" s="22">
        <f ca="1">+GETPIVOTDATA("XSB4",'sonbinh (2016)'!$A$3,"MA_HT","RSX","MA_QH","SKT")</f>
        <v>0</v>
      </c>
      <c r="W13" s="22">
        <f ca="1">+GETPIVOTDATA("XSB4",'sonbinh (2016)'!$A$3,"MA_HT","RSX","MA_QH","SKN")</f>
        <v>0</v>
      </c>
      <c r="X13" s="22">
        <f ca="1">+GETPIVOTDATA("XSB4",'sonbinh (2016)'!$A$3,"MA_HT","RSX","MA_QH","TMD")</f>
        <v>0</v>
      </c>
      <c r="Y13" s="22">
        <f ca="1">+GETPIVOTDATA("XSB4",'sonbinh (2016)'!$A$3,"MA_HT","RSX","MA_QH","SKC")</f>
        <v>0</v>
      </c>
      <c r="Z13" s="22">
        <f ca="1">+GETPIVOTDATA("XSB4",'sonbinh (2016)'!$A$3,"MA_HT","RSX","MA_QH","SKS")</f>
        <v>0</v>
      </c>
      <c r="AA13" s="52">
        <f ca="1" t="shared" si="4"/>
        <v>0</v>
      </c>
      <c r="AB13" s="22">
        <f ca="1">+GETPIVOTDATA("XSB4",'sonbinh (2016)'!$A$3,"MA_HT","RSX","MA_QH","DGT")</f>
        <v>0</v>
      </c>
      <c r="AC13" s="22">
        <f ca="1">+GETPIVOTDATA("XSB4",'sonbinh (2016)'!$A$3,"MA_HT","RSX","MA_QH","DTL")</f>
        <v>0</v>
      </c>
      <c r="AD13" s="22">
        <f ca="1">+GETPIVOTDATA("XSB4",'sonbinh (2016)'!$A$3,"MA_HT","RSX","MA_QH","DNL")</f>
        <v>0</v>
      </c>
      <c r="AE13" s="22">
        <f ca="1">+GETPIVOTDATA("XSB4",'sonbinh (2016)'!$A$3,"MA_HT","RSX","MA_QH","DBV")</f>
        <v>0</v>
      </c>
      <c r="AF13" s="22">
        <f ca="1">+GETPIVOTDATA("XSB4",'sonbinh (2016)'!$A$3,"MA_HT","RSX","MA_QH","DVH")</f>
        <v>0</v>
      </c>
      <c r="AG13" s="22">
        <f ca="1">+GETPIVOTDATA("XSB4",'sonbinh (2016)'!$A$3,"MA_HT","RSX","MA_QH","DYT")</f>
        <v>0</v>
      </c>
      <c r="AH13" s="22">
        <f ca="1">+GETPIVOTDATA("XSB4",'sonbinh (2016)'!$A$3,"MA_HT","RSX","MA_QH","DGD")</f>
        <v>0</v>
      </c>
      <c r="AI13" s="22">
        <f ca="1">+GETPIVOTDATA("XSB4",'sonbinh (2016)'!$A$3,"MA_HT","RSX","MA_QH","DTT")</f>
        <v>0</v>
      </c>
      <c r="AJ13" s="22">
        <f ca="1">+GETPIVOTDATA("XSB4",'sonbinh (2016)'!$A$3,"MA_HT","RSX","MA_QH","NCK")</f>
        <v>0</v>
      </c>
      <c r="AK13" s="22">
        <f ca="1">+GETPIVOTDATA("XSB4",'sonbinh (2016)'!$A$3,"MA_HT","RSX","MA_QH","DXH")</f>
        <v>0</v>
      </c>
      <c r="AL13" s="22">
        <f ca="1">+GETPIVOTDATA("XSB4",'sonbinh (2016)'!$A$3,"MA_HT","RSX","MA_QH","DCH")</f>
        <v>0</v>
      </c>
      <c r="AM13" s="22">
        <f ca="1">+GETPIVOTDATA("XSB4",'sonbinh (2016)'!$A$3,"MA_HT","RSX","MA_QH","DKG")</f>
        <v>0</v>
      </c>
      <c r="AN13" s="22">
        <f ca="1">+GETPIVOTDATA("XSB4",'sonbinh (2016)'!$A$3,"MA_HT","RSX","MA_QH","DDT")</f>
        <v>0</v>
      </c>
      <c r="AO13" s="22">
        <f ca="1">+GETPIVOTDATA("XSB4",'sonbinh (2016)'!$A$3,"MA_HT","RSX","MA_QH","DDL")</f>
        <v>0</v>
      </c>
      <c r="AP13" s="22">
        <f ca="1">+GETPIVOTDATA("XSB4",'sonbinh (2016)'!$A$3,"MA_HT","RSX","MA_QH","DRA")</f>
        <v>0</v>
      </c>
      <c r="AQ13" s="22">
        <f ca="1">+GETPIVOTDATA("XSB4",'sonbinh (2016)'!$A$3,"MA_HT","RSX","MA_QH","ONT")</f>
        <v>0</v>
      </c>
      <c r="AR13" s="22">
        <f ca="1">+GETPIVOTDATA("XSB4",'sonbinh (2016)'!$A$3,"MA_HT","RSX","MA_QH","ODT")</f>
        <v>0</v>
      </c>
      <c r="AS13" s="22">
        <f ca="1">+GETPIVOTDATA("XSB4",'sonbinh (2016)'!$A$3,"MA_HT","RSX","MA_QH","TSC")</f>
        <v>0</v>
      </c>
      <c r="AT13" s="22">
        <f ca="1">+GETPIVOTDATA("XSB4",'sonbinh (2016)'!$A$3,"MA_HT","RSX","MA_QH","DTS")</f>
        <v>0</v>
      </c>
      <c r="AU13" s="22">
        <f ca="1">+GETPIVOTDATA("XSB4",'sonbinh (2016)'!$A$3,"MA_HT","RSX","MA_QH","DNG")</f>
        <v>0</v>
      </c>
      <c r="AV13" s="22">
        <f ca="1">+GETPIVOTDATA("XSB4",'sonbinh (2016)'!$A$3,"MA_HT","RSX","MA_QH","TON")</f>
        <v>0</v>
      </c>
      <c r="AW13" s="22">
        <f ca="1">+GETPIVOTDATA("XSB4",'sonbinh (2016)'!$A$3,"MA_HT","RSX","MA_QH","NTD")</f>
        <v>0</v>
      </c>
      <c r="AX13" s="22">
        <f ca="1">+GETPIVOTDATA("XSB4",'sonbinh (2016)'!$A$3,"MA_HT","RSX","MA_QH","SKX")</f>
        <v>0</v>
      </c>
      <c r="AY13" s="22">
        <f ca="1">+GETPIVOTDATA("XSB4",'sonbinh (2016)'!$A$3,"MA_HT","RSX","MA_QH","DSH")</f>
        <v>0</v>
      </c>
      <c r="AZ13" s="22">
        <f ca="1">+GETPIVOTDATA("XSB4",'sonbinh (2016)'!$A$3,"MA_HT","RSX","MA_QH","DKV")</f>
        <v>0</v>
      </c>
      <c r="BA13" s="89">
        <f ca="1">+GETPIVOTDATA("XSB4",'sonbinh (2016)'!$A$3,"MA_HT","RSX","MA_QH","TIN")</f>
        <v>0</v>
      </c>
      <c r="BB13" s="50">
        <f ca="1">+GETPIVOTDATA("XSB4",'sonbinh (2016)'!$A$3,"MA_HT","RSX","MA_QH","SON")</f>
        <v>0</v>
      </c>
      <c r="BC13" s="50">
        <f ca="1">+GETPIVOTDATA("XSB4",'sonbinh (2016)'!$A$3,"MA_HT","RSX","MA_QH","MNC")</f>
        <v>0</v>
      </c>
      <c r="BD13" s="22">
        <f ca="1">+GETPIVOTDATA("XSB4",'sonbinh (2016)'!$A$3,"MA_HT","RSX","MA_QH","PNK")</f>
        <v>0</v>
      </c>
      <c r="BE13" s="71">
        <f ca="1">+GETPIVOTDATA("XSB4",'sonbinh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+GETPIVOTDATA("XSB4",'sonbinh (2016)'!$A$3,"MA_HT","RPH","MA_QH","LUC")</f>
        <v>0</v>
      </c>
      <c r="H14" s="22">
        <f ca="1">+GETPIVOTDATA("XSB4",'sonbinh (2016)'!$A$3,"MA_HT","RPH","MA_QH","LUK")</f>
        <v>0</v>
      </c>
      <c r="I14" s="22">
        <f ca="1">+GETPIVOTDATA("XSB4",'sonbinh (2016)'!$A$3,"MA_HT","RPH","MA_QH","LUN")</f>
        <v>0</v>
      </c>
      <c r="J14" s="22">
        <f ca="1">+GETPIVOTDATA("XSB4",'sonbinh (2016)'!$A$3,"MA_HT","RPH","MA_QH","HNK")</f>
        <v>0</v>
      </c>
      <c r="K14" s="22">
        <f ca="1">+GETPIVOTDATA("XSB4",'sonbinh (2016)'!$A$3,"MA_HT","RPH","MA_QH","CLN")</f>
        <v>0</v>
      </c>
      <c r="L14" s="22">
        <f ca="1">+GETPIVOTDATA("XSB4",'sonbinh (2016)'!$A$3,"MA_HT","RPH","MA_QH","RSX")</f>
        <v>0</v>
      </c>
      <c r="M14" s="43" t="e">
        <f ca="1">$D14-$BF14</f>
        <v>#REF!</v>
      </c>
      <c r="N14" s="22">
        <f ca="1">+GETPIVOTDATA("XSB4",'sonbinh (2016)'!$A$3,"MA_HT","RPH","MA_QH","RDD")</f>
        <v>0</v>
      </c>
      <c r="O14" s="22">
        <f ca="1">+GETPIVOTDATA("XSB4",'sonbinh (2016)'!$A$3,"MA_HT","RPH","MA_QH","NTS")</f>
        <v>0</v>
      </c>
      <c r="P14" s="22">
        <f ca="1">+GETPIVOTDATA("XSB4",'sonbinh (2016)'!$A$3,"MA_HT","RPH","MA_QH","LMU")</f>
        <v>0</v>
      </c>
      <c r="Q14" s="22">
        <f ca="1">+GETPIVOTDATA("XSB4",'sonbinh (2016)'!$A$3,"MA_HT","RPH","MA_QH","NKH")</f>
        <v>0</v>
      </c>
      <c r="R14" s="42">
        <f ca="1" t="shared" si="2"/>
        <v>0</v>
      </c>
      <c r="S14" s="22">
        <f ca="1">+GETPIVOTDATA("XSB4",'sonbinh (2016)'!$A$3,"MA_HT","RPH","MA_QH","CQP")</f>
        <v>0</v>
      </c>
      <c r="T14" s="22">
        <f ca="1">+GETPIVOTDATA("XSB4",'sonbinh (2016)'!$A$3,"MA_HT","RPH","MA_QH","CAN")</f>
        <v>0</v>
      </c>
      <c r="U14" s="22">
        <f ca="1">+GETPIVOTDATA("XSB4",'sonbinh (2016)'!$A$3,"MA_HT","RPH","MA_QH","SKK")</f>
        <v>0</v>
      </c>
      <c r="V14" s="22">
        <f ca="1">+GETPIVOTDATA("XSB4",'sonbinh (2016)'!$A$3,"MA_HT","RPH","MA_QH","SKT")</f>
        <v>0</v>
      </c>
      <c r="W14" s="22">
        <f ca="1">+GETPIVOTDATA("XSB4",'sonbinh (2016)'!$A$3,"MA_HT","RPH","MA_QH","SKN")</f>
        <v>0</v>
      </c>
      <c r="X14" s="22">
        <f ca="1">+GETPIVOTDATA("XSB4",'sonbinh (2016)'!$A$3,"MA_HT","RPH","MA_QH","TMD")</f>
        <v>0</v>
      </c>
      <c r="Y14" s="22">
        <f ca="1">+GETPIVOTDATA("XSB4",'sonbinh (2016)'!$A$3,"MA_HT","RPH","MA_QH","SKC")</f>
        <v>0</v>
      </c>
      <c r="Z14" s="22">
        <f ca="1">+GETPIVOTDATA("XSB4",'sonbinh (2016)'!$A$3,"MA_HT","RPH","MA_QH","SKS")</f>
        <v>0</v>
      </c>
      <c r="AA14" s="52">
        <f ca="1" t="shared" si="4"/>
        <v>0</v>
      </c>
      <c r="AB14" s="22">
        <f ca="1">+GETPIVOTDATA("XSB4",'sonbinh (2016)'!$A$3,"MA_HT","RPH","MA_QH","DGT")</f>
        <v>0</v>
      </c>
      <c r="AC14" s="22">
        <f ca="1">+GETPIVOTDATA("XSB4",'sonbinh (2016)'!$A$3,"MA_HT","RPH","MA_QH","DTL")</f>
        <v>0</v>
      </c>
      <c r="AD14" s="22">
        <f ca="1">+GETPIVOTDATA("XSB4",'sonbinh (2016)'!$A$3,"MA_HT","RPH","MA_QH","DNL")</f>
        <v>0</v>
      </c>
      <c r="AE14" s="22">
        <f ca="1">+GETPIVOTDATA("XSB4",'sonbinh (2016)'!$A$3,"MA_HT","RPH","MA_QH","DBV")</f>
        <v>0</v>
      </c>
      <c r="AF14" s="22">
        <f ca="1">+GETPIVOTDATA("XSB4",'sonbinh (2016)'!$A$3,"MA_HT","RPH","MA_QH","DVH")</f>
        <v>0</v>
      </c>
      <c r="AG14" s="22">
        <f ca="1">+GETPIVOTDATA("XSB4",'sonbinh (2016)'!$A$3,"MA_HT","RPH","MA_QH","DYT")</f>
        <v>0</v>
      </c>
      <c r="AH14" s="22">
        <f ca="1">+GETPIVOTDATA("XSB4",'sonbinh (2016)'!$A$3,"MA_HT","RPH","MA_QH","DGD")</f>
        <v>0</v>
      </c>
      <c r="AI14" s="22">
        <f ca="1">+GETPIVOTDATA("XSB4",'sonbinh (2016)'!$A$3,"MA_HT","RPH","MA_QH","DTT")</f>
        <v>0</v>
      </c>
      <c r="AJ14" s="22">
        <f ca="1">+GETPIVOTDATA("XSB4",'sonbinh (2016)'!$A$3,"MA_HT","RPH","MA_QH","NCK")</f>
        <v>0</v>
      </c>
      <c r="AK14" s="22">
        <f ca="1">+GETPIVOTDATA("XSB4",'sonbinh (2016)'!$A$3,"MA_HT","RPH","MA_QH","DXH")</f>
        <v>0</v>
      </c>
      <c r="AL14" s="22">
        <f ca="1">+GETPIVOTDATA("XSB4",'sonbinh (2016)'!$A$3,"MA_HT","RPH","MA_QH","DCH")</f>
        <v>0</v>
      </c>
      <c r="AM14" s="22">
        <f ca="1">+GETPIVOTDATA("XSB4",'sonbinh (2016)'!$A$3,"MA_HT","RPH","MA_QH","DKG")</f>
        <v>0</v>
      </c>
      <c r="AN14" s="22">
        <f ca="1">+GETPIVOTDATA("XSB4",'sonbinh (2016)'!$A$3,"MA_HT","RPH","MA_QH","DDT")</f>
        <v>0</v>
      </c>
      <c r="AO14" s="22">
        <f ca="1">+GETPIVOTDATA("XSB4",'sonbinh (2016)'!$A$3,"MA_HT","RPH","MA_QH","DDL")</f>
        <v>0</v>
      </c>
      <c r="AP14" s="22">
        <f ca="1">+GETPIVOTDATA("XSB4",'sonbinh (2016)'!$A$3,"MA_HT","RPH","MA_QH","DRA")</f>
        <v>0</v>
      </c>
      <c r="AQ14" s="22">
        <f ca="1">+GETPIVOTDATA("XSB4",'sonbinh (2016)'!$A$3,"MA_HT","RPH","MA_QH","ONT")</f>
        <v>0</v>
      </c>
      <c r="AR14" s="22">
        <f ca="1">+GETPIVOTDATA("XSB4",'sonbinh (2016)'!$A$3,"MA_HT","RPH","MA_QH","ODT")</f>
        <v>0</v>
      </c>
      <c r="AS14" s="22">
        <f ca="1">+GETPIVOTDATA("XSB4",'sonbinh (2016)'!$A$3,"MA_HT","RPH","MA_QH","TSC")</f>
        <v>0</v>
      </c>
      <c r="AT14" s="22">
        <f ca="1">+GETPIVOTDATA("XSB4",'sonbinh (2016)'!$A$3,"MA_HT","RPH","MA_QH","DTS")</f>
        <v>0</v>
      </c>
      <c r="AU14" s="22">
        <f ca="1">+GETPIVOTDATA("XSB4",'sonbinh (2016)'!$A$3,"MA_HT","RPH","MA_QH","DNG")</f>
        <v>0</v>
      </c>
      <c r="AV14" s="22">
        <f ca="1">+GETPIVOTDATA("XSB4",'sonbinh (2016)'!$A$3,"MA_HT","RPH","MA_QH","TON")</f>
        <v>0</v>
      </c>
      <c r="AW14" s="22">
        <f ca="1">+GETPIVOTDATA("XSB4",'sonbinh (2016)'!$A$3,"MA_HT","RPH","MA_QH","NTD")</f>
        <v>0</v>
      </c>
      <c r="AX14" s="22">
        <f ca="1">+GETPIVOTDATA("XSB4",'sonbinh (2016)'!$A$3,"MA_HT","RPH","MA_QH","SKX")</f>
        <v>0</v>
      </c>
      <c r="AY14" s="22">
        <f ca="1">+GETPIVOTDATA("XSB4",'sonbinh (2016)'!$A$3,"MA_HT","RPH","MA_QH","DSH")</f>
        <v>0</v>
      </c>
      <c r="AZ14" s="22">
        <f ca="1">+GETPIVOTDATA("XSB4",'sonbinh (2016)'!$A$3,"MA_HT","RPH","MA_QH","DKV")</f>
        <v>0</v>
      </c>
      <c r="BA14" s="89">
        <f ca="1">+GETPIVOTDATA("XSB4",'sonbinh (2016)'!$A$3,"MA_HT","RPH","MA_QH","TIN")</f>
        <v>0</v>
      </c>
      <c r="BB14" s="50">
        <f ca="1">+GETPIVOTDATA("XSB4",'sonbinh (2016)'!$A$3,"MA_HT","RPH","MA_QH","SON")</f>
        <v>0</v>
      </c>
      <c r="BC14" s="50">
        <f ca="1">+GETPIVOTDATA("XSB4",'sonbinh (2016)'!$A$3,"MA_HT","RPH","MA_QH","MNC")</f>
        <v>0</v>
      </c>
      <c r="BD14" s="22">
        <f ca="1">+GETPIVOTDATA("XSB4",'sonbinh (2016)'!$A$3,"MA_HT","RPH","MA_QH","PNK")</f>
        <v>0</v>
      </c>
      <c r="BE14" s="71">
        <f ca="1">+GETPIVOTDATA("XSB4",'sonbinh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+GETPIVOTDATA("XSB4",'sonbinh (2016)'!$A$3,"MA_HT","RDD","MA_QH","LUC")</f>
        <v>0</v>
      </c>
      <c r="H15" s="22">
        <f ca="1">+GETPIVOTDATA("XSB4",'sonbinh (2016)'!$A$3,"MA_HT","RDD","MA_QH","LUK")</f>
        <v>0</v>
      </c>
      <c r="I15" s="22">
        <f ca="1">+GETPIVOTDATA("XSB4",'sonbinh (2016)'!$A$3,"MA_HT","RDD","MA_QH","LUN")</f>
        <v>0</v>
      </c>
      <c r="J15" s="22">
        <f ca="1">+GETPIVOTDATA("XSB4",'sonbinh (2016)'!$A$3,"MA_HT","RDD","MA_QH","HNK")</f>
        <v>0</v>
      </c>
      <c r="K15" s="22">
        <f ca="1">+GETPIVOTDATA("XSB4",'sonbinh (2016)'!$A$3,"MA_HT","RDD","MA_QH","CLN")</f>
        <v>0</v>
      </c>
      <c r="L15" s="22">
        <f ca="1">+GETPIVOTDATA("XSB4",'sonbinh (2016)'!$A$3,"MA_HT","RDD","MA_QH","RSX")</f>
        <v>0</v>
      </c>
      <c r="M15" s="22">
        <f ca="1">+GETPIVOTDATA("XSB4",'sonbinh (2016)'!$A$3,"MA_HT","RDD","MA_QH","RPH")</f>
        <v>0</v>
      </c>
      <c r="N15" s="43" t="e">
        <f ca="1">$D15-$BF15</f>
        <v>#REF!</v>
      </c>
      <c r="O15" s="22">
        <f ca="1">+GETPIVOTDATA("XSB4",'sonbinh (2016)'!$A$3,"MA_HT","RDD","MA_QH","NTS")</f>
        <v>0</v>
      </c>
      <c r="P15" s="22">
        <f ca="1">+GETPIVOTDATA("XSB4",'sonbinh (2016)'!$A$3,"MA_HT","RDD","MA_QH","LMU")</f>
        <v>0</v>
      </c>
      <c r="Q15" s="22">
        <f ca="1">+GETPIVOTDATA("XSB4",'sonbinh (2016)'!$A$3,"MA_HT","RDD","MA_QH","NKH")</f>
        <v>0</v>
      </c>
      <c r="R15" s="42">
        <f ca="1" t="shared" si="2"/>
        <v>0</v>
      </c>
      <c r="S15" s="22">
        <f ca="1">+GETPIVOTDATA("XSB4",'sonbinh (2016)'!$A$3,"MA_HT","RDD","MA_QH","CQP")</f>
        <v>0</v>
      </c>
      <c r="T15" s="22">
        <f ca="1">+GETPIVOTDATA("XSB4",'sonbinh (2016)'!$A$3,"MA_HT","RDD","MA_QH","CAN")</f>
        <v>0</v>
      </c>
      <c r="U15" s="22">
        <f ca="1">+GETPIVOTDATA("XSB4",'sonbinh (2016)'!$A$3,"MA_HT","RDD","MA_QH","SKK")</f>
        <v>0</v>
      </c>
      <c r="V15" s="22">
        <f ca="1">+GETPIVOTDATA("XSB4",'sonbinh (2016)'!$A$3,"MA_HT","RDD","MA_QH","SKT")</f>
        <v>0</v>
      </c>
      <c r="W15" s="22">
        <f ca="1">+GETPIVOTDATA("XSB4",'sonbinh (2016)'!$A$3,"MA_HT","RDD","MA_QH","SKN")</f>
        <v>0</v>
      </c>
      <c r="X15" s="22">
        <f ca="1">+GETPIVOTDATA("XSB4",'sonbinh (2016)'!$A$3,"MA_HT","RDD","MA_QH","TMD")</f>
        <v>0</v>
      </c>
      <c r="Y15" s="22">
        <f ca="1">+GETPIVOTDATA("XSB4",'sonbinh (2016)'!$A$3,"MA_HT","RDD","MA_QH","SKC")</f>
        <v>0</v>
      </c>
      <c r="Z15" s="22">
        <f ca="1">+GETPIVOTDATA("XSB4",'sonbinh (2016)'!$A$3,"MA_HT","RDD","MA_QH","SKS")</f>
        <v>0</v>
      </c>
      <c r="AA15" s="52">
        <f ca="1" t="shared" si="4"/>
        <v>0</v>
      </c>
      <c r="AB15" s="22">
        <f ca="1">+GETPIVOTDATA("XSB4",'sonbinh (2016)'!$A$3,"MA_HT","RDD","MA_QH","DGT")</f>
        <v>0</v>
      </c>
      <c r="AC15" s="22">
        <f ca="1">+GETPIVOTDATA("XSB4",'sonbinh (2016)'!$A$3,"MA_HT","RDD","MA_QH","DTL")</f>
        <v>0</v>
      </c>
      <c r="AD15" s="22">
        <f ca="1">+GETPIVOTDATA("XSB4",'sonbinh (2016)'!$A$3,"MA_HT","RDD","MA_QH","DNL")</f>
        <v>0</v>
      </c>
      <c r="AE15" s="22">
        <f ca="1">+GETPIVOTDATA("XSB4",'sonbinh (2016)'!$A$3,"MA_HT","RDD","MA_QH","DBV")</f>
        <v>0</v>
      </c>
      <c r="AF15" s="22">
        <f ca="1">+GETPIVOTDATA("XSB4",'sonbinh (2016)'!$A$3,"MA_HT","RDD","MA_QH","DVH")</f>
        <v>0</v>
      </c>
      <c r="AG15" s="22">
        <f ca="1">+GETPIVOTDATA("XSB4",'sonbinh (2016)'!$A$3,"MA_HT","RDD","MA_QH","DYT")</f>
        <v>0</v>
      </c>
      <c r="AH15" s="22">
        <f ca="1">+GETPIVOTDATA("XSB4",'sonbinh (2016)'!$A$3,"MA_HT","RDD","MA_QH","DGD")</f>
        <v>0</v>
      </c>
      <c r="AI15" s="22">
        <f ca="1">+GETPIVOTDATA("XSB4",'sonbinh (2016)'!$A$3,"MA_HT","RDD","MA_QH","DTT")</f>
        <v>0</v>
      </c>
      <c r="AJ15" s="22">
        <f ca="1">+GETPIVOTDATA("XSB4",'sonbinh (2016)'!$A$3,"MA_HT","RDD","MA_QH","NCK")</f>
        <v>0</v>
      </c>
      <c r="AK15" s="22">
        <f ca="1">+GETPIVOTDATA("XSB4",'sonbinh (2016)'!$A$3,"MA_HT","RDD","MA_QH","DXH")</f>
        <v>0</v>
      </c>
      <c r="AL15" s="22">
        <f ca="1">+GETPIVOTDATA("XSB4",'sonbinh (2016)'!$A$3,"MA_HT","RDD","MA_QH","DCH")</f>
        <v>0</v>
      </c>
      <c r="AM15" s="22">
        <f ca="1">+GETPIVOTDATA("XSB4",'sonbinh (2016)'!$A$3,"MA_HT","RDD","MA_QH","DKG")</f>
        <v>0</v>
      </c>
      <c r="AN15" s="22">
        <f ca="1">+GETPIVOTDATA("XSB4",'sonbinh (2016)'!$A$3,"MA_HT","RDD","MA_QH","DDT")</f>
        <v>0</v>
      </c>
      <c r="AO15" s="22">
        <f ca="1">+GETPIVOTDATA("XSB4",'sonbinh (2016)'!$A$3,"MA_HT","RDD","MA_QH","DDL")</f>
        <v>0</v>
      </c>
      <c r="AP15" s="22">
        <f ca="1">+GETPIVOTDATA("XSB4",'sonbinh (2016)'!$A$3,"MA_HT","RDD","MA_QH","DRA")</f>
        <v>0</v>
      </c>
      <c r="AQ15" s="22">
        <f ca="1">+GETPIVOTDATA("XSB4",'sonbinh (2016)'!$A$3,"MA_HT","RDD","MA_QH","ONT")</f>
        <v>0</v>
      </c>
      <c r="AR15" s="22">
        <f ca="1">+GETPIVOTDATA("XSB4",'sonbinh (2016)'!$A$3,"MA_HT","RDD","MA_QH","ODT")</f>
        <v>0</v>
      </c>
      <c r="AS15" s="22">
        <f ca="1">+GETPIVOTDATA("XSB4",'sonbinh (2016)'!$A$3,"MA_HT","RDD","MA_QH","TSC")</f>
        <v>0</v>
      </c>
      <c r="AT15" s="22">
        <f ca="1">+GETPIVOTDATA("XSB4",'sonbinh (2016)'!$A$3,"MA_HT","RDD","MA_QH","DTS")</f>
        <v>0</v>
      </c>
      <c r="AU15" s="22">
        <f ca="1">+GETPIVOTDATA("XSB4",'sonbinh (2016)'!$A$3,"MA_HT","RDD","MA_QH","DNG")</f>
        <v>0</v>
      </c>
      <c r="AV15" s="22">
        <f ca="1">+GETPIVOTDATA("XSB4",'sonbinh (2016)'!$A$3,"MA_HT","RDD","MA_QH","TON")</f>
        <v>0</v>
      </c>
      <c r="AW15" s="22">
        <f ca="1">+GETPIVOTDATA("XSB4",'sonbinh (2016)'!$A$3,"MA_HT","RDD","MA_QH","NTD")</f>
        <v>0</v>
      </c>
      <c r="AX15" s="22">
        <f ca="1">+GETPIVOTDATA("XSB4",'sonbinh (2016)'!$A$3,"MA_HT","RDD","MA_QH","SKX")</f>
        <v>0</v>
      </c>
      <c r="AY15" s="22">
        <f ca="1">+GETPIVOTDATA("XSB4",'sonbinh (2016)'!$A$3,"MA_HT","RDD","MA_QH","DSH")</f>
        <v>0</v>
      </c>
      <c r="AZ15" s="22">
        <f ca="1">+GETPIVOTDATA("XSB4",'sonbinh (2016)'!$A$3,"MA_HT","RDD","MA_QH","DKV")</f>
        <v>0</v>
      </c>
      <c r="BA15" s="89">
        <f ca="1">+GETPIVOTDATA("XSB4",'sonbinh (2016)'!$A$3,"MA_HT","RDD","MA_QH","TIN")</f>
        <v>0</v>
      </c>
      <c r="BB15" s="50">
        <f ca="1">+GETPIVOTDATA("XSB4",'sonbinh (2016)'!$A$3,"MA_HT","RDD","MA_QH","SON")</f>
        <v>0</v>
      </c>
      <c r="BC15" s="50">
        <f ca="1">+GETPIVOTDATA("XSB4",'sonbinh (2016)'!$A$3,"MA_HT","RDD","MA_QH","MNC")</f>
        <v>0</v>
      </c>
      <c r="BD15" s="22">
        <f ca="1">+GETPIVOTDATA("XSB4",'sonbinh (2016)'!$A$3,"MA_HT","RDD","MA_QH","PNK")</f>
        <v>0</v>
      </c>
      <c r="BE15" s="71">
        <f ca="1">+GETPIVOTDATA("XSB4",'sonbinh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+GETPIVOTDATA("XSB4",'sonbinh (2016)'!$A$3,"MA_HT","NTS","MA_QH","LUC")</f>
        <v>0</v>
      </c>
      <c r="H16" s="22">
        <f ca="1">+GETPIVOTDATA("XSB4",'sonbinh (2016)'!$A$3,"MA_HT","NTS","MA_QH","LUK")</f>
        <v>0</v>
      </c>
      <c r="I16" s="22">
        <f ca="1">+GETPIVOTDATA("XSB4",'sonbinh (2016)'!$A$3,"MA_HT","NTS","MA_QH","LUN")</f>
        <v>0</v>
      </c>
      <c r="J16" s="22">
        <f ca="1">+GETPIVOTDATA("XSB4",'sonbinh (2016)'!$A$3,"MA_HT","NTS","MA_QH","HNK")</f>
        <v>0</v>
      </c>
      <c r="K16" s="22">
        <f ca="1">+GETPIVOTDATA("XSB4",'sonbinh (2016)'!$A$3,"MA_HT","NTS","MA_QH","CLN")</f>
        <v>0</v>
      </c>
      <c r="L16" s="22">
        <f ca="1">+GETPIVOTDATA("XSB4",'sonbinh (2016)'!$A$3,"MA_HT","NTS","MA_QH","RSX")</f>
        <v>0</v>
      </c>
      <c r="M16" s="22">
        <f ca="1">+GETPIVOTDATA("XSB4",'sonbinh (2016)'!$A$3,"MA_HT","NTS","MA_QH","RPH")</f>
        <v>0</v>
      </c>
      <c r="N16" s="22">
        <f ca="1">+GETPIVOTDATA("XSB4",'sonbinh (2016)'!$A$3,"MA_HT","NTS","MA_QH","RDD")</f>
        <v>0</v>
      </c>
      <c r="O16" s="43" t="e">
        <f ca="1">$D16-$BF16</f>
        <v>#REF!</v>
      </c>
      <c r="P16" s="22">
        <f ca="1">+GETPIVOTDATA("XSB4",'sonbinh (2016)'!$A$3,"MA_HT","NTS","MA_QH","LMU")</f>
        <v>0</v>
      </c>
      <c r="Q16" s="22">
        <f ca="1">+GETPIVOTDATA("XSB4",'sonbinh (2016)'!$A$3,"MA_HT","NTS","MA_QH","NKH")</f>
        <v>0</v>
      </c>
      <c r="R16" s="42">
        <f ca="1" t="shared" si="2"/>
        <v>0</v>
      </c>
      <c r="S16" s="22">
        <f ca="1">+GETPIVOTDATA("XSB4",'sonbinh (2016)'!$A$3,"MA_HT","NTS","MA_QH","CQP")</f>
        <v>0</v>
      </c>
      <c r="T16" s="22">
        <f ca="1">+GETPIVOTDATA("XSB4",'sonbinh (2016)'!$A$3,"MA_HT","NTS","MA_QH","CAN")</f>
        <v>0</v>
      </c>
      <c r="U16" s="22">
        <f ca="1">+GETPIVOTDATA("XSB4",'sonbinh (2016)'!$A$3,"MA_HT","NTS","MA_QH","SKK")</f>
        <v>0</v>
      </c>
      <c r="V16" s="22">
        <f ca="1">+GETPIVOTDATA("XSB4",'sonbinh (2016)'!$A$3,"MA_HT","NTS","MA_QH","SKT")</f>
        <v>0</v>
      </c>
      <c r="W16" s="22">
        <f ca="1">+GETPIVOTDATA("XSB4",'sonbinh (2016)'!$A$3,"MA_HT","NTS","MA_QH","SKN")</f>
        <v>0</v>
      </c>
      <c r="X16" s="22">
        <f ca="1">+GETPIVOTDATA("XSB4",'sonbinh (2016)'!$A$3,"MA_HT","NTS","MA_QH","TMD")</f>
        <v>0</v>
      </c>
      <c r="Y16" s="22">
        <f ca="1">+GETPIVOTDATA("XSB4",'sonbinh (2016)'!$A$3,"MA_HT","NTS","MA_QH","SKC")</f>
        <v>0</v>
      </c>
      <c r="Z16" s="22">
        <f ca="1">+GETPIVOTDATA("XSB4",'sonbinh (2016)'!$A$3,"MA_HT","NTS","MA_QH","SKS")</f>
        <v>0</v>
      </c>
      <c r="AA16" s="52">
        <f ca="1" t="shared" si="4"/>
        <v>0</v>
      </c>
      <c r="AB16" s="22">
        <f ca="1">+GETPIVOTDATA("XSB4",'sonbinh (2016)'!$A$3,"MA_HT","NTS","MA_QH","DGT")</f>
        <v>0</v>
      </c>
      <c r="AC16" s="22">
        <f ca="1">+GETPIVOTDATA("XSB4",'sonbinh (2016)'!$A$3,"MA_HT","NTS","MA_QH","DTL")</f>
        <v>0</v>
      </c>
      <c r="AD16" s="22">
        <f ca="1">+GETPIVOTDATA("XSB4",'sonbinh (2016)'!$A$3,"MA_HT","NTS","MA_QH","DNL")</f>
        <v>0</v>
      </c>
      <c r="AE16" s="22">
        <f ca="1">+GETPIVOTDATA("XSB4",'sonbinh (2016)'!$A$3,"MA_HT","NTS","MA_QH","DBV")</f>
        <v>0</v>
      </c>
      <c r="AF16" s="22">
        <f ca="1">+GETPIVOTDATA("XSB4",'sonbinh (2016)'!$A$3,"MA_HT","NTS","MA_QH","DVH")</f>
        <v>0</v>
      </c>
      <c r="AG16" s="22">
        <f ca="1">+GETPIVOTDATA("XSB4",'sonbinh (2016)'!$A$3,"MA_HT","NTS","MA_QH","DYT")</f>
        <v>0</v>
      </c>
      <c r="AH16" s="22">
        <f ca="1">+GETPIVOTDATA("XSB4",'sonbinh (2016)'!$A$3,"MA_HT","NTS","MA_QH","DGD")</f>
        <v>0</v>
      </c>
      <c r="AI16" s="22">
        <f ca="1">+GETPIVOTDATA("XSB4",'sonbinh (2016)'!$A$3,"MA_HT","NTS","MA_QH","DTT")</f>
        <v>0</v>
      </c>
      <c r="AJ16" s="22">
        <f ca="1">+GETPIVOTDATA("XSB4",'sonbinh (2016)'!$A$3,"MA_HT","NTS","MA_QH","NCK")</f>
        <v>0</v>
      </c>
      <c r="AK16" s="22">
        <f ca="1">+GETPIVOTDATA("XSB4",'sonbinh (2016)'!$A$3,"MA_HT","NTS","MA_QH","DXH")</f>
        <v>0</v>
      </c>
      <c r="AL16" s="22">
        <f ca="1">+GETPIVOTDATA("XSB4",'sonbinh (2016)'!$A$3,"MA_HT","NTS","MA_QH","DCH")</f>
        <v>0</v>
      </c>
      <c r="AM16" s="22">
        <f ca="1">+GETPIVOTDATA("XSB4",'sonbinh (2016)'!$A$3,"MA_HT","NTS","MA_QH","DKG")</f>
        <v>0</v>
      </c>
      <c r="AN16" s="22">
        <f ca="1">+GETPIVOTDATA("XSB4",'sonbinh (2016)'!$A$3,"MA_HT","NTS","MA_QH","DDT")</f>
        <v>0</v>
      </c>
      <c r="AO16" s="22">
        <f ca="1">+GETPIVOTDATA("XSB4",'sonbinh (2016)'!$A$3,"MA_HT","NTS","MA_QH","DDL")</f>
        <v>0</v>
      </c>
      <c r="AP16" s="22">
        <f ca="1">+GETPIVOTDATA("XSB4",'sonbinh (2016)'!$A$3,"MA_HT","NTS","MA_QH","DRA")</f>
        <v>0</v>
      </c>
      <c r="AQ16" s="22">
        <f ca="1">+GETPIVOTDATA("XSB4",'sonbinh (2016)'!$A$3,"MA_HT","NTS","MA_QH","ONT")</f>
        <v>0</v>
      </c>
      <c r="AR16" s="22">
        <f ca="1">+GETPIVOTDATA("XSB4",'sonbinh (2016)'!$A$3,"MA_HT","NTS","MA_QH","ODT")</f>
        <v>0</v>
      </c>
      <c r="AS16" s="22">
        <f ca="1">+GETPIVOTDATA("XSB4",'sonbinh (2016)'!$A$3,"MA_HT","NTS","MA_QH","TSC")</f>
        <v>0</v>
      </c>
      <c r="AT16" s="22">
        <f ca="1">+GETPIVOTDATA("XSB4",'sonbinh (2016)'!$A$3,"MA_HT","NTS","MA_QH","DTS")</f>
        <v>0</v>
      </c>
      <c r="AU16" s="22">
        <f ca="1">+GETPIVOTDATA("XSB4",'sonbinh (2016)'!$A$3,"MA_HT","NTS","MA_QH","DNG")</f>
        <v>0</v>
      </c>
      <c r="AV16" s="22">
        <f ca="1">+GETPIVOTDATA("XSB4",'sonbinh (2016)'!$A$3,"MA_HT","NTS","MA_QH","TON")</f>
        <v>0</v>
      </c>
      <c r="AW16" s="22">
        <f ca="1">+GETPIVOTDATA("XSB4",'sonbinh (2016)'!$A$3,"MA_HT","NTS","MA_QH","NTD")</f>
        <v>0</v>
      </c>
      <c r="AX16" s="22">
        <f ca="1">+GETPIVOTDATA("XSB4",'sonbinh (2016)'!$A$3,"MA_HT","NTS","MA_QH","SKX")</f>
        <v>0</v>
      </c>
      <c r="AY16" s="22">
        <f ca="1">+GETPIVOTDATA("XSB4",'sonbinh (2016)'!$A$3,"MA_HT","NTS","MA_QH","DSH")</f>
        <v>0</v>
      </c>
      <c r="AZ16" s="22">
        <f ca="1">+GETPIVOTDATA("XSB4",'sonbinh (2016)'!$A$3,"MA_HT","NTS","MA_QH","DKV")</f>
        <v>0</v>
      </c>
      <c r="BA16" s="89">
        <f ca="1">+GETPIVOTDATA("XSB4",'sonbinh (2016)'!$A$3,"MA_HT","NTS","MA_QH","TIN")</f>
        <v>0</v>
      </c>
      <c r="BB16" s="50">
        <f ca="1">+GETPIVOTDATA("XSB4",'sonbinh (2016)'!$A$3,"MA_HT","NTS","MA_QH","SON")</f>
        <v>0</v>
      </c>
      <c r="BC16" s="50">
        <f ca="1">+GETPIVOTDATA("XSB4",'sonbinh (2016)'!$A$3,"MA_HT","NTS","MA_QH","MNC")</f>
        <v>0</v>
      </c>
      <c r="BD16" s="22">
        <f ca="1">+GETPIVOTDATA("XSB4",'sonbinh (2016)'!$A$3,"MA_HT","NTS","MA_QH","PNK")</f>
        <v>0</v>
      </c>
      <c r="BE16" s="71">
        <f ca="1">+GETPIVOTDATA("XSB4",'sonbinh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+GETPIVOTDATA("XSB4",'sonbinh (2016)'!$A$3,"MA_HT","LMU","MA_QH","LUC")</f>
        <v>0</v>
      </c>
      <c r="H17" s="22">
        <f ca="1">+GETPIVOTDATA("XSB4",'sonbinh (2016)'!$A$3,"MA_HT","LMU","MA_QH","LUK")</f>
        <v>0</v>
      </c>
      <c r="I17" s="22">
        <f ca="1">+GETPIVOTDATA("XSB4",'sonbinh (2016)'!$A$3,"MA_HT","LMU","MA_QH","LUN")</f>
        <v>0</v>
      </c>
      <c r="J17" s="22">
        <f ca="1">+GETPIVOTDATA("XSB4",'sonbinh (2016)'!$A$3,"MA_HT","LMU","MA_QH","HNK")</f>
        <v>0</v>
      </c>
      <c r="K17" s="22">
        <f ca="1">+GETPIVOTDATA("XSB4",'sonbinh (2016)'!$A$3,"MA_HT","LMU","MA_QH","CLN")</f>
        <v>0</v>
      </c>
      <c r="L17" s="22">
        <f ca="1">+GETPIVOTDATA("XSB4",'sonbinh (2016)'!$A$3,"MA_HT","LMU","MA_QH","RSX")</f>
        <v>0</v>
      </c>
      <c r="M17" s="22">
        <f ca="1">+GETPIVOTDATA("XSB4",'sonbinh (2016)'!$A$3,"MA_HT","LMU","MA_QH","RPH")</f>
        <v>0</v>
      </c>
      <c r="N17" s="22">
        <f ca="1">+GETPIVOTDATA("XSB4",'sonbinh (2016)'!$A$3,"MA_HT","LMU","MA_QH","RDD")</f>
        <v>0</v>
      </c>
      <c r="O17" s="22">
        <f ca="1">+GETPIVOTDATA("XSB4",'sonbinh (2016)'!$A$3,"MA_HT","LMU","MA_QH","NTS")</f>
        <v>0</v>
      </c>
      <c r="P17" s="43" t="e">
        <f ca="1">$D17-$BF17</f>
        <v>#REF!</v>
      </c>
      <c r="Q17" s="22">
        <f ca="1">+GETPIVOTDATA("XSB4",'sonbinh (2016)'!$A$3,"MA_HT","LMU","MA_QH","NKH")</f>
        <v>0</v>
      </c>
      <c r="R17" s="42">
        <f ca="1" t="shared" si="2"/>
        <v>0</v>
      </c>
      <c r="S17" s="22">
        <f ca="1">+GETPIVOTDATA("XSB4",'sonbinh (2016)'!$A$3,"MA_HT","LMU","MA_QH","CQP")</f>
        <v>0</v>
      </c>
      <c r="T17" s="22">
        <f ca="1">+GETPIVOTDATA("XSB4",'sonbinh (2016)'!$A$3,"MA_HT","LMU","MA_QH","CAN")</f>
        <v>0</v>
      </c>
      <c r="U17" s="22">
        <f ca="1">+GETPIVOTDATA("XSB4",'sonbinh (2016)'!$A$3,"MA_HT","LMU","MA_QH","SKK")</f>
        <v>0</v>
      </c>
      <c r="V17" s="22">
        <f ca="1">+GETPIVOTDATA("XSB4",'sonbinh (2016)'!$A$3,"MA_HT","LMU","MA_QH","SKT")</f>
        <v>0</v>
      </c>
      <c r="W17" s="22">
        <f ca="1">+GETPIVOTDATA("XSB4",'sonbinh (2016)'!$A$3,"MA_HT","LMU","MA_QH","SKN")</f>
        <v>0</v>
      </c>
      <c r="X17" s="22">
        <f ca="1">+GETPIVOTDATA("XSB4",'sonbinh (2016)'!$A$3,"MA_HT","LMU","MA_QH","TMD")</f>
        <v>0</v>
      </c>
      <c r="Y17" s="22">
        <f ca="1">+GETPIVOTDATA("XSB4",'sonbinh (2016)'!$A$3,"MA_HT","LMU","MA_QH","SKC")</f>
        <v>0</v>
      </c>
      <c r="Z17" s="22">
        <f ca="1">+GETPIVOTDATA("XSB4",'sonbinh (2016)'!$A$3,"MA_HT","LMU","MA_QH","SKS")</f>
        <v>0</v>
      </c>
      <c r="AA17" s="52">
        <f ca="1" t="shared" si="4"/>
        <v>0</v>
      </c>
      <c r="AB17" s="22">
        <f ca="1">+GETPIVOTDATA("XSB4",'sonbinh (2016)'!$A$3,"MA_HT","LMU","MA_QH","DGT")</f>
        <v>0</v>
      </c>
      <c r="AC17" s="22">
        <f ca="1">+GETPIVOTDATA("XSB4",'sonbinh (2016)'!$A$3,"MA_HT","LMU","MA_QH","DTL")</f>
        <v>0</v>
      </c>
      <c r="AD17" s="22">
        <f ca="1">+GETPIVOTDATA("XSB4",'sonbinh (2016)'!$A$3,"MA_HT","LMU","MA_QH","DNL")</f>
        <v>0</v>
      </c>
      <c r="AE17" s="22">
        <f ca="1">+GETPIVOTDATA("XSB4",'sonbinh (2016)'!$A$3,"MA_HT","LMU","MA_QH","DBV")</f>
        <v>0</v>
      </c>
      <c r="AF17" s="22">
        <f ca="1">+GETPIVOTDATA("XSB4",'sonbinh (2016)'!$A$3,"MA_HT","LMU","MA_QH","DVH")</f>
        <v>0</v>
      </c>
      <c r="AG17" s="22">
        <f ca="1">+GETPIVOTDATA("XSB4",'sonbinh (2016)'!$A$3,"MA_HT","LMU","MA_QH","DYT")</f>
        <v>0</v>
      </c>
      <c r="AH17" s="22">
        <f ca="1">+GETPIVOTDATA("XSB4",'sonbinh (2016)'!$A$3,"MA_HT","LMU","MA_QH","DGD")</f>
        <v>0</v>
      </c>
      <c r="AI17" s="22">
        <f ca="1">+GETPIVOTDATA("XSB4",'sonbinh (2016)'!$A$3,"MA_HT","LMU","MA_QH","DTT")</f>
        <v>0</v>
      </c>
      <c r="AJ17" s="22">
        <f ca="1">+GETPIVOTDATA("XSB4",'sonbinh (2016)'!$A$3,"MA_HT","LMU","MA_QH","NCK")</f>
        <v>0</v>
      </c>
      <c r="AK17" s="22">
        <f ca="1">+GETPIVOTDATA("XSB4",'sonbinh (2016)'!$A$3,"MA_HT","LMU","MA_QH","DXH")</f>
        <v>0</v>
      </c>
      <c r="AL17" s="22">
        <f ca="1">+GETPIVOTDATA("XSB4",'sonbinh (2016)'!$A$3,"MA_HT","LMU","MA_QH","DCH")</f>
        <v>0</v>
      </c>
      <c r="AM17" s="22">
        <f ca="1">+GETPIVOTDATA("XSB4",'sonbinh (2016)'!$A$3,"MA_HT","LMU","MA_QH","DKG")</f>
        <v>0</v>
      </c>
      <c r="AN17" s="22">
        <f ca="1">+GETPIVOTDATA("XSB4",'sonbinh (2016)'!$A$3,"MA_HT","LMU","MA_QH","DDT")</f>
        <v>0</v>
      </c>
      <c r="AO17" s="22">
        <f ca="1">+GETPIVOTDATA("XSB4",'sonbinh (2016)'!$A$3,"MA_HT","LMU","MA_QH","DDL")</f>
        <v>0</v>
      </c>
      <c r="AP17" s="22">
        <f ca="1">+GETPIVOTDATA("XSB4",'sonbinh (2016)'!$A$3,"MA_HT","LMU","MA_QH","DRA")</f>
        <v>0</v>
      </c>
      <c r="AQ17" s="22">
        <f ca="1">+GETPIVOTDATA("XSB4",'sonbinh (2016)'!$A$3,"MA_HT","LMU","MA_QH","ONT")</f>
        <v>0</v>
      </c>
      <c r="AR17" s="22">
        <f ca="1">+GETPIVOTDATA("XSB4",'sonbinh (2016)'!$A$3,"MA_HT","LMU","MA_QH","ODT")</f>
        <v>0</v>
      </c>
      <c r="AS17" s="22">
        <f ca="1">+GETPIVOTDATA("XSB4",'sonbinh (2016)'!$A$3,"MA_HT","LMU","MA_QH","TSC")</f>
        <v>0</v>
      </c>
      <c r="AT17" s="22">
        <f ca="1">+GETPIVOTDATA("XSB4",'sonbinh (2016)'!$A$3,"MA_HT","LMU","MA_QH","DTS")</f>
        <v>0</v>
      </c>
      <c r="AU17" s="22">
        <f ca="1">+GETPIVOTDATA("XSB4",'sonbinh (2016)'!$A$3,"MA_HT","LMU","MA_QH","DNG")</f>
        <v>0</v>
      </c>
      <c r="AV17" s="22">
        <f ca="1">+GETPIVOTDATA("XSB4",'sonbinh (2016)'!$A$3,"MA_HT","LMU","MA_QH","TON")</f>
        <v>0</v>
      </c>
      <c r="AW17" s="22">
        <f ca="1">+GETPIVOTDATA("XSB4",'sonbinh (2016)'!$A$3,"MA_HT","LMU","MA_QH","NTD")</f>
        <v>0</v>
      </c>
      <c r="AX17" s="22">
        <f ca="1">+GETPIVOTDATA("XSB4",'sonbinh (2016)'!$A$3,"MA_HT","LMU","MA_QH","SKX")</f>
        <v>0</v>
      </c>
      <c r="AY17" s="22">
        <f ca="1">+GETPIVOTDATA("XSB4",'sonbinh (2016)'!$A$3,"MA_HT","LMU","MA_QH","DSH")</f>
        <v>0</v>
      </c>
      <c r="AZ17" s="22">
        <f ca="1">+GETPIVOTDATA("XSB4",'sonbinh (2016)'!$A$3,"MA_HT","LMU","MA_QH","DKV")</f>
        <v>0</v>
      </c>
      <c r="BA17" s="89">
        <f ca="1">+GETPIVOTDATA("XSB4",'sonbinh (2016)'!$A$3,"MA_HT","LMU","MA_QH","TIN")</f>
        <v>0</v>
      </c>
      <c r="BB17" s="50">
        <f ca="1">+GETPIVOTDATA("XSB4",'sonbinh (2016)'!$A$3,"MA_HT","LMU","MA_QH","SON")</f>
        <v>0</v>
      </c>
      <c r="BC17" s="50">
        <f ca="1">+GETPIVOTDATA("XSB4",'sonbinh (2016)'!$A$3,"MA_HT","LMU","MA_QH","MNC")</f>
        <v>0</v>
      </c>
      <c r="BD17" s="22">
        <f ca="1">+GETPIVOTDATA("XSB4",'sonbinh (2016)'!$A$3,"MA_HT","LMU","MA_QH","PNK")</f>
        <v>0</v>
      </c>
      <c r="BE17" s="71">
        <f ca="1">+GETPIVOTDATA("XSB4",'sonbinh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+GETPIVOTDATA("XSB4",'sonbinh (2016)'!$A$3,"MA_HT","NKH","MA_QH","LUC")</f>
        <v>0</v>
      </c>
      <c r="H18" s="22">
        <f ca="1">+GETPIVOTDATA("XSB4",'sonbinh (2016)'!$A$3,"MA_HT","NKH","MA_QH","LUK")</f>
        <v>0</v>
      </c>
      <c r="I18" s="22">
        <f ca="1">+GETPIVOTDATA("XSB4",'sonbinh (2016)'!$A$3,"MA_HT","NKH","MA_QH","LUN")</f>
        <v>0</v>
      </c>
      <c r="J18" s="22">
        <f ca="1">+GETPIVOTDATA("XSB4",'sonbinh (2016)'!$A$3,"MA_HT","NKH","MA_QH","HNK")</f>
        <v>0</v>
      </c>
      <c r="K18" s="22">
        <f ca="1">+GETPIVOTDATA("XSB4",'sonbinh (2016)'!$A$3,"MA_HT","NKH","MA_QH","CLN")</f>
        <v>0</v>
      </c>
      <c r="L18" s="22">
        <f ca="1">+GETPIVOTDATA("XSB4",'sonbinh (2016)'!$A$3,"MA_HT","NKH","MA_QH","RSX")</f>
        <v>0</v>
      </c>
      <c r="M18" s="22">
        <f ca="1">+GETPIVOTDATA("XSB4",'sonbinh (2016)'!$A$3,"MA_HT","NKH","MA_QH","RPH")</f>
        <v>0</v>
      </c>
      <c r="N18" s="22">
        <f ca="1">+GETPIVOTDATA("XSB4",'sonbinh (2016)'!$A$3,"MA_HT","NKH","MA_QH","RDD")</f>
        <v>0</v>
      </c>
      <c r="O18" s="22">
        <f ca="1">+GETPIVOTDATA("XSB4",'sonbinh (2016)'!$A$3,"MA_HT","NKH","MA_QH","NTS")</f>
        <v>0</v>
      </c>
      <c r="P18" s="22">
        <f ca="1">+GETPIVOTDATA("XSB4",'sonbinh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+GETPIVOTDATA("XSB4",'sonbinh (2016)'!$A$3,"MA_HT","NKH","MA_QH","CQP")</f>
        <v>0</v>
      </c>
      <c r="T18" s="22">
        <f ca="1">+GETPIVOTDATA("XSB4",'sonbinh (2016)'!$A$3,"MA_HT","NKH","MA_QH","CAN")</f>
        <v>0</v>
      </c>
      <c r="U18" s="22">
        <f ca="1">+GETPIVOTDATA("XSB4",'sonbinh (2016)'!$A$3,"MA_HT","NKH","MA_QH","SKK")</f>
        <v>0</v>
      </c>
      <c r="V18" s="22">
        <f ca="1">+GETPIVOTDATA("XSB4",'sonbinh (2016)'!$A$3,"MA_HT","NKH","MA_QH","SKT")</f>
        <v>0</v>
      </c>
      <c r="W18" s="22">
        <f ca="1">+GETPIVOTDATA("XSB4",'sonbinh (2016)'!$A$3,"MA_HT","NKH","MA_QH","SKN")</f>
        <v>0</v>
      </c>
      <c r="X18" s="22">
        <f ca="1">+GETPIVOTDATA("XSB4",'sonbinh (2016)'!$A$3,"MA_HT","NKH","MA_QH","TMD")</f>
        <v>0</v>
      </c>
      <c r="Y18" s="22">
        <f ca="1">+GETPIVOTDATA("XSB4",'sonbinh (2016)'!$A$3,"MA_HT","NKH","MA_QH","SKC")</f>
        <v>0</v>
      </c>
      <c r="Z18" s="22">
        <f ca="1">+GETPIVOTDATA("XSB4",'sonbinh (2016)'!$A$3,"MA_HT","NKH","MA_QH","SKS")</f>
        <v>0</v>
      </c>
      <c r="AA18" s="52">
        <f ca="1" t="shared" si="4"/>
        <v>0</v>
      </c>
      <c r="AB18" s="22">
        <f ca="1">+GETPIVOTDATA("XSB4",'sonbinh (2016)'!$A$3,"MA_HT","NKH","MA_QH","DGT")</f>
        <v>0</v>
      </c>
      <c r="AC18" s="22">
        <f ca="1">+GETPIVOTDATA("XSB4",'sonbinh (2016)'!$A$3,"MA_HT","NKH","MA_QH","DTL")</f>
        <v>0</v>
      </c>
      <c r="AD18" s="22">
        <f ca="1">+GETPIVOTDATA("XSB4",'sonbinh (2016)'!$A$3,"MA_HT","NKH","MA_QH","DNL")</f>
        <v>0</v>
      </c>
      <c r="AE18" s="22">
        <f ca="1">+GETPIVOTDATA("XSB4",'sonbinh (2016)'!$A$3,"MA_HT","NKH","MA_QH","DBV")</f>
        <v>0</v>
      </c>
      <c r="AF18" s="22">
        <f ca="1">+GETPIVOTDATA("XSB4",'sonbinh (2016)'!$A$3,"MA_HT","NKH","MA_QH","DVH")</f>
        <v>0</v>
      </c>
      <c r="AG18" s="22">
        <f ca="1">+GETPIVOTDATA("XSB4",'sonbinh (2016)'!$A$3,"MA_HT","NKH","MA_QH","DYT")</f>
        <v>0</v>
      </c>
      <c r="AH18" s="22">
        <f ca="1">+GETPIVOTDATA("XSB4",'sonbinh (2016)'!$A$3,"MA_HT","NKH","MA_QH","DGD")</f>
        <v>0</v>
      </c>
      <c r="AI18" s="22">
        <f ca="1">+GETPIVOTDATA("XSB4",'sonbinh (2016)'!$A$3,"MA_HT","NKH","MA_QH","DTT")</f>
        <v>0</v>
      </c>
      <c r="AJ18" s="22">
        <f ca="1">+GETPIVOTDATA("XSB4",'sonbinh (2016)'!$A$3,"MA_HT","NKH","MA_QH","NCK")</f>
        <v>0</v>
      </c>
      <c r="AK18" s="22">
        <f ca="1">+GETPIVOTDATA("XSB4",'sonbinh (2016)'!$A$3,"MA_HT","NKH","MA_QH","DXH")</f>
        <v>0</v>
      </c>
      <c r="AL18" s="22">
        <f ca="1">+GETPIVOTDATA("XSB4",'sonbinh (2016)'!$A$3,"MA_HT","NKH","MA_QH","DCH")</f>
        <v>0</v>
      </c>
      <c r="AM18" s="22">
        <f ca="1">+GETPIVOTDATA("XSB4",'sonbinh (2016)'!$A$3,"MA_HT","NKH","MA_QH","DKG")</f>
        <v>0</v>
      </c>
      <c r="AN18" s="22">
        <f ca="1">+GETPIVOTDATA("XSB4",'sonbinh (2016)'!$A$3,"MA_HT","NKH","MA_QH","DDT")</f>
        <v>0</v>
      </c>
      <c r="AO18" s="22">
        <f ca="1">+GETPIVOTDATA("XSB4",'sonbinh (2016)'!$A$3,"MA_HT","NKH","MA_QH","DDL")</f>
        <v>0</v>
      </c>
      <c r="AP18" s="22">
        <f ca="1">+GETPIVOTDATA("XSB4",'sonbinh (2016)'!$A$3,"MA_HT","NKH","MA_QH","DRA")</f>
        <v>0</v>
      </c>
      <c r="AQ18" s="22">
        <f ca="1">+GETPIVOTDATA("XSB4",'sonbinh (2016)'!$A$3,"MA_HT","NKH","MA_QH","ONT")</f>
        <v>0</v>
      </c>
      <c r="AR18" s="22">
        <f ca="1">+GETPIVOTDATA("XSB4",'sonbinh (2016)'!$A$3,"MA_HT","NKH","MA_QH","ODT")</f>
        <v>0</v>
      </c>
      <c r="AS18" s="22">
        <f ca="1">+GETPIVOTDATA("XSB4",'sonbinh (2016)'!$A$3,"MA_HT","NKH","MA_QH","TSC")</f>
        <v>0</v>
      </c>
      <c r="AT18" s="22">
        <f ca="1">+GETPIVOTDATA("XSB4",'sonbinh (2016)'!$A$3,"MA_HT","NKH","MA_QH","DTS")</f>
        <v>0</v>
      </c>
      <c r="AU18" s="22">
        <f ca="1">+GETPIVOTDATA("XSB4",'sonbinh (2016)'!$A$3,"MA_HT","NKH","MA_QH","DNG")</f>
        <v>0</v>
      </c>
      <c r="AV18" s="22">
        <f ca="1">+GETPIVOTDATA("XSB4",'sonbinh (2016)'!$A$3,"MA_HT","NKH","MA_QH","TON")</f>
        <v>0</v>
      </c>
      <c r="AW18" s="22">
        <f ca="1">+GETPIVOTDATA("XSB4",'sonbinh (2016)'!$A$3,"MA_HT","NKH","MA_QH","NTD")</f>
        <v>0</v>
      </c>
      <c r="AX18" s="22">
        <f ca="1">+GETPIVOTDATA("XSB4",'sonbinh (2016)'!$A$3,"MA_HT","NKH","MA_QH","SKX")</f>
        <v>0</v>
      </c>
      <c r="AY18" s="22">
        <f ca="1">+GETPIVOTDATA("XSB4",'sonbinh (2016)'!$A$3,"MA_HT","NKH","MA_QH","DSH")</f>
        <v>0</v>
      </c>
      <c r="AZ18" s="22">
        <f ca="1">+GETPIVOTDATA("XSB4",'sonbinh (2016)'!$A$3,"MA_HT","NKH","MA_QH","DKV")</f>
        <v>0</v>
      </c>
      <c r="BA18" s="89">
        <f ca="1">+GETPIVOTDATA("XSB4",'sonbinh (2016)'!$A$3,"MA_HT","NKH","MA_QH","TIN")</f>
        <v>0</v>
      </c>
      <c r="BB18" s="50">
        <f ca="1">+GETPIVOTDATA("XSB4",'sonbinh (2016)'!$A$3,"MA_HT","NKH","MA_QH","SON")</f>
        <v>0</v>
      </c>
      <c r="BC18" s="50">
        <f ca="1">+GETPIVOTDATA("XSB4",'sonbinh (2016)'!$A$3,"MA_HT","NKH","MA_QH","MNC")</f>
        <v>0</v>
      </c>
      <c r="BD18" s="22">
        <f ca="1">+GETPIVOTDATA("XSB4",'sonbinh (2016)'!$A$3,"MA_HT","NKH","MA_QH","PNK")</f>
        <v>0</v>
      </c>
      <c r="BE18" s="71">
        <f ca="1">+GETPIVOTDATA("XSB4",'sonbinh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+GETPIVOTDATA("XSB4",'sonbinh (2016)'!$A$3,"MA_HT","CQP","MA_QH","LUC")</f>
        <v>0</v>
      </c>
      <c r="H20" s="22">
        <f ca="1">+GETPIVOTDATA("XSB4",'sonbinh (2016)'!$A$3,"MA_HT","CQP","MA_QH","LUK")</f>
        <v>0</v>
      </c>
      <c r="I20" s="22">
        <f ca="1">+GETPIVOTDATA("XSB4",'sonbinh (2016)'!$A$3,"MA_HT","CQP","MA_QH","LUN")</f>
        <v>0</v>
      </c>
      <c r="J20" s="22">
        <f ca="1">+GETPIVOTDATA("XSB4",'sonbinh (2016)'!$A$3,"MA_HT","CQP","MA_QH","HNK")</f>
        <v>0</v>
      </c>
      <c r="K20" s="22">
        <f ca="1">+GETPIVOTDATA("XSB4",'sonbinh (2016)'!$A$3,"MA_HT","CQP","MA_QH","CLN")</f>
        <v>0</v>
      </c>
      <c r="L20" s="22">
        <f ca="1">+GETPIVOTDATA("XSB4",'sonbinh (2016)'!$A$3,"MA_HT","CQP","MA_QH","RSX")</f>
        <v>0</v>
      </c>
      <c r="M20" s="22">
        <f ca="1">+GETPIVOTDATA("XSB4",'sonbinh (2016)'!$A$3,"MA_HT","CQP","MA_QH","RPH")</f>
        <v>0</v>
      </c>
      <c r="N20" s="22">
        <f ca="1">+GETPIVOTDATA("XSB4",'sonbinh (2016)'!$A$3,"MA_HT","CQP","MA_QH","RDD")</f>
        <v>0</v>
      </c>
      <c r="O20" s="22">
        <f ca="1">+GETPIVOTDATA("XSB4",'sonbinh (2016)'!$A$3,"MA_HT","CQP","MA_QH","NTS")</f>
        <v>0</v>
      </c>
      <c r="P20" s="22">
        <f ca="1">+GETPIVOTDATA("XSB4",'sonbinh (2016)'!$A$3,"MA_HT","CQP","MA_QH","LMU")</f>
        <v>0</v>
      </c>
      <c r="Q20" s="22">
        <f ca="1">+GETPIVOTDATA("XSB4",'sonbinh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+GETPIVOTDATA("XSB4",'sonbinh (2016)'!$A$3,"MA_HT","CQP","MA_QH","CAN")</f>
        <v>0</v>
      </c>
      <c r="U20" s="22">
        <f ca="1">+GETPIVOTDATA("XSB4",'sonbinh (2016)'!$A$3,"MA_HT","CQP","MA_QH","SKK")</f>
        <v>0</v>
      </c>
      <c r="V20" s="22">
        <f ca="1">+GETPIVOTDATA("XSB4",'sonbinh (2016)'!$A$3,"MA_HT","CQP","MA_QH","SKT")</f>
        <v>0</v>
      </c>
      <c r="W20" s="22">
        <f ca="1">+GETPIVOTDATA("XSB4",'sonbinh (2016)'!$A$3,"MA_HT","CQP","MA_QH","SKN")</f>
        <v>0</v>
      </c>
      <c r="X20" s="22">
        <f ca="1">+GETPIVOTDATA("XSB4",'sonbinh (2016)'!$A$3,"MA_HT","CQP","MA_QH","TMD")</f>
        <v>0</v>
      </c>
      <c r="Y20" s="22">
        <f ca="1">+GETPIVOTDATA("XSB4",'sonbinh (2016)'!$A$3,"MA_HT","CQP","MA_QH","SKC")</f>
        <v>0</v>
      </c>
      <c r="Z20" s="22">
        <f ca="1">+GETPIVOTDATA("XSB4",'sonbinh (2016)'!$A$3,"MA_HT","CQP","MA_QH","SKS")</f>
        <v>0</v>
      </c>
      <c r="AA20" s="52">
        <f ca="1" t="shared" ref="AA20:AA27" si="12">+SUM(AB20:AM20)</f>
        <v>0</v>
      </c>
      <c r="AB20" s="22">
        <f ca="1">+GETPIVOTDATA("XSB4",'sonbinh (2016)'!$A$3,"MA_HT","CQP","MA_QH","DGT")</f>
        <v>0</v>
      </c>
      <c r="AC20" s="22">
        <f ca="1">+GETPIVOTDATA("XSB4",'sonbinh (2016)'!$A$3,"MA_HT","CQP","MA_QH","DTL")</f>
        <v>0</v>
      </c>
      <c r="AD20" s="22">
        <f ca="1">+GETPIVOTDATA("XSB4",'sonbinh (2016)'!$A$3,"MA_HT","CQP","MA_QH","DNL")</f>
        <v>0</v>
      </c>
      <c r="AE20" s="22">
        <f ca="1">+GETPIVOTDATA("XSB4",'sonbinh (2016)'!$A$3,"MA_HT","CQP","MA_QH","DBV")</f>
        <v>0</v>
      </c>
      <c r="AF20" s="22">
        <f ca="1">+GETPIVOTDATA("XSB4",'sonbinh (2016)'!$A$3,"MA_HT","CQP","MA_QH","DVH")</f>
        <v>0</v>
      </c>
      <c r="AG20" s="22">
        <f ca="1">+GETPIVOTDATA("XSB4",'sonbinh (2016)'!$A$3,"MA_HT","CQP","MA_QH","DYT")</f>
        <v>0</v>
      </c>
      <c r="AH20" s="22">
        <f ca="1">+GETPIVOTDATA("XSB4",'sonbinh (2016)'!$A$3,"MA_HT","CQP","MA_QH","DGD")</f>
        <v>0</v>
      </c>
      <c r="AI20" s="22">
        <f ca="1">+GETPIVOTDATA("XSB4",'sonbinh (2016)'!$A$3,"MA_HT","CQP","MA_QH","DTT")</f>
        <v>0</v>
      </c>
      <c r="AJ20" s="22">
        <f ca="1">+GETPIVOTDATA("XSB4",'sonbinh (2016)'!$A$3,"MA_HT","CQP","MA_QH","NCK")</f>
        <v>0</v>
      </c>
      <c r="AK20" s="22">
        <f ca="1">+GETPIVOTDATA("XSB4",'sonbinh (2016)'!$A$3,"MA_HT","CQP","MA_QH","DXH")</f>
        <v>0</v>
      </c>
      <c r="AL20" s="22">
        <f ca="1">+GETPIVOTDATA("XSB4",'sonbinh (2016)'!$A$3,"MA_HT","CQP","MA_QH","DCH")</f>
        <v>0</v>
      </c>
      <c r="AM20" s="22">
        <f ca="1">+GETPIVOTDATA("XSB4",'sonbinh (2016)'!$A$3,"MA_HT","CQP","MA_QH","DKG")</f>
        <v>0</v>
      </c>
      <c r="AN20" s="22">
        <f ca="1">+GETPIVOTDATA("XSB4",'sonbinh (2016)'!$A$3,"MA_HT","CQP","MA_QH","DDT")</f>
        <v>0</v>
      </c>
      <c r="AO20" s="22">
        <f ca="1">+GETPIVOTDATA("XSB4",'sonbinh (2016)'!$A$3,"MA_HT","CQP","MA_QH","DDL")</f>
        <v>0</v>
      </c>
      <c r="AP20" s="22">
        <f ca="1">+GETPIVOTDATA("XSB4",'sonbinh (2016)'!$A$3,"MA_HT","CQP","MA_QH","DRA")</f>
        <v>0</v>
      </c>
      <c r="AQ20" s="22">
        <f ca="1">+GETPIVOTDATA("XSB4",'sonbinh (2016)'!$A$3,"MA_HT","CQP","MA_QH","ONT")</f>
        <v>0</v>
      </c>
      <c r="AR20" s="22">
        <f ca="1">+GETPIVOTDATA("XSB4",'sonbinh (2016)'!$A$3,"MA_HT","CQP","MA_QH","ODT")</f>
        <v>0</v>
      </c>
      <c r="AS20" s="22">
        <f ca="1">+GETPIVOTDATA("XSB4",'sonbinh (2016)'!$A$3,"MA_HT","CQP","MA_QH","TSC")</f>
        <v>0</v>
      </c>
      <c r="AT20" s="22">
        <f ca="1">+GETPIVOTDATA("XSB4",'sonbinh (2016)'!$A$3,"MA_HT","CQP","MA_QH","DTS")</f>
        <v>0</v>
      </c>
      <c r="AU20" s="22">
        <f ca="1">+GETPIVOTDATA("XSB4",'sonbinh (2016)'!$A$3,"MA_HT","CQP","MA_QH","DNG")</f>
        <v>0</v>
      </c>
      <c r="AV20" s="22">
        <f ca="1">+GETPIVOTDATA("XSB4",'sonbinh (2016)'!$A$3,"MA_HT","CQP","MA_QH","TON")</f>
        <v>0</v>
      </c>
      <c r="AW20" s="22">
        <f ca="1">+GETPIVOTDATA("XSB4",'sonbinh (2016)'!$A$3,"MA_HT","CQP","MA_QH","NTD")</f>
        <v>0</v>
      </c>
      <c r="AX20" s="22">
        <f ca="1">+GETPIVOTDATA("XSB4",'sonbinh (2016)'!$A$3,"MA_HT","CQP","MA_QH","SKX")</f>
        <v>0</v>
      </c>
      <c r="AY20" s="22">
        <f ca="1">+GETPIVOTDATA("XSB4",'sonbinh (2016)'!$A$3,"MA_HT","CQP","MA_QH","DSH")</f>
        <v>0</v>
      </c>
      <c r="AZ20" s="22">
        <f ca="1">+GETPIVOTDATA("XSB4",'sonbinh (2016)'!$A$3,"MA_HT","CQP","MA_QH","DKV")</f>
        <v>0</v>
      </c>
      <c r="BA20" s="89">
        <f ca="1">+GETPIVOTDATA("XSB4",'sonbinh (2016)'!$A$3,"MA_HT","CQP","MA_QH","TIN")</f>
        <v>0</v>
      </c>
      <c r="BB20" s="50">
        <f ca="1">+GETPIVOTDATA("XSB4",'sonbinh (2016)'!$A$3,"MA_HT","CQP","MA_QH","SON")</f>
        <v>0</v>
      </c>
      <c r="BC20" s="50">
        <f ca="1">+GETPIVOTDATA("XSB4",'sonbinh (2016)'!$A$3,"MA_HT","CQP","MA_QH","MNC")</f>
        <v>0</v>
      </c>
      <c r="BD20" s="22">
        <f ca="1">+GETPIVOTDATA("XSB4",'sonbinh (2016)'!$A$3,"MA_HT","CQP","MA_QH","PNK")</f>
        <v>0</v>
      </c>
      <c r="BE20" s="71">
        <f ca="1">+GETPIVOTDATA("XSB4",'sonbinh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+GETPIVOTDATA("XSB4",'sonbinh (2016)'!$A$3,"MA_HT","CAN","MA_QH","LUC")</f>
        <v>0</v>
      </c>
      <c r="H21" s="22">
        <f ca="1">+GETPIVOTDATA("XSB4",'sonbinh (2016)'!$A$3,"MA_HT","CAN","MA_QH","LUK")</f>
        <v>0</v>
      </c>
      <c r="I21" s="22">
        <f ca="1">+GETPIVOTDATA("XSB4",'sonbinh (2016)'!$A$3,"MA_HT","CAN","MA_QH","LUN")</f>
        <v>0</v>
      </c>
      <c r="J21" s="22">
        <f ca="1">+GETPIVOTDATA("XSB4",'sonbinh (2016)'!$A$3,"MA_HT","CAN","MA_QH","HNK")</f>
        <v>0</v>
      </c>
      <c r="K21" s="22">
        <f ca="1">+GETPIVOTDATA("XSB4",'sonbinh (2016)'!$A$3,"MA_HT","CAN","MA_QH","CLN")</f>
        <v>0</v>
      </c>
      <c r="L21" s="22">
        <f ca="1">+GETPIVOTDATA("XSB4",'sonbinh (2016)'!$A$3,"MA_HT","CAN","MA_QH","RSX")</f>
        <v>0</v>
      </c>
      <c r="M21" s="22">
        <f ca="1">+GETPIVOTDATA("XSB4",'sonbinh (2016)'!$A$3,"MA_HT","CAN","MA_QH","RPH")</f>
        <v>0</v>
      </c>
      <c r="N21" s="22">
        <f ca="1">+GETPIVOTDATA("XSB4",'sonbinh (2016)'!$A$3,"MA_HT","CAN","MA_QH","RDD")</f>
        <v>0</v>
      </c>
      <c r="O21" s="22">
        <f ca="1">+GETPIVOTDATA("XSB4",'sonbinh (2016)'!$A$3,"MA_HT","CAN","MA_QH","NTS")</f>
        <v>0</v>
      </c>
      <c r="P21" s="22">
        <f ca="1">+GETPIVOTDATA("XSB4",'sonbinh (2016)'!$A$3,"MA_HT","CAN","MA_QH","LMU")</f>
        <v>0</v>
      </c>
      <c r="Q21" s="22">
        <f ca="1">+GETPIVOTDATA("XSB4",'sonbinh (2016)'!$A$3,"MA_HT","CAN","MA_QH","NKH")</f>
        <v>0</v>
      </c>
      <c r="R21" s="42">
        <f ca="1">SUM(S21,U21:AA21,AN21:BD21)</f>
        <v>0</v>
      </c>
      <c r="S21" s="22">
        <f ca="1">+GETPIVOTDATA("XSB4",'sonbinh (2016)'!$A$3,"MA_HT","CAN","MA_QH","CQP")</f>
        <v>0</v>
      </c>
      <c r="T21" s="43" t="e">
        <f ca="1">$D21-$BF21</f>
        <v>#REF!</v>
      </c>
      <c r="U21" s="22">
        <f ca="1">+GETPIVOTDATA("XSB4",'sonbinh (2016)'!$A$3,"MA_HT","CAN","MA_QH","SKK")</f>
        <v>0</v>
      </c>
      <c r="V21" s="22">
        <f ca="1">+GETPIVOTDATA("XSB4",'sonbinh (2016)'!$A$3,"MA_HT","CAN","MA_QH","SKT")</f>
        <v>0</v>
      </c>
      <c r="W21" s="22">
        <f ca="1">+GETPIVOTDATA("XSB4",'sonbinh (2016)'!$A$3,"MA_HT","CAN","MA_QH","SKN")</f>
        <v>0</v>
      </c>
      <c r="X21" s="22">
        <f ca="1">+GETPIVOTDATA("XSB4",'sonbinh (2016)'!$A$3,"MA_HT","CAN","MA_QH","TMD")</f>
        <v>0</v>
      </c>
      <c r="Y21" s="22">
        <f ca="1">+GETPIVOTDATA("XSB4",'sonbinh (2016)'!$A$3,"MA_HT","CAN","MA_QH","SKC")</f>
        <v>0</v>
      </c>
      <c r="Z21" s="22">
        <f ca="1">+GETPIVOTDATA("XSB4",'sonbinh (2016)'!$A$3,"MA_HT","CAN","MA_QH","SKS")</f>
        <v>0</v>
      </c>
      <c r="AA21" s="52">
        <f ca="1" t="shared" si="12"/>
        <v>0</v>
      </c>
      <c r="AB21" s="22">
        <f ca="1">+GETPIVOTDATA("XSB4",'sonbinh (2016)'!$A$3,"MA_HT","CAN","MA_QH","DGT")</f>
        <v>0</v>
      </c>
      <c r="AC21" s="22">
        <f ca="1">+GETPIVOTDATA("XSB4",'sonbinh (2016)'!$A$3,"MA_HT","CAN","MA_QH","DTL")</f>
        <v>0</v>
      </c>
      <c r="AD21" s="22">
        <f ca="1">+GETPIVOTDATA("XSB4",'sonbinh (2016)'!$A$3,"MA_HT","CAN","MA_QH","DNL")</f>
        <v>0</v>
      </c>
      <c r="AE21" s="22">
        <f ca="1">+GETPIVOTDATA("XSB4",'sonbinh (2016)'!$A$3,"MA_HT","CAN","MA_QH","DBV")</f>
        <v>0</v>
      </c>
      <c r="AF21" s="22">
        <f ca="1">+GETPIVOTDATA("XSB4",'sonbinh (2016)'!$A$3,"MA_HT","CAN","MA_QH","DVH")</f>
        <v>0</v>
      </c>
      <c r="AG21" s="22">
        <f ca="1">+GETPIVOTDATA("XSB4",'sonbinh (2016)'!$A$3,"MA_HT","CAN","MA_QH","DYT")</f>
        <v>0</v>
      </c>
      <c r="AH21" s="22">
        <f ca="1">+GETPIVOTDATA("XSB4",'sonbinh (2016)'!$A$3,"MA_HT","CAN","MA_QH","DGD")</f>
        <v>0</v>
      </c>
      <c r="AI21" s="22">
        <f ca="1">+GETPIVOTDATA("XSB4",'sonbinh (2016)'!$A$3,"MA_HT","CAN","MA_QH","DTT")</f>
        <v>0</v>
      </c>
      <c r="AJ21" s="22">
        <f ca="1">+GETPIVOTDATA("XSB4",'sonbinh (2016)'!$A$3,"MA_HT","CAN","MA_QH","NCK")</f>
        <v>0</v>
      </c>
      <c r="AK21" s="22">
        <f ca="1">+GETPIVOTDATA("XSB4",'sonbinh (2016)'!$A$3,"MA_HT","CAN","MA_QH","DXH")</f>
        <v>0</v>
      </c>
      <c r="AL21" s="22">
        <f ca="1">+GETPIVOTDATA("XSB4",'sonbinh (2016)'!$A$3,"MA_HT","CAN","MA_QH","DCH")</f>
        <v>0</v>
      </c>
      <c r="AM21" s="22">
        <f ca="1">+GETPIVOTDATA("XSB4",'sonbinh (2016)'!$A$3,"MA_HT","CAN","MA_QH","DKG")</f>
        <v>0</v>
      </c>
      <c r="AN21" s="22">
        <f ca="1">+GETPIVOTDATA("XSB4",'sonbinh (2016)'!$A$3,"MA_HT","CAN","MA_QH","DDT")</f>
        <v>0</v>
      </c>
      <c r="AO21" s="22">
        <f ca="1">+GETPIVOTDATA("XSB4",'sonbinh (2016)'!$A$3,"MA_HT","CAN","MA_QH","DDL")</f>
        <v>0</v>
      </c>
      <c r="AP21" s="22">
        <f ca="1">+GETPIVOTDATA("XSB4",'sonbinh (2016)'!$A$3,"MA_HT","CAN","MA_QH","DRA")</f>
        <v>0</v>
      </c>
      <c r="AQ21" s="22">
        <f ca="1">+GETPIVOTDATA("XSB4",'sonbinh (2016)'!$A$3,"MA_HT","CAN","MA_QH","ONT")</f>
        <v>0</v>
      </c>
      <c r="AR21" s="22">
        <f ca="1">+GETPIVOTDATA("XSB4",'sonbinh (2016)'!$A$3,"MA_HT","CAN","MA_QH","ODT")</f>
        <v>0</v>
      </c>
      <c r="AS21" s="22">
        <f ca="1">+GETPIVOTDATA("XSB4",'sonbinh (2016)'!$A$3,"MA_HT","CAN","MA_QH","TSC")</f>
        <v>0</v>
      </c>
      <c r="AT21" s="22">
        <f ca="1">+GETPIVOTDATA("XSB4",'sonbinh (2016)'!$A$3,"MA_HT","CAN","MA_QH","DTS")</f>
        <v>0</v>
      </c>
      <c r="AU21" s="22">
        <f ca="1">+GETPIVOTDATA("XSB4",'sonbinh (2016)'!$A$3,"MA_HT","CAN","MA_QH","DNG")</f>
        <v>0</v>
      </c>
      <c r="AV21" s="22">
        <f ca="1">+GETPIVOTDATA("XSB4",'sonbinh (2016)'!$A$3,"MA_HT","CAN","MA_QH","TON")</f>
        <v>0</v>
      </c>
      <c r="AW21" s="22">
        <f ca="1">+GETPIVOTDATA("XSB4",'sonbinh (2016)'!$A$3,"MA_HT","CAN","MA_QH","NTD")</f>
        <v>0</v>
      </c>
      <c r="AX21" s="22">
        <f ca="1">+GETPIVOTDATA("XSB4",'sonbinh (2016)'!$A$3,"MA_HT","CAN","MA_QH","SKX")</f>
        <v>0</v>
      </c>
      <c r="AY21" s="22">
        <f ca="1">+GETPIVOTDATA("XSB4",'sonbinh (2016)'!$A$3,"MA_HT","CAN","MA_QH","DSH")</f>
        <v>0</v>
      </c>
      <c r="AZ21" s="22">
        <f ca="1">+GETPIVOTDATA("XSB4",'sonbinh (2016)'!$A$3,"MA_HT","CAN","MA_QH","DKV")</f>
        <v>0</v>
      </c>
      <c r="BA21" s="89">
        <f ca="1">+GETPIVOTDATA("XSB4",'sonbinh (2016)'!$A$3,"MA_HT","CAN","MA_QH","TIN")</f>
        <v>0</v>
      </c>
      <c r="BB21" s="50">
        <f ca="1">+GETPIVOTDATA("XSB4",'sonbinh (2016)'!$A$3,"MA_HT","CAN","MA_QH","SON")</f>
        <v>0</v>
      </c>
      <c r="BC21" s="50">
        <f ca="1">+GETPIVOTDATA("XSB4",'sonbinh (2016)'!$A$3,"MA_HT","CAN","MA_QH","MNC")</f>
        <v>0</v>
      </c>
      <c r="BD21" s="22">
        <f ca="1">+GETPIVOTDATA("XSB4",'sonbinh (2016)'!$A$3,"MA_HT","CAN","MA_QH","PNK")</f>
        <v>0</v>
      </c>
      <c r="BE21" s="71">
        <f ca="1">+GETPIVOTDATA("XSB4",'sonbinh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+GETPIVOTDATA("XSB4",'sonbinh (2016)'!$A$3,"MA_HT","SKK","MA_QH","LUC")</f>
        <v>0</v>
      </c>
      <c r="H22" s="22">
        <f ca="1">+GETPIVOTDATA("XSB4",'sonbinh (2016)'!$A$3,"MA_HT","SKK","MA_QH","LUK")</f>
        <v>0</v>
      </c>
      <c r="I22" s="22">
        <f ca="1">+GETPIVOTDATA("XSB4",'sonbinh (2016)'!$A$3,"MA_HT","SKK","MA_QH","LUN")</f>
        <v>0</v>
      </c>
      <c r="J22" s="22">
        <f ca="1">+GETPIVOTDATA("XSB4",'sonbinh (2016)'!$A$3,"MA_HT","SKK","MA_QH","HNK")</f>
        <v>0</v>
      </c>
      <c r="K22" s="22">
        <f ca="1">+GETPIVOTDATA("XSB4",'sonbinh (2016)'!$A$3,"MA_HT","SKK","MA_QH","CLN")</f>
        <v>0</v>
      </c>
      <c r="L22" s="22">
        <f ca="1">+GETPIVOTDATA("XSB4",'sonbinh (2016)'!$A$3,"MA_HT","SKK","MA_QH","RSX")</f>
        <v>0</v>
      </c>
      <c r="M22" s="22">
        <f ca="1">+GETPIVOTDATA("XSB4",'sonbinh (2016)'!$A$3,"MA_HT","SKK","MA_QH","RPH")</f>
        <v>0</v>
      </c>
      <c r="N22" s="22">
        <f ca="1">+GETPIVOTDATA("XSB4",'sonbinh (2016)'!$A$3,"MA_HT","SKK","MA_QH","RDD")</f>
        <v>0</v>
      </c>
      <c r="O22" s="22">
        <f ca="1">+GETPIVOTDATA("XSB4",'sonbinh (2016)'!$A$3,"MA_HT","SKK","MA_QH","NTS")</f>
        <v>0</v>
      </c>
      <c r="P22" s="22">
        <f ca="1">+GETPIVOTDATA("XSB4",'sonbinh (2016)'!$A$3,"MA_HT","SKK","MA_QH","LMU")</f>
        <v>0</v>
      </c>
      <c r="Q22" s="22">
        <f ca="1">+GETPIVOTDATA("XSB4",'sonbinh (2016)'!$A$3,"MA_HT","SKK","MA_QH","NKH")</f>
        <v>0</v>
      </c>
      <c r="R22" s="42">
        <f ca="1">SUM(S22:T22,V22:AA22,AN22:BD22)</f>
        <v>0</v>
      </c>
      <c r="S22" s="22">
        <f ca="1">+GETPIVOTDATA("XSB4",'sonbinh (2016)'!$A$3,"MA_HT","SKK","MA_QH","CQP")</f>
        <v>0</v>
      </c>
      <c r="T22" s="22">
        <f ca="1">+GETPIVOTDATA("XSB4",'sonbinh (2016)'!$A$3,"MA_HT","SKK","MA_QH","CAN")</f>
        <v>0</v>
      </c>
      <c r="U22" s="43" t="e">
        <f ca="1">$D22-$BF22</f>
        <v>#REF!</v>
      </c>
      <c r="V22" s="22">
        <f ca="1">+GETPIVOTDATA("XSB4",'sonbinh (2016)'!$A$3,"MA_HT","SKK","MA_QH","SKT")</f>
        <v>0</v>
      </c>
      <c r="W22" s="22">
        <f ca="1">+GETPIVOTDATA("XSB4",'sonbinh (2016)'!$A$3,"MA_HT","SKK","MA_QH","SKN")</f>
        <v>0</v>
      </c>
      <c r="X22" s="22">
        <f ca="1">+GETPIVOTDATA("XSB4",'sonbinh (2016)'!$A$3,"MA_HT","SKK","MA_QH","TMD")</f>
        <v>0</v>
      </c>
      <c r="Y22" s="22">
        <f ca="1">+GETPIVOTDATA("XSB4",'sonbinh (2016)'!$A$3,"MA_HT","SKK","MA_QH","SKC")</f>
        <v>0</v>
      </c>
      <c r="Z22" s="22">
        <f ca="1">+GETPIVOTDATA("XSB4",'sonbinh (2016)'!$A$3,"MA_HT","SKK","MA_QH","SKS")</f>
        <v>0</v>
      </c>
      <c r="AA22" s="52">
        <f ca="1" t="shared" si="12"/>
        <v>0</v>
      </c>
      <c r="AB22" s="22">
        <f ca="1">+GETPIVOTDATA("XSB4",'sonbinh (2016)'!$A$3,"MA_HT","SKK","MA_QH","DGT")</f>
        <v>0</v>
      </c>
      <c r="AC22" s="22">
        <f ca="1">+GETPIVOTDATA("XSB4",'sonbinh (2016)'!$A$3,"MA_HT","SKK","MA_QH","DTL")</f>
        <v>0</v>
      </c>
      <c r="AD22" s="22">
        <f ca="1">+GETPIVOTDATA("XSB4",'sonbinh (2016)'!$A$3,"MA_HT","SKK","MA_QH","DNL")</f>
        <v>0</v>
      </c>
      <c r="AE22" s="22">
        <f ca="1">+GETPIVOTDATA("XSB4",'sonbinh (2016)'!$A$3,"MA_HT","SKK","MA_QH","DBV")</f>
        <v>0</v>
      </c>
      <c r="AF22" s="22">
        <f ca="1">+GETPIVOTDATA("XSB4",'sonbinh (2016)'!$A$3,"MA_HT","SKK","MA_QH","DVH")</f>
        <v>0</v>
      </c>
      <c r="AG22" s="22">
        <f ca="1">+GETPIVOTDATA("XSB4",'sonbinh (2016)'!$A$3,"MA_HT","SKK","MA_QH","DYT")</f>
        <v>0</v>
      </c>
      <c r="AH22" s="22">
        <f ca="1">+GETPIVOTDATA("XSB4",'sonbinh (2016)'!$A$3,"MA_HT","SKK","MA_QH","DGD")</f>
        <v>0</v>
      </c>
      <c r="AI22" s="22">
        <f ca="1">+GETPIVOTDATA("XSB4",'sonbinh (2016)'!$A$3,"MA_HT","SKK","MA_QH","DTT")</f>
        <v>0</v>
      </c>
      <c r="AJ22" s="22">
        <f ca="1">+GETPIVOTDATA("XSB4",'sonbinh (2016)'!$A$3,"MA_HT","SKK","MA_QH","NCK")</f>
        <v>0</v>
      </c>
      <c r="AK22" s="22">
        <f ca="1">+GETPIVOTDATA("XSB4",'sonbinh (2016)'!$A$3,"MA_HT","SKK","MA_QH","DXH")</f>
        <v>0</v>
      </c>
      <c r="AL22" s="22">
        <f ca="1">+GETPIVOTDATA("XSB4",'sonbinh (2016)'!$A$3,"MA_HT","SKK","MA_QH","DCH")</f>
        <v>0</v>
      </c>
      <c r="AM22" s="22">
        <f ca="1">+GETPIVOTDATA("XSB4",'sonbinh (2016)'!$A$3,"MA_HT","SKK","MA_QH","DKG")</f>
        <v>0</v>
      </c>
      <c r="AN22" s="22">
        <f ca="1">+GETPIVOTDATA("XSB4",'sonbinh (2016)'!$A$3,"MA_HT","SKK","MA_QH","DDT")</f>
        <v>0</v>
      </c>
      <c r="AO22" s="22">
        <f ca="1">+GETPIVOTDATA("XSB4",'sonbinh (2016)'!$A$3,"MA_HT","SKK","MA_QH","DDL")</f>
        <v>0</v>
      </c>
      <c r="AP22" s="22">
        <f ca="1">+GETPIVOTDATA("XSB4",'sonbinh (2016)'!$A$3,"MA_HT","SKK","MA_QH","DRA")</f>
        <v>0</v>
      </c>
      <c r="AQ22" s="22">
        <f ca="1">+GETPIVOTDATA("XSB4",'sonbinh (2016)'!$A$3,"MA_HT","SKK","MA_QH","ONT")</f>
        <v>0</v>
      </c>
      <c r="AR22" s="22">
        <f ca="1">+GETPIVOTDATA("XSB4",'sonbinh (2016)'!$A$3,"MA_HT","SKK","MA_QH","ODT")</f>
        <v>0</v>
      </c>
      <c r="AS22" s="22">
        <f ca="1">+GETPIVOTDATA("XSB4",'sonbinh (2016)'!$A$3,"MA_HT","SKK","MA_QH","TSC")</f>
        <v>0</v>
      </c>
      <c r="AT22" s="22">
        <f ca="1">+GETPIVOTDATA("XSB4",'sonbinh (2016)'!$A$3,"MA_HT","SKK","MA_QH","DTS")</f>
        <v>0</v>
      </c>
      <c r="AU22" s="22">
        <f ca="1">+GETPIVOTDATA("XSB4",'sonbinh (2016)'!$A$3,"MA_HT","SKK","MA_QH","DNG")</f>
        <v>0</v>
      </c>
      <c r="AV22" s="22">
        <f ca="1">+GETPIVOTDATA("XSB4",'sonbinh (2016)'!$A$3,"MA_HT","SKK","MA_QH","TON")</f>
        <v>0</v>
      </c>
      <c r="AW22" s="22">
        <f ca="1">+GETPIVOTDATA("XSB4",'sonbinh (2016)'!$A$3,"MA_HT","SKK","MA_QH","NTD")</f>
        <v>0</v>
      </c>
      <c r="AX22" s="22">
        <f ca="1">+GETPIVOTDATA("XSB4",'sonbinh (2016)'!$A$3,"MA_HT","SKK","MA_QH","SKX")</f>
        <v>0</v>
      </c>
      <c r="AY22" s="22">
        <f ca="1">+GETPIVOTDATA("XSB4",'sonbinh (2016)'!$A$3,"MA_HT","SKK","MA_QH","DSH")</f>
        <v>0</v>
      </c>
      <c r="AZ22" s="22">
        <f ca="1">+GETPIVOTDATA("XSB4",'sonbinh (2016)'!$A$3,"MA_HT","SKK","MA_QH","DKV")</f>
        <v>0</v>
      </c>
      <c r="BA22" s="89">
        <f ca="1">+GETPIVOTDATA("XSB4",'sonbinh (2016)'!$A$3,"MA_HT","SKK","MA_QH","TIN")</f>
        <v>0</v>
      </c>
      <c r="BB22" s="50">
        <f ca="1">+GETPIVOTDATA("XSB4",'sonbinh (2016)'!$A$3,"MA_HT","SKK","MA_QH","SON")</f>
        <v>0</v>
      </c>
      <c r="BC22" s="50">
        <f ca="1">+GETPIVOTDATA("XSB4",'sonbinh (2016)'!$A$3,"MA_HT","SKK","MA_QH","MNC")</f>
        <v>0</v>
      </c>
      <c r="BD22" s="22">
        <f ca="1">+GETPIVOTDATA("XSB4",'sonbinh (2016)'!$A$3,"MA_HT","SKK","MA_QH","PNK")</f>
        <v>0</v>
      </c>
      <c r="BE22" s="71">
        <f ca="1">+GETPIVOTDATA("XSB4",'sonbinh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+GETPIVOTDATA("XSB4",'sonbinh (2016)'!$A$3,"MA_HT","SKT","MA_QH","LUC")</f>
        <v>0</v>
      </c>
      <c r="H23" s="22">
        <f ca="1">+GETPIVOTDATA("XSB4",'sonbinh (2016)'!$A$3,"MA_HT","SKT","MA_QH","LUK")</f>
        <v>0</v>
      </c>
      <c r="I23" s="22">
        <f ca="1">+GETPIVOTDATA("XSB4",'sonbinh (2016)'!$A$3,"MA_HT","SKT","MA_QH","LUN")</f>
        <v>0</v>
      </c>
      <c r="J23" s="22">
        <f ca="1">+GETPIVOTDATA("XSB4",'sonbinh (2016)'!$A$3,"MA_HT","SKT","MA_QH","HNK")</f>
        <v>0</v>
      </c>
      <c r="K23" s="22">
        <f ca="1">+GETPIVOTDATA("XSB4",'sonbinh (2016)'!$A$3,"MA_HT","SKT","MA_QH","CLN")</f>
        <v>0</v>
      </c>
      <c r="L23" s="22">
        <f ca="1">+GETPIVOTDATA("XSB4",'sonbinh (2016)'!$A$3,"MA_HT","SKT","MA_QH","RSX")</f>
        <v>0</v>
      </c>
      <c r="M23" s="22">
        <f ca="1">+GETPIVOTDATA("XSB4",'sonbinh (2016)'!$A$3,"MA_HT","SKT","MA_QH","RPH")</f>
        <v>0</v>
      </c>
      <c r="N23" s="22">
        <f ca="1">+GETPIVOTDATA("XSB4",'sonbinh (2016)'!$A$3,"MA_HT","SKT","MA_QH","RDD")</f>
        <v>0</v>
      </c>
      <c r="O23" s="22">
        <f ca="1">+GETPIVOTDATA("XSB4",'sonbinh (2016)'!$A$3,"MA_HT","SKT","MA_QH","NTS")</f>
        <v>0</v>
      </c>
      <c r="P23" s="22">
        <f ca="1">+GETPIVOTDATA("XSB4",'sonbinh (2016)'!$A$3,"MA_HT","SKT","MA_QH","LMU")</f>
        <v>0</v>
      </c>
      <c r="Q23" s="22">
        <f ca="1">+GETPIVOTDATA("XSB4",'sonbinh (2016)'!$A$3,"MA_HT","SKT","MA_QH","NKH")</f>
        <v>0</v>
      </c>
      <c r="R23" s="42">
        <f ca="1">SUM(S23:U23,W23:AA23,AN23:BD23)</f>
        <v>0</v>
      </c>
      <c r="S23" s="22">
        <f ca="1">+GETPIVOTDATA("XSB4",'sonbinh (2016)'!$A$3,"MA_HT","SKT","MA_QH","CQP")</f>
        <v>0</v>
      </c>
      <c r="T23" s="22">
        <f ca="1">+GETPIVOTDATA("XSB4",'sonbinh (2016)'!$A$3,"MA_HT","SKT","MA_QH","CAN")</f>
        <v>0</v>
      </c>
      <c r="U23" s="22">
        <f ca="1">+GETPIVOTDATA("XSB4",'sonbinh (2016)'!$A$3,"MA_HT","SKT","MA_QH","SKK")</f>
        <v>0</v>
      </c>
      <c r="V23" s="43" t="e">
        <f ca="1">$D23-$BF23</f>
        <v>#REF!</v>
      </c>
      <c r="W23" s="22">
        <f ca="1">+GETPIVOTDATA("XSB4",'sonbinh (2016)'!$A$3,"MA_HT","SKT","MA_QH","SKN")</f>
        <v>0</v>
      </c>
      <c r="X23" s="22">
        <f ca="1">+GETPIVOTDATA("XSB4",'sonbinh (2016)'!$A$3,"MA_HT","SKT","MA_QH","TMD")</f>
        <v>0</v>
      </c>
      <c r="Y23" s="22">
        <f ca="1">+GETPIVOTDATA("XSB4",'sonbinh (2016)'!$A$3,"MA_HT","SKT","MA_QH","SKC")</f>
        <v>0</v>
      </c>
      <c r="Z23" s="22">
        <f ca="1">+GETPIVOTDATA("XSB4",'sonbinh (2016)'!$A$3,"MA_HT","SKT","MA_QH","SKS")</f>
        <v>0</v>
      </c>
      <c r="AA23" s="52">
        <f ca="1" t="shared" si="12"/>
        <v>0</v>
      </c>
      <c r="AB23" s="22">
        <f ca="1">+GETPIVOTDATA("XSB4",'sonbinh (2016)'!$A$3,"MA_HT","SKT","MA_QH","DGT")</f>
        <v>0</v>
      </c>
      <c r="AC23" s="22">
        <f ca="1">+GETPIVOTDATA("XSB4",'sonbinh (2016)'!$A$3,"MA_HT","SKT","MA_QH","DTL")</f>
        <v>0</v>
      </c>
      <c r="AD23" s="22">
        <f ca="1">+GETPIVOTDATA("XSB4",'sonbinh (2016)'!$A$3,"MA_HT","SKT","MA_QH","DNL")</f>
        <v>0</v>
      </c>
      <c r="AE23" s="22">
        <f ca="1">+GETPIVOTDATA("XSB4",'sonbinh (2016)'!$A$3,"MA_HT","SKT","MA_QH","DBV")</f>
        <v>0</v>
      </c>
      <c r="AF23" s="22">
        <f ca="1">+GETPIVOTDATA("XSB4",'sonbinh (2016)'!$A$3,"MA_HT","SKT","MA_QH","DVH")</f>
        <v>0</v>
      </c>
      <c r="AG23" s="22">
        <f ca="1">+GETPIVOTDATA("XSB4",'sonbinh (2016)'!$A$3,"MA_HT","SKT","MA_QH","DYT")</f>
        <v>0</v>
      </c>
      <c r="AH23" s="22">
        <f ca="1">+GETPIVOTDATA("XSB4",'sonbinh (2016)'!$A$3,"MA_HT","SKT","MA_QH","DGD")</f>
        <v>0</v>
      </c>
      <c r="AI23" s="22">
        <f ca="1">+GETPIVOTDATA("XSB4",'sonbinh (2016)'!$A$3,"MA_HT","SKT","MA_QH","DTT")</f>
        <v>0</v>
      </c>
      <c r="AJ23" s="22">
        <f ca="1">+GETPIVOTDATA("XSB4",'sonbinh (2016)'!$A$3,"MA_HT","SKT","MA_QH","NCK")</f>
        <v>0</v>
      </c>
      <c r="AK23" s="22">
        <f ca="1">+GETPIVOTDATA("XSB4",'sonbinh (2016)'!$A$3,"MA_HT","SKT","MA_QH","DXH")</f>
        <v>0</v>
      </c>
      <c r="AL23" s="22">
        <f ca="1">+GETPIVOTDATA("XSB4",'sonbinh (2016)'!$A$3,"MA_HT","SKT","MA_QH","DCH")</f>
        <v>0</v>
      </c>
      <c r="AM23" s="22">
        <f ca="1">+GETPIVOTDATA("XSB4",'sonbinh (2016)'!$A$3,"MA_HT","SKT","MA_QH","DKG")</f>
        <v>0</v>
      </c>
      <c r="AN23" s="22">
        <f ca="1">+GETPIVOTDATA("XSB4",'sonbinh (2016)'!$A$3,"MA_HT","SKT","MA_QH","DDT")</f>
        <v>0</v>
      </c>
      <c r="AO23" s="22">
        <f ca="1">+GETPIVOTDATA("XSB4",'sonbinh (2016)'!$A$3,"MA_HT","SKT","MA_QH","DDL")</f>
        <v>0</v>
      </c>
      <c r="AP23" s="22">
        <f ca="1">+GETPIVOTDATA("XSB4",'sonbinh (2016)'!$A$3,"MA_HT","SKT","MA_QH","DRA")</f>
        <v>0</v>
      </c>
      <c r="AQ23" s="22">
        <f ca="1">+GETPIVOTDATA("XSB4",'sonbinh (2016)'!$A$3,"MA_HT","SKT","MA_QH","ONT")</f>
        <v>0</v>
      </c>
      <c r="AR23" s="22">
        <f ca="1">+GETPIVOTDATA("XSB4",'sonbinh (2016)'!$A$3,"MA_HT","SKT","MA_QH","ODT")</f>
        <v>0</v>
      </c>
      <c r="AS23" s="22">
        <f ca="1">+GETPIVOTDATA("XSB4",'sonbinh (2016)'!$A$3,"MA_HT","SKT","MA_QH","TSC")</f>
        <v>0</v>
      </c>
      <c r="AT23" s="22">
        <f ca="1">+GETPIVOTDATA("XSB4",'sonbinh (2016)'!$A$3,"MA_HT","SKT","MA_QH","DTS")</f>
        <v>0</v>
      </c>
      <c r="AU23" s="22">
        <f ca="1">+GETPIVOTDATA("XSB4",'sonbinh (2016)'!$A$3,"MA_HT","SKT","MA_QH","DNG")</f>
        <v>0</v>
      </c>
      <c r="AV23" s="22">
        <f ca="1">+GETPIVOTDATA("XSB4",'sonbinh (2016)'!$A$3,"MA_HT","SKT","MA_QH","TON")</f>
        <v>0</v>
      </c>
      <c r="AW23" s="22">
        <f ca="1">+GETPIVOTDATA("XSB4",'sonbinh (2016)'!$A$3,"MA_HT","SKT","MA_QH","NTD")</f>
        <v>0</v>
      </c>
      <c r="AX23" s="22">
        <f ca="1">+GETPIVOTDATA("XSB4",'sonbinh (2016)'!$A$3,"MA_HT","SKT","MA_QH","SKX")</f>
        <v>0</v>
      </c>
      <c r="AY23" s="22">
        <f ca="1">+GETPIVOTDATA("XSB4",'sonbinh (2016)'!$A$3,"MA_HT","SKT","MA_QH","DSH")</f>
        <v>0</v>
      </c>
      <c r="AZ23" s="22">
        <f ca="1">+GETPIVOTDATA("XSB4",'sonbinh (2016)'!$A$3,"MA_HT","SKT","MA_QH","DKV")</f>
        <v>0</v>
      </c>
      <c r="BA23" s="89">
        <f ca="1">+GETPIVOTDATA("XSB4",'sonbinh (2016)'!$A$3,"MA_HT","SKT","MA_QH","TIN")</f>
        <v>0</v>
      </c>
      <c r="BB23" s="50">
        <f ca="1">+GETPIVOTDATA("XSB4",'sonbinh (2016)'!$A$3,"MA_HT","SKT","MA_QH","SON")</f>
        <v>0</v>
      </c>
      <c r="BC23" s="50">
        <f ca="1">+GETPIVOTDATA("XSB4",'sonbinh (2016)'!$A$3,"MA_HT","SKT","MA_QH","MNC")</f>
        <v>0</v>
      </c>
      <c r="BD23" s="22">
        <f ca="1">+GETPIVOTDATA("XSB4",'sonbinh (2016)'!$A$3,"MA_HT","SKT","MA_QH","PNK")</f>
        <v>0</v>
      </c>
      <c r="BE23" s="71">
        <f ca="1">+GETPIVOTDATA("XSB4",'sonbinh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+GETPIVOTDATA("XSB4",'sonbinh (2016)'!$A$3,"MA_HT","SKN","MA_QH","LUC")</f>
        <v>0</v>
      </c>
      <c r="H24" s="22">
        <f ca="1">+GETPIVOTDATA("XSB4",'sonbinh (2016)'!$A$3,"MA_HT","SKN","MA_QH","LUK")</f>
        <v>0</v>
      </c>
      <c r="I24" s="22">
        <f ca="1">+GETPIVOTDATA("XSB4",'sonbinh (2016)'!$A$3,"MA_HT","SKN","MA_QH","LUN")</f>
        <v>0</v>
      </c>
      <c r="J24" s="22">
        <f ca="1">+GETPIVOTDATA("XSB4",'sonbinh (2016)'!$A$3,"MA_HT","SKN","MA_QH","HNK")</f>
        <v>0</v>
      </c>
      <c r="K24" s="22">
        <f ca="1">+GETPIVOTDATA("XSB4",'sonbinh (2016)'!$A$3,"MA_HT","SKN","MA_QH","CLN")</f>
        <v>0</v>
      </c>
      <c r="L24" s="22">
        <f ca="1">+GETPIVOTDATA("XSB4",'sonbinh (2016)'!$A$3,"MA_HT","SKN","MA_QH","RSX")</f>
        <v>0</v>
      </c>
      <c r="M24" s="22">
        <f ca="1">+GETPIVOTDATA("XSB4",'sonbinh (2016)'!$A$3,"MA_HT","SKN","MA_QH","RPH")</f>
        <v>0</v>
      </c>
      <c r="N24" s="22">
        <f ca="1">+GETPIVOTDATA("XSB4",'sonbinh (2016)'!$A$3,"MA_HT","SKN","MA_QH","RDD")</f>
        <v>0</v>
      </c>
      <c r="O24" s="22">
        <f ca="1">+GETPIVOTDATA("XSB4",'sonbinh (2016)'!$A$3,"MA_HT","SKN","MA_QH","NTS")</f>
        <v>0</v>
      </c>
      <c r="P24" s="22">
        <f ca="1">+GETPIVOTDATA("XSB4",'sonbinh (2016)'!$A$3,"MA_HT","SKN","MA_QH","LMU")</f>
        <v>0</v>
      </c>
      <c r="Q24" s="22">
        <f ca="1">+GETPIVOTDATA("XSB4",'sonbinh (2016)'!$A$3,"MA_HT","SKN","MA_QH","NKH")</f>
        <v>0</v>
      </c>
      <c r="R24" s="42">
        <f ca="1">SUM(S24:V24,X24:AA24,AN24:BD24)</f>
        <v>0</v>
      </c>
      <c r="S24" s="22">
        <f ca="1">+GETPIVOTDATA("XSB4",'sonbinh (2016)'!$A$3,"MA_HT","SKN","MA_QH","CQP")</f>
        <v>0</v>
      </c>
      <c r="T24" s="22">
        <f ca="1">+GETPIVOTDATA("XSB4",'sonbinh (2016)'!$A$3,"MA_HT","SKN","MA_QH","CAN")</f>
        <v>0</v>
      </c>
      <c r="U24" s="22">
        <f ca="1">+GETPIVOTDATA("XSB4",'sonbinh (2016)'!$A$3,"MA_HT","SKN","MA_QH","SKK")</f>
        <v>0</v>
      </c>
      <c r="V24" s="22">
        <f ca="1">+GETPIVOTDATA("XSB4",'sonbinh (2016)'!$A$3,"MA_HT","SKN","MA_QH","SKT")</f>
        <v>0</v>
      </c>
      <c r="W24" s="43" t="e">
        <f ca="1">$D24-$BF24</f>
        <v>#REF!</v>
      </c>
      <c r="X24" s="22">
        <f ca="1">+GETPIVOTDATA("XSB4",'sonbinh (2016)'!$A$3,"MA_HT","SKN","MA_QH","TMD")</f>
        <v>0</v>
      </c>
      <c r="Y24" s="22">
        <f ca="1">+GETPIVOTDATA("XSB4",'sonbinh (2016)'!$A$3,"MA_HT","SKN","MA_QH","SKC")</f>
        <v>0</v>
      </c>
      <c r="Z24" s="22">
        <f ca="1">+GETPIVOTDATA("XSB4",'sonbinh (2016)'!$A$3,"MA_HT","SKN","MA_QH","SKS")</f>
        <v>0</v>
      </c>
      <c r="AA24" s="52">
        <f ca="1" t="shared" si="12"/>
        <v>0</v>
      </c>
      <c r="AB24" s="22">
        <f ca="1">+GETPIVOTDATA("XSB4",'sonbinh (2016)'!$A$3,"MA_HT","SKN","MA_QH","DGT")</f>
        <v>0</v>
      </c>
      <c r="AC24" s="22">
        <f ca="1">+GETPIVOTDATA("XSB4",'sonbinh (2016)'!$A$3,"MA_HT","SKN","MA_QH","DTL")</f>
        <v>0</v>
      </c>
      <c r="AD24" s="22">
        <f ca="1">+GETPIVOTDATA("XSB4",'sonbinh (2016)'!$A$3,"MA_HT","SKN","MA_QH","DNL")</f>
        <v>0</v>
      </c>
      <c r="AE24" s="22">
        <f ca="1">+GETPIVOTDATA("XSB4",'sonbinh (2016)'!$A$3,"MA_HT","SKN","MA_QH","DBV")</f>
        <v>0</v>
      </c>
      <c r="AF24" s="22">
        <f ca="1">+GETPIVOTDATA("XSB4",'sonbinh (2016)'!$A$3,"MA_HT","SKN","MA_QH","DVH")</f>
        <v>0</v>
      </c>
      <c r="AG24" s="22">
        <f ca="1">+GETPIVOTDATA("XSB4",'sonbinh (2016)'!$A$3,"MA_HT","SKN","MA_QH","DYT")</f>
        <v>0</v>
      </c>
      <c r="AH24" s="22">
        <f ca="1">+GETPIVOTDATA("XSB4",'sonbinh (2016)'!$A$3,"MA_HT","SKN","MA_QH","DGD")</f>
        <v>0</v>
      </c>
      <c r="AI24" s="22">
        <f ca="1">+GETPIVOTDATA("XSB4",'sonbinh (2016)'!$A$3,"MA_HT","SKN","MA_QH","DTT")</f>
        <v>0</v>
      </c>
      <c r="AJ24" s="22">
        <f ca="1">+GETPIVOTDATA("XSB4",'sonbinh (2016)'!$A$3,"MA_HT","SKN","MA_QH","NCK")</f>
        <v>0</v>
      </c>
      <c r="AK24" s="22">
        <f ca="1">+GETPIVOTDATA("XSB4",'sonbinh (2016)'!$A$3,"MA_HT","SKN","MA_QH","DXH")</f>
        <v>0</v>
      </c>
      <c r="AL24" s="22">
        <f ca="1">+GETPIVOTDATA("XSB4",'sonbinh (2016)'!$A$3,"MA_HT","SKN","MA_QH","DCH")</f>
        <v>0</v>
      </c>
      <c r="AM24" s="22">
        <f ca="1">+GETPIVOTDATA("XSB4",'sonbinh (2016)'!$A$3,"MA_HT","SKN","MA_QH","DKG")</f>
        <v>0</v>
      </c>
      <c r="AN24" s="22">
        <f ca="1">+GETPIVOTDATA("XSB4",'sonbinh (2016)'!$A$3,"MA_HT","SKN","MA_QH","DDT")</f>
        <v>0</v>
      </c>
      <c r="AO24" s="22">
        <f ca="1">+GETPIVOTDATA("XSB4",'sonbinh (2016)'!$A$3,"MA_HT","SKN","MA_QH","DDL")</f>
        <v>0</v>
      </c>
      <c r="AP24" s="22">
        <f ca="1">+GETPIVOTDATA("XSB4",'sonbinh (2016)'!$A$3,"MA_HT","SKN","MA_QH","DRA")</f>
        <v>0</v>
      </c>
      <c r="AQ24" s="22">
        <f ca="1">+GETPIVOTDATA("XSB4",'sonbinh (2016)'!$A$3,"MA_HT","SKN","MA_QH","ONT")</f>
        <v>0</v>
      </c>
      <c r="AR24" s="22">
        <f ca="1">+GETPIVOTDATA("XSB4",'sonbinh (2016)'!$A$3,"MA_HT","SKN","MA_QH","ODT")</f>
        <v>0</v>
      </c>
      <c r="AS24" s="22">
        <f ca="1">+GETPIVOTDATA("XSB4",'sonbinh (2016)'!$A$3,"MA_HT","SKN","MA_QH","TSC")</f>
        <v>0</v>
      </c>
      <c r="AT24" s="22">
        <f ca="1">+GETPIVOTDATA("XSB4",'sonbinh (2016)'!$A$3,"MA_HT","SKN","MA_QH","DTS")</f>
        <v>0</v>
      </c>
      <c r="AU24" s="22">
        <f ca="1">+GETPIVOTDATA("XSB4",'sonbinh (2016)'!$A$3,"MA_HT","SKN","MA_QH","DNG")</f>
        <v>0</v>
      </c>
      <c r="AV24" s="22">
        <f ca="1">+GETPIVOTDATA("XSB4",'sonbinh (2016)'!$A$3,"MA_HT","SKN","MA_QH","TON")</f>
        <v>0</v>
      </c>
      <c r="AW24" s="22">
        <f ca="1">+GETPIVOTDATA("XSB4",'sonbinh (2016)'!$A$3,"MA_HT","SKN","MA_QH","NTD")</f>
        <v>0</v>
      </c>
      <c r="AX24" s="22">
        <f ca="1">+GETPIVOTDATA("XSB4",'sonbinh (2016)'!$A$3,"MA_HT","SKN","MA_QH","SKX")</f>
        <v>0</v>
      </c>
      <c r="AY24" s="22">
        <f ca="1">+GETPIVOTDATA("XSB4",'sonbinh (2016)'!$A$3,"MA_HT","SKN","MA_QH","DSH")</f>
        <v>0</v>
      </c>
      <c r="AZ24" s="22">
        <f ca="1">+GETPIVOTDATA("XSB4",'sonbinh (2016)'!$A$3,"MA_HT","SKN","MA_QH","DKV")</f>
        <v>0</v>
      </c>
      <c r="BA24" s="89">
        <f ca="1">+GETPIVOTDATA("XSB4",'sonbinh (2016)'!$A$3,"MA_HT","SKN","MA_QH","TIN")</f>
        <v>0</v>
      </c>
      <c r="BB24" s="50">
        <f ca="1">+GETPIVOTDATA("XSB4",'sonbinh (2016)'!$A$3,"MA_HT","SKN","MA_QH","SON")</f>
        <v>0</v>
      </c>
      <c r="BC24" s="50">
        <f ca="1">+GETPIVOTDATA("XSB4",'sonbinh (2016)'!$A$3,"MA_HT","SKN","MA_QH","MNC")</f>
        <v>0</v>
      </c>
      <c r="BD24" s="22">
        <f ca="1">+GETPIVOTDATA("XSB4",'sonbinh (2016)'!$A$3,"MA_HT","SKN","MA_QH","PNK")</f>
        <v>0</v>
      </c>
      <c r="BE24" s="71">
        <f ca="1">+GETPIVOTDATA("XSB4",'sonbinh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+GETPIVOTDATA("XSB4",'sonbinh (2016)'!$A$3,"MA_HT","TMD","MA_QH","LUC")</f>
        <v>0</v>
      </c>
      <c r="H25" s="22">
        <f ca="1">+GETPIVOTDATA("XSB4",'sonbinh (2016)'!$A$3,"MA_HT","TMD","MA_QH","LUK")</f>
        <v>0</v>
      </c>
      <c r="I25" s="22">
        <f ca="1">+GETPIVOTDATA("XSB4",'sonbinh (2016)'!$A$3,"MA_HT","TMD","MA_QH","LUN")</f>
        <v>0</v>
      </c>
      <c r="J25" s="22">
        <f ca="1">+GETPIVOTDATA("XSB4",'sonbinh (2016)'!$A$3,"MA_HT","TMD","MA_QH","HNK")</f>
        <v>0</v>
      </c>
      <c r="K25" s="22">
        <f ca="1">+GETPIVOTDATA("XSB4",'sonbinh (2016)'!$A$3,"MA_HT","TMD","MA_QH","CLN")</f>
        <v>0</v>
      </c>
      <c r="L25" s="22">
        <f ca="1">+GETPIVOTDATA("XSB4",'sonbinh (2016)'!$A$3,"MA_HT","TMD","MA_QH","RSX")</f>
        <v>0</v>
      </c>
      <c r="M25" s="22">
        <f ca="1">+GETPIVOTDATA("XSB4",'sonbinh (2016)'!$A$3,"MA_HT","TMD","MA_QH","RPH")</f>
        <v>0</v>
      </c>
      <c r="N25" s="22">
        <f ca="1">+GETPIVOTDATA("XSB4",'sonbinh (2016)'!$A$3,"MA_HT","TMD","MA_QH","RDD")</f>
        <v>0</v>
      </c>
      <c r="O25" s="22">
        <f ca="1">+GETPIVOTDATA("XSB4",'sonbinh (2016)'!$A$3,"MA_HT","TMD","MA_QH","NTS")</f>
        <v>0</v>
      </c>
      <c r="P25" s="22">
        <f ca="1">+GETPIVOTDATA("XSB4",'sonbinh (2016)'!$A$3,"MA_HT","TMD","MA_QH","LMU")</f>
        <v>0</v>
      </c>
      <c r="Q25" s="22">
        <f ca="1">+GETPIVOTDATA("XSB4",'sonbinh (2016)'!$A$3,"MA_HT","TMD","MA_QH","NKH")</f>
        <v>0</v>
      </c>
      <c r="R25" s="42">
        <f ca="1">SUM(S25:W25,Y25:AA25,AN25:BD25)</f>
        <v>0</v>
      </c>
      <c r="S25" s="22">
        <f ca="1">+GETPIVOTDATA("XSB4",'sonbinh (2016)'!$A$3,"MA_HT","TMD","MA_QH","CQP")</f>
        <v>0</v>
      </c>
      <c r="T25" s="22">
        <f ca="1">+GETPIVOTDATA("XSB4",'sonbinh (2016)'!$A$3,"MA_HT","TMD","MA_QH","CAN")</f>
        <v>0</v>
      </c>
      <c r="U25" s="22">
        <f ca="1">+GETPIVOTDATA("XSB4",'sonbinh (2016)'!$A$3,"MA_HT","TMD","MA_QH","SKK")</f>
        <v>0</v>
      </c>
      <c r="V25" s="22">
        <f ca="1">+GETPIVOTDATA("XSB4",'sonbinh (2016)'!$A$3,"MA_HT","TMD","MA_QH","SKT")</f>
        <v>0</v>
      </c>
      <c r="W25" s="22">
        <f ca="1">+GETPIVOTDATA("XSB4",'sonbinh (2016)'!$A$3,"MA_HT","TMD","MA_QH","SKN")</f>
        <v>0</v>
      </c>
      <c r="X25" s="43" t="e">
        <f ca="1">$D25-$BF25</f>
        <v>#REF!</v>
      </c>
      <c r="Y25" s="22">
        <f ca="1">+GETPIVOTDATA("XSB4",'sonbinh (2016)'!$A$3,"MA_HT","TMD","MA_QH","SKC")</f>
        <v>0</v>
      </c>
      <c r="Z25" s="22">
        <f ca="1">+GETPIVOTDATA("XSB4",'sonbinh (2016)'!$A$3,"MA_HT","TMD","MA_QH","SKS")</f>
        <v>0</v>
      </c>
      <c r="AA25" s="52">
        <f ca="1" t="shared" si="12"/>
        <v>0</v>
      </c>
      <c r="AB25" s="22">
        <f ca="1">+GETPIVOTDATA("XSB4",'sonbinh (2016)'!$A$3,"MA_HT","TMD","MA_QH","DGT")</f>
        <v>0</v>
      </c>
      <c r="AC25" s="22">
        <f ca="1">+GETPIVOTDATA("XSB4",'sonbinh (2016)'!$A$3,"MA_HT","TMD","MA_QH","DTL")</f>
        <v>0</v>
      </c>
      <c r="AD25" s="22">
        <f ca="1">+GETPIVOTDATA("XSB4",'sonbinh (2016)'!$A$3,"MA_HT","TMD","MA_QH","DNL")</f>
        <v>0</v>
      </c>
      <c r="AE25" s="22">
        <f ca="1">+GETPIVOTDATA("XSB4",'sonbinh (2016)'!$A$3,"MA_HT","TMD","MA_QH","DBV")</f>
        <v>0</v>
      </c>
      <c r="AF25" s="22">
        <f ca="1">+GETPIVOTDATA("XSB4",'sonbinh (2016)'!$A$3,"MA_HT","TMD","MA_QH","DVH")</f>
        <v>0</v>
      </c>
      <c r="AG25" s="22">
        <f ca="1">+GETPIVOTDATA("XSB4",'sonbinh (2016)'!$A$3,"MA_HT","TMD","MA_QH","DYT")</f>
        <v>0</v>
      </c>
      <c r="AH25" s="22">
        <f ca="1">+GETPIVOTDATA("XSB4",'sonbinh (2016)'!$A$3,"MA_HT","TMD","MA_QH","DGD")</f>
        <v>0</v>
      </c>
      <c r="AI25" s="22">
        <f ca="1">+GETPIVOTDATA("XSB4",'sonbinh (2016)'!$A$3,"MA_HT","TMD","MA_QH","DTT")</f>
        <v>0</v>
      </c>
      <c r="AJ25" s="22">
        <f ca="1">+GETPIVOTDATA("XSB4",'sonbinh (2016)'!$A$3,"MA_HT","TMD","MA_QH","NCK")</f>
        <v>0</v>
      </c>
      <c r="AK25" s="22">
        <f ca="1">+GETPIVOTDATA("XSB4",'sonbinh (2016)'!$A$3,"MA_HT","TMD","MA_QH","DXH")</f>
        <v>0</v>
      </c>
      <c r="AL25" s="22">
        <f ca="1">+GETPIVOTDATA("XSB4",'sonbinh (2016)'!$A$3,"MA_HT","TMD","MA_QH","DCH")</f>
        <v>0</v>
      </c>
      <c r="AM25" s="22">
        <f ca="1">+GETPIVOTDATA("XSB4",'sonbinh (2016)'!$A$3,"MA_HT","TMD","MA_QH","DKG")</f>
        <v>0</v>
      </c>
      <c r="AN25" s="22">
        <f ca="1">+GETPIVOTDATA("XSB4",'sonbinh (2016)'!$A$3,"MA_HT","TMD","MA_QH","DDT")</f>
        <v>0</v>
      </c>
      <c r="AO25" s="22">
        <f ca="1">+GETPIVOTDATA("XSB4",'sonbinh (2016)'!$A$3,"MA_HT","TMD","MA_QH","DDL")</f>
        <v>0</v>
      </c>
      <c r="AP25" s="22">
        <f ca="1">+GETPIVOTDATA("XSB4",'sonbinh (2016)'!$A$3,"MA_HT","TMD","MA_QH","DRA")</f>
        <v>0</v>
      </c>
      <c r="AQ25" s="22">
        <f ca="1">+GETPIVOTDATA("XSB4",'sonbinh (2016)'!$A$3,"MA_HT","TMD","MA_QH","ONT")</f>
        <v>0</v>
      </c>
      <c r="AR25" s="22">
        <f ca="1">+GETPIVOTDATA("XSB4",'sonbinh (2016)'!$A$3,"MA_HT","TMD","MA_QH","ODT")</f>
        <v>0</v>
      </c>
      <c r="AS25" s="22">
        <f ca="1">+GETPIVOTDATA("XSB4",'sonbinh (2016)'!$A$3,"MA_HT","TMD","MA_QH","TSC")</f>
        <v>0</v>
      </c>
      <c r="AT25" s="22">
        <f ca="1">+GETPIVOTDATA("XSB4",'sonbinh (2016)'!$A$3,"MA_HT","TMD","MA_QH","DTS")</f>
        <v>0</v>
      </c>
      <c r="AU25" s="22">
        <f ca="1">+GETPIVOTDATA("XSB4",'sonbinh (2016)'!$A$3,"MA_HT","TMD","MA_QH","DNG")</f>
        <v>0</v>
      </c>
      <c r="AV25" s="22">
        <f ca="1">+GETPIVOTDATA("XSB4",'sonbinh (2016)'!$A$3,"MA_HT","TMD","MA_QH","TON")</f>
        <v>0</v>
      </c>
      <c r="AW25" s="22">
        <f ca="1">+GETPIVOTDATA("XSB4",'sonbinh (2016)'!$A$3,"MA_HT","TMD","MA_QH","NTD")</f>
        <v>0</v>
      </c>
      <c r="AX25" s="22">
        <f ca="1">+GETPIVOTDATA("XSB4",'sonbinh (2016)'!$A$3,"MA_HT","TMD","MA_QH","SKX")</f>
        <v>0</v>
      </c>
      <c r="AY25" s="22">
        <f ca="1">+GETPIVOTDATA("XSB4",'sonbinh (2016)'!$A$3,"MA_HT","TMD","MA_QH","DSH")</f>
        <v>0</v>
      </c>
      <c r="AZ25" s="22">
        <f ca="1">+GETPIVOTDATA("XSB4",'sonbinh (2016)'!$A$3,"MA_HT","TMD","MA_QH","DKV")</f>
        <v>0</v>
      </c>
      <c r="BA25" s="89">
        <f ca="1">+GETPIVOTDATA("XSB4",'sonbinh (2016)'!$A$3,"MA_HT","TMD","MA_QH","TIN")</f>
        <v>0</v>
      </c>
      <c r="BB25" s="50">
        <f ca="1">+GETPIVOTDATA("XSB4",'sonbinh (2016)'!$A$3,"MA_HT","TMD","MA_QH","SON")</f>
        <v>0</v>
      </c>
      <c r="BC25" s="50">
        <f ca="1">+GETPIVOTDATA("XSB4",'sonbinh (2016)'!$A$3,"MA_HT","TMD","MA_QH","MNC")</f>
        <v>0</v>
      </c>
      <c r="BD25" s="22">
        <f ca="1">+GETPIVOTDATA("XSB4",'sonbinh (2016)'!$A$3,"MA_HT","TMD","MA_QH","PNK")</f>
        <v>0</v>
      </c>
      <c r="BE25" s="71">
        <f ca="1">+GETPIVOTDATA("XSB4",'sonbinh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+GETPIVOTDATA("XSB4",'sonbinh (2016)'!$A$3,"MA_HT","SKC","MA_QH","LUC")</f>
        <v>0</v>
      </c>
      <c r="H26" s="22">
        <f ca="1">+GETPIVOTDATA("XSB4",'sonbinh (2016)'!$A$3,"MA_HT","SKC","MA_QH","LUK")</f>
        <v>0</v>
      </c>
      <c r="I26" s="22">
        <f ca="1">+GETPIVOTDATA("XSB4",'sonbinh (2016)'!$A$3,"MA_HT","SKC","MA_QH","LUN")</f>
        <v>0</v>
      </c>
      <c r="J26" s="22">
        <f ca="1">+GETPIVOTDATA("XSB4",'sonbinh (2016)'!$A$3,"MA_HT","SKC","MA_QH","HNK")</f>
        <v>0</v>
      </c>
      <c r="K26" s="22">
        <f ca="1">+GETPIVOTDATA("XSB4",'sonbinh (2016)'!$A$3,"MA_HT","SKC","MA_QH","CLN")</f>
        <v>0</v>
      </c>
      <c r="L26" s="22">
        <f ca="1">+GETPIVOTDATA("XSB4",'sonbinh (2016)'!$A$3,"MA_HT","SKC","MA_QH","RSX")</f>
        <v>0</v>
      </c>
      <c r="M26" s="22">
        <f ca="1">+GETPIVOTDATA("XSB4",'sonbinh (2016)'!$A$3,"MA_HT","SKC","MA_QH","RPH")</f>
        <v>0</v>
      </c>
      <c r="N26" s="22">
        <f ca="1">+GETPIVOTDATA("XSB4",'sonbinh (2016)'!$A$3,"MA_HT","SKC","MA_QH","RDD")</f>
        <v>0</v>
      </c>
      <c r="O26" s="22">
        <f ca="1">+GETPIVOTDATA("XSB4",'sonbinh (2016)'!$A$3,"MA_HT","SKC","MA_QH","NTS")</f>
        <v>0</v>
      </c>
      <c r="P26" s="22">
        <f ca="1">+GETPIVOTDATA("XSB4",'sonbinh (2016)'!$A$3,"MA_HT","SKC","MA_QH","LMU")</f>
        <v>0</v>
      </c>
      <c r="Q26" s="22">
        <f ca="1">+GETPIVOTDATA("XSB4",'sonbinh (2016)'!$A$3,"MA_HT","SKC","MA_QH","NKH")</f>
        <v>0</v>
      </c>
      <c r="R26" s="42">
        <f ca="1">SUM(S26:X26,Z26,AN26:BD26)</f>
        <v>0</v>
      </c>
      <c r="S26" s="22">
        <f ca="1">+GETPIVOTDATA("XSB4",'sonbinh (2016)'!$A$3,"MA_HT","SKC","MA_QH","CQP")</f>
        <v>0</v>
      </c>
      <c r="T26" s="22">
        <f ca="1">+GETPIVOTDATA("XSB4",'sonbinh (2016)'!$A$3,"MA_HT","SKC","MA_QH","CAN")</f>
        <v>0</v>
      </c>
      <c r="U26" s="22">
        <f ca="1">+GETPIVOTDATA("XSB4",'sonbinh (2016)'!$A$3,"MA_HT","SKC","MA_QH","SKK")</f>
        <v>0</v>
      </c>
      <c r="V26" s="22">
        <f ca="1">+GETPIVOTDATA("XSB4",'sonbinh (2016)'!$A$3,"MA_HT","SKC","MA_QH","SKT")</f>
        <v>0</v>
      </c>
      <c r="W26" s="22">
        <f ca="1">+GETPIVOTDATA("XSB4",'sonbinh (2016)'!$A$3,"MA_HT","SKC","MA_QH","SKN")</f>
        <v>0</v>
      </c>
      <c r="X26" s="22">
        <f ca="1">+GETPIVOTDATA("XSB4",'sonbinh (2016)'!$A$3,"MA_HT","SKC","MA_QH","TMD")</f>
        <v>0</v>
      </c>
      <c r="Y26" s="43" t="e">
        <f ca="1">$D26-$BF26</f>
        <v>#REF!</v>
      </c>
      <c r="Z26" s="22">
        <f ca="1">+GETPIVOTDATA("XSB4",'sonbinh (2016)'!$A$3,"MA_HT","SKC","MA_QH","SKS")</f>
        <v>0</v>
      </c>
      <c r="AA26" s="52">
        <f ca="1" t="shared" si="12"/>
        <v>0</v>
      </c>
      <c r="AB26" s="22">
        <f ca="1">+GETPIVOTDATA("XSB4",'sonbinh (2016)'!$A$3,"MA_HT","SKC","MA_QH","DGT")</f>
        <v>0</v>
      </c>
      <c r="AC26" s="22">
        <f ca="1">+GETPIVOTDATA("XSB4",'sonbinh (2016)'!$A$3,"MA_HT","SKC","MA_QH","DTL")</f>
        <v>0</v>
      </c>
      <c r="AD26" s="22">
        <f ca="1">+GETPIVOTDATA("XSB4",'sonbinh (2016)'!$A$3,"MA_HT","SKC","MA_QH","DNL")</f>
        <v>0</v>
      </c>
      <c r="AE26" s="22">
        <f ca="1">+GETPIVOTDATA("XSB4",'sonbinh (2016)'!$A$3,"MA_HT","SKC","MA_QH","DBV")</f>
        <v>0</v>
      </c>
      <c r="AF26" s="22">
        <f ca="1">+GETPIVOTDATA("XSB4",'sonbinh (2016)'!$A$3,"MA_HT","SKC","MA_QH","DVH")</f>
        <v>0</v>
      </c>
      <c r="AG26" s="22">
        <f ca="1">+GETPIVOTDATA("XSB4",'sonbinh (2016)'!$A$3,"MA_HT","SKC","MA_QH","DYT")</f>
        <v>0</v>
      </c>
      <c r="AH26" s="22">
        <f ca="1">+GETPIVOTDATA("XSB4",'sonbinh (2016)'!$A$3,"MA_HT","SKC","MA_QH","DGD")</f>
        <v>0</v>
      </c>
      <c r="AI26" s="22">
        <f ca="1">+GETPIVOTDATA("XSB4",'sonbinh (2016)'!$A$3,"MA_HT","SKC","MA_QH","DTT")</f>
        <v>0</v>
      </c>
      <c r="AJ26" s="22">
        <f ca="1">+GETPIVOTDATA("XSB4",'sonbinh (2016)'!$A$3,"MA_HT","SKC","MA_QH","NCK")</f>
        <v>0</v>
      </c>
      <c r="AK26" s="22">
        <f ca="1">+GETPIVOTDATA("XSB4",'sonbinh (2016)'!$A$3,"MA_HT","SKC","MA_QH","DXH")</f>
        <v>0</v>
      </c>
      <c r="AL26" s="22">
        <f ca="1">+GETPIVOTDATA("XSB4",'sonbinh (2016)'!$A$3,"MA_HT","SKC","MA_QH","DCH")</f>
        <v>0</v>
      </c>
      <c r="AM26" s="22">
        <f ca="1">+GETPIVOTDATA("XSB4",'sonbinh (2016)'!$A$3,"MA_HT","SKC","MA_QH","DKG")</f>
        <v>0</v>
      </c>
      <c r="AN26" s="22">
        <f ca="1">+GETPIVOTDATA("XSB4",'sonbinh (2016)'!$A$3,"MA_HT","SKC","MA_QH","DDT")</f>
        <v>0</v>
      </c>
      <c r="AO26" s="22">
        <f ca="1">+GETPIVOTDATA("XSB4",'sonbinh (2016)'!$A$3,"MA_HT","SKC","MA_QH","DDL")</f>
        <v>0</v>
      </c>
      <c r="AP26" s="22">
        <f ca="1">+GETPIVOTDATA("XSB4",'sonbinh (2016)'!$A$3,"MA_HT","SKC","MA_QH","DRA")</f>
        <v>0</v>
      </c>
      <c r="AQ26" s="22">
        <f ca="1">+GETPIVOTDATA("XSB4",'sonbinh (2016)'!$A$3,"MA_HT","SKC","MA_QH","ONT")</f>
        <v>0</v>
      </c>
      <c r="AR26" s="22">
        <f ca="1">+GETPIVOTDATA("XSB4",'sonbinh (2016)'!$A$3,"MA_HT","SKC","MA_QH","ODT")</f>
        <v>0</v>
      </c>
      <c r="AS26" s="22">
        <f ca="1">+GETPIVOTDATA("XSB4",'sonbinh (2016)'!$A$3,"MA_HT","SKC","MA_QH","TSC")</f>
        <v>0</v>
      </c>
      <c r="AT26" s="22">
        <f ca="1">+GETPIVOTDATA("XSB4",'sonbinh (2016)'!$A$3,"MA_HT","SKC","MA_QH","DTS")</f>
        <v>0</v>
      </c>
      <c r="AU26" s="22">
        <f ca="1">+GETPIVOTDATA("XSB4",'sonbinh (2016)'!$A$3,"MA_HT","SKC","MA_QH","DNG")</f>
        <v>0</v>
      </c>
      <c r="AV26" s="22">
        <f ca="1">+GETPIVOTDATA("XSB4",'sonbinh (2016)'!$A$3,"MA_HT","SKC","MA_QH","TON")</f>
        <v>0</v>
      </c>
      <c r="AW26" s="22">
        <f ca="1">+GETPIVOTDATA("XSB4",'sonbinh (2016)'!$A$3,"MA_HT","SKC","MA_QH","NTD")</f>
        <v>0</v>
      </c>
      <c r="AX26" s="22">
        <f ca="1">+GETPIVOTDATA("XSB4",'sonbinh (2016)'!$A$3,"MA_HT","SKC","MA_QH","SKX")</f>
        <v>0</v>
      </c>
      <c r="AY26" s="22">
        <f ca="1">+GETPIVOTDATA("XSB4",'sonbinh (2016)'!$A$3,"MA_HT","SKC","MA_QH","DSH")</f>
        <v>0</v>
      </c>
      <c r="AZ26" s="22">
        <f ca="1">+GETPIVOTDATA("XSB4",'sonbinh (2016)'!$A$3,"MA_HT","SKC","MA_QH","DKV")</f>
        <v>0</v>
      </c>
      <c r="BA26" s="89">
        <f ca="1">+GETPIVOTDATA("XSB4",'sonbinh (2016)'!$A$3,"MA_HT","SKC","MA_QH","TIN")</f>
        <v>0</v>
      </c>
      <c r="BB26" s="50">
        <f ca="1">+GETPIVOTDATA("XSB4",'sonbinh (2016)'!$A$3,"MA_HT","SKC","MA_QH","SON")</f>
        <v>0</v>
      </c>
      <c r="BC26" s="50">
        <f ca="1">+GETPIVOTDATA("XSB4",'sonbinh (2016)'!$A$3,"MA_HT","SKC","MA_QH","MNC")</f>
        <v>0</v>
      </c>
      <c r="BD26" s="22">
        <f ca="1">+GETPIVOTDATA("XSB4",'sonbinh (2016)'!$A$3,"MA_HT","SKC","MA_QH","PNK")</f>
        <v>0</v>
      </c>
      <c r="BE26" s="71">
        <f ca="1">+GETPIVOTDATA("XSB4",'sonbinh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+GETPIVOTDATA("XSB4",'sonbinh (2016)'!$A$3,"MA_HT","SKS","MA_QH","LUC")</f>
        <v>0</v>
      </c>
      <c r="H27" s="22">
        <f ca="1">+GETPIVOTDATA("XSB4",'sonbinh (2016)'!$A$3,"MA_HT","SKS","MA_QH","LUK")</f>
        <v>0</v>
      </c>
      <c r="I27" s="22">
        <f ca="1">+GETPIVOTDATA("XSB4",'sonbinh (2016)'!$A$3,"MA_HT","SKS","MA_QH","LUN")</f>
        <v>0</v>
      </c>
      <c r="J27" s="22">
        <f ca="1">+GETPIVOTDATA("XSB4",'sonbinh (2016)'!$A$3,"MA_HT","SKS","MA_QH","HNK")</f>
        <v>0</v>
      </c>
      <c r="K27" s="22">
        <f ca="1">+GETPIVOTDATA("XSB4",'sonbinh (2016)'!$A$3,"MA_HT","SKS","MA_QH","CLN")</f>
        <v>0</v>
      </c>
      <c r="L27" s="22">
        <f ca="1">+GETPIVOTDATA("XSB4",'sonbinh (2016)'!$A$3,"MA_HT","SKS","MA_QH","RSX")</f>
        <v>0</v>
      </c>
      <c r="M27" s="22">
        <f ca="1">+GETPIVOTDATA("XSB4",'sonbinh (2016)'!$A$3,"MA_HT","SKS","MA_QH","RPH")</f>
        <v>0</v>
      </c>
      <c r="N27" s="22">
        <f ca="1">+GETPIVOTDATA("XSB4",'sonbinh (2016)'!$A$3,"MA_HT","SKS","MA_QH","RDD")</f>
        <v>0</v>
      </c>
      <c r="O27" s="22">
        <f ca="1">+GETPIVOTDATA("XSB4",'sonbinh (2016)'!$A$3,"MA_HT","SKS","MA_QH","NTS")</f>
        <v>0</v>
      </c>
      <c r="P27" s="22">
        <f ca="1">+GETPIVOTDATA("XSB4",'sonbinh (2016)'!$A$3,"MA_HT","SKS","MA_QH","LMU")</f>
        <v>0</v>
      </c>
      <c r="Q27" s="22">
        <f ca="1">+GETPIVOTDATA("XSB4",'sonbinh (2016)'!$A$3,"MA_HT","SKS","MA_QH","NKH")</f>
        <v>0</v>
      </c>
      <c r="R27" s="42">
        <f ca="1">SUM(S27:Y27,AA27,AN27:BD27)</f>
        <v>0</v>
      </c>
      <c r="S27" s="22">
        <f ca="1">+GETPIVOTDATA("XSB4",'sonbinh (2016)'!$A$3,"MA_HT","SKS","MA_QH","CQP")</f>
        <v>0</v>
      </c>
      <c r="T27" s="22">
        <f ca="1">+GETPIVOTDATA("XSB4",'sonbinh (2016)'!$A$3,"MA_HT","SKS","MA_QH","CAN")</f>
        <v>0</v>
      </c>
      <c r="U27" s="22">
        <f ca="1">+GETPIVOTDATA("XSB4",'sonbinh (2016)'!$A$3,"MA_HT","SKS","MA_QH","SKK")</f>
        <v>0</v>
      </c>
      <c r="V27" s="22">
        <f ca="1">+GETPIVOTDATA("XSB4",'sonbinh (2016)'!$A$3,"MA_HT","SKS","MA_QH","SKT")</f>
        <v>0</v>
      </c>
      <c r="W27" s="22">
        <f ca="1">+GETPIVOTDATA("XSB4",'sonbinh (2016)'!$A$3,"MA_HT","SKS","MA_QH","SKN")</f>
        <v>0</v>
      </c>
      <c r="X27" s="22">
        <f ca="1">+GETPIVOTDATA("XSB4",'sonbinh (2016)'!$A$3,"MA_HT","SKS","MA_QH","TMD")</f>
        <v>0</v>
      </c>
      <c r="Y27" s="22">
        <f ca="1">+GETPIVOTDATA("XSB4",'sonbinh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+GETPIVOTDATA("XSB4",'sonbinh (2016)'!$A$3,"MA_HT","SKS","MA_QH","DGT")</f>
        <v>0</v>
      </c>
      <c r="AC27" s="22">
        <f ca="1">+GETPIVOTDATA("XSB4",'sonbinh (2016)'!$A$3,"MA_HT","SKS","MA_QH","DTL")</f>
        <v>0</v>
      </c>
      <c r="AD27" s="22">
        <f ca="1">+GETPIVOTDATA("XSB4",'sonbinh (2016)'!$A$3,"MA_HT","SKS","MA_QH","DNL")</f>
        <v>0</v>
      </c>
      <c r="AE27" s="22">
        <f ca="1">+GETPIVOTDATA("XSB4",'sonbinh (2016)'!$A$3,"MA_HT","SKS","MA_QH","DBV")</f>
        <v>0</v>
      </c>
      <c r="AF27" s="22">
        <f ca="1">+GETPIVOTDATA("XSB4",'sonbinh (2016)'!$A$3,"MA_HT","SKS","MA_QH","DVH")</f>
        <v>0</v>
      </c>
      <c r="AG27" s="22">
        <f ca="1">+GETPIVOTDATA("XSB4",'sonbinh (2016)'!$A$3,"MA_HT","SKS","MA_QH","DYT")</f>
        <v>0</v>
      </c>
      <c r="AH27" s="22">
        <f ca="1">+GETPIVOTDATA("XSB4",'sonbinh (2016)'!$A$3,"MA_HT","SKS","MA_QH","DGD")</f>
        <v>0</v>
      </c>
      <c r="AI27" s="22">
        <f ca="1">+GETPIVOTDATA("XSB4",'sonbinh (2016)'!$A$3,"MA_HT","SKS","MA_QH","DTT")</f>
        <v>0</v>
      </c>
      <c r="AJ27" s="22">
        <f ca="1">+GETPIVOTDATA("XSB4",'sonbinh (2016)'!$A$3,"MA_HT","SKS","MA_QH","NCK")</f>
        <v>0</v>
      </c>
      <c r="AK27" s="22">
        <f ca="1">+GETPIVOTDATA("XSB4",'sonbinh (2016)'!$A$3,"MA_HT","SKS","MA_QH","DXH")</f>
        <v>0</v>
      </c>
      <c r="AL27" s="22">
        <f ca="1">+GETPIVOTDATA("XSB4",'sonbinh (2016)'!$A$3,"MA_HT","SKS","MA_QH","DCH")</f>
        <v>0</v>
      </c>
      <c r="AM27" s="22">
        <f ca="1">+GETPIVOTDATA("XSB4",'sonbinh (2016)'!$A$3,"MA_HT","SKS","MA_QH","DKG")</f>
        <v>0</v>
      </c>
      <c r="AN27" s="22">
        <f ca="1">+GETPIVOTDATA("XSB4",'sonbinh (2016)'!$A$3,"MA_HT","SKS","MA_QH","DDT")</f>
        <v>0</v>
      </c>
      <c r="AO27" s="22">
        <f ca="1">+GETPIVOTDATA("XSB4",'sonbinh (2016)'!$A$3,"MA_HT","SKS","MA_QH","DDL")</f>
        <v>0</v>
      </c>
      <c r="AP27" s="22">
        <f ca="1">+GETPIVOTDATA("XSB4",'sonbinh (2016)'!$A$3,"MA_HT","SKS","MA_QH","DRA")</f>
        <v>0</v>
      </c>
      <c r="AQ27" s="22">
        <f ca="1">+GETPIVOTDATA("XSB4",'sonbinh (2016)'!$A$3,"MA_HT","SKS","MA_QH","ONT")</f>
        <v>0</v>
      </c>
      <c r="AR27" s="22">
        <f ca="1">+GETPIVOTDATA("XSB4",'sonbinh (2016)'!$A$3,"MA_HT","SKS","MA_QH","ODT")</f>
        <v>0</v>
      </c>
      <c r="AS27" s="22">
        <f ca="1">+GETPIVOTDATA("XSB4",'sonbinh (2016)'!$A$3,"MA_HT","SKS","MA_QH","TSC")</f>
        <v>0</v>
      </c>
      <c r="AT27" s="22">
        <f ca="1">+GETPIVOTDATA("XSB4",'sonbinh (2016)'!$A$3,"MA_HT","SKS","MA_QH","DTS")</f>
        <v>0</v>
      </c>
      <c r="AU27" s="22">
        <f ca="1">+GETPIVOTDATA("XSB4",'sonbinh (2016)'!$A$3,"MA_HT","SKS","MA_QH","DNG")</f>
        <v>0</v>
      </c>
      <c r="AV27" s="22">
        <f ca="1">+GETPIVOTDATA("XSB4",'sonbinh (2016)'!$A$3,"MA_HT","SKS","MA_QH","TON")</f>
        <v>0</v>
      </c>
      <c r="AW27" s="22">
        <f ca="1">+GETPIVOTDATA("XSB4",'sonbinh (2016)'!$A$3,"MA_HT","SKS","MA_QH","NTD")</f>
        <v>0</v>
      </c>
      <c r="AX27" s="22">
        <f ca="1">+GETPIVOTDATA("XSB4",'sonbinh (2016)'!$A$3,"MA_HT","SKS","MA_QH","SKX")</f>
        <v>0</v>
      </c>
      <c r="AY27" s="22">
        <f ca="1">+GETPIVOTDATA("XSB4",'sonbinh (2016)'!$A$3,"MA_HT","SKS","MA_QH","DSH")</f>
        <v>0</v>
      </c>
      <c r="AZ27" s="22">
        <f ca="1">+GETPIVOTDATA("XSB4",'sonbinh (2016)'!$A$3,"MA_HT","SKS","MA_QH","DKV")</f>
        <v>0</v>
      </c>
      <c r="BA27" s="89">
        <f ca="1">+GETPIVOTDATA("XSB4",'sonbinh (2016)'!$A$3,"MA_HT","SKS","MA_QH","TIN")</f>
        <v>0</v>
      </c>
      <c r="BB27" s="50">
        <f ca="1">+GETPIVOTDATA("XSB4",'sonbinh (2016)'!$A$3,"MA_HT","SKS","MA_QH","SON")</f>
        <v>0</v>
      </c>
      <c r="BC27" s="50">
        <f ca="1">+GETPIVOTDATA("XSB4",'sonbinh (2016)'!$A$3,"MA_HT","SKS","MA_QH","MNC")</f>
        <v>0</v>
      </c>
      <c r="BD27" s="22">
        <f ca="1">+GETPIVOTDATA("XSB4",'sonbinh (2016)'!$A$3,"MA_HT","SKS","MA_QH","PNK")</f>
        <v>0</v>
      </c>
      <c r="BE27" s="71">
        <f ca="1">+GETPIVOTDATA("XSB4",'sonbinh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+GETPIVOTDATA("XSB4",'sonbinh (2016)'!$A$3,"MA_HT","DGT","MA_QH","LUC")</f>
        <v>0</v>
      </c>
      <c r="H29" s="50">
        <f ca="1">+GETPIVOTDATA("XSB4",'sonbinh (2016)'!$A$3,"MA_HT","DGT","MA_QH","LUK")</f>
        <v>0</v>
      </c>
      <c r="I29" s="50">
        <f ca="1">+GETPIVOTDATA("XSB4",'sonbinh (2016)'!$A$3,"MA_HT","DGT","MA_QH","LUN")</f>
        <v>0</v>
      </c>
      <c r="J29" s="50">
        <f ca="1">+GETPIVOTDATA("XSB4",'sonbinh (2016)'!$A$3,"MA_HT","DGT","MA_QH","HNK")</f>
        <v>0</v>
      </c>
      <c r="K29" s="50">
        <f ca="1">+GETPIVOTDATA("XSB4",'sonbinh (2016)'!$A$3,"MA_HT","DGT","MA_QH","CLN")</f>
        <v>0</v>
      </c>
      <c r="L29" s="50">
        <f ca="1">+GETPIVOTDATA("XSB4",'sonbinh (2016)'!$A$3,"MA_HT","DGT","MA_QH","RSX")</f>
        <v>0</v>
      </c>
      <c r="M29" s="50">
        <f ca="1">+GETPIVOTDATA("XSB4",'sonbinh (2016)'!$A$3,"MA_HT","DGT","MA_QH","RPH")</f>
        <v>0</v>
      </c>
      <c r="N29" s="50">
        <f ca="1">+GETPIVOTDATA("XSB4",'sonbinh (2016)'!$A$3,"MA_HT","DGT","MA_QH","RDD")</f>
        <v>0</v>
      </c>
      <c r="O29" s="50">
        <f ca="1">+GETPIVOTDATA("XSB4",'sonbinh (2016)'!$A$3,"MA_HT","DGT","MA_QH","NTS")</f>
        <v>0</v>
      </c>
      <c r="P29" s="50">
        <f ca="1">+GETPIVOTDATA("XSB4",'sonbinh (2016)'!$A$3,"MA_HT","DGT","MA_QH","LMU")</f>
        <v>0</v>
      </c>
      <c r="Q29" s="50">
        <f ca="1">+GETPIVOTDATA("XSB4",'sonbinh (2016)'!$A$3,"MA_HT","DGT","MA_QH","NKH")</f>
        <v>0</v>
      </c>
      <c r="R29" s="48">
        <f ca="1">SUM(S29:AA29,AN29:BD29)</f>
        <v>0</v>
      </c>
      <c r="S29" s="50">
        <f ca="1">+GETPIVOTDATA("XSB4",'sonbinh (2016)'!$A$3,"MA_HT","DGT","MA_QH","CQP")</f>
        <v>0</v>
      </c>
      <c r="T29" s="50">
        <f ca="1">+GETPIVOTDATA("XSB4",'sonbinh (2016)'!$A$3,"MA_HT","DGT","MA_QH","CAN")</f>
        <v>0</v>
      </c>
      <c r="U29" s="50">
        <f ca="1">+GETPIVOTDATA("XSB4",'sonbinh (2016)'!$A$3,"MA_HT","DGT","MA_QH","SKK")</f>
        <v>0</v>
      </c>
      <c r="V29" s="50">
        <f ca="1">+GETPIVOTDATA("XSB4",'sonbinh (2016)'!$A$3,"MA_HT","DGT","MA_QH","SKT")</f>
        <v>0</v>
      </c>
      <c r="W29" s="50">
        <f ca="1">+GETPIVOTDATA("XSB4",'sonbinh (2016)'!$A$3,"MA_HT","DGT","MA_QH","SKN")</f>
        <v>0</v>
      </c>
      <c r="X29" s="50">
        <f ca="1">+GETPIVOTDATA("XSB4",'sonbinh (2016)'!$A$3,"MA_HT","DGT","MA_QH","TMD")</f>
        <v>0</v>
      </c>
      <c r="Y29" s="50">
        <f ca="1">+GETPIVOTDATA("XSB4",'sonbinh (2016)'!$A$3,"MA_HT","DGT","MA_QH","SKC")</f>
        <v>0</v>
      </c>
      <c r="Z29" s="50">
        <f ca="1">+GETPIVOTDATA("XSB4",'sonbinh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+GETPIVOTDATA("XSB4",'sonbinh (2016)'!$A$3,"MA_HT","DGT","MA_QH","DTL")</f>
        <v>0</v>
      </c>
      <c r="AD29" s="50">
        <f ca="1">+GETPIVOTDATA("XSB4",'sonbinh (2016)'!$A$3,"MA_HT","DGT","MA_QH","DNL")</f>
        <v>0</v>
      </c>
      <c r="AE29" s="50">
        <f ca="1">+GETPIVOTDATA("XSB4",'sonbinh (2016)'!$A$3,"MA_HT","DGT","MA_QH","DBV")</f>
        <v>0</v>
      </c>
      <c r="AF29" s="50">
        <f ca="1">+GETPIVOTDATA("XSB4",'sonbinh (2016)'!$A$3,"MA_HT","DGT","MA_QH","DVH")</f>
        <v>0</v>
      </c>
      <c r="AG29" s="50">
        <f ca="1">+GETPIVOTDATA("XSB4",'sonbinh (2016)'!$A$3,"MA_HT","DGT","MA_QH","DYT")</f>
        <v>0</v>
      </c>
      <c r="AH29" s="50">
        <f ca="1">+GETPIVOTDATA("XSB4",'sonbinh (2016)'!$A$3,"MA_HT","DGT","MA_QH","DGD")</f>
        <v>0</v>
      </c>
      <c r="AI29" s="50">
        <f ca="1">+GETPIVOTDATA("XSB4",'sonbinh (2016)'!$A$3,"MA_HT","DGT","MA_QH","DTT")</f>
        <v>0</v>
      </c>
      <c r="AJ29" s="50">
        <f ca="1">+GETPIVOTDATA("XSB4",'sonbinh (2016)'!$A$3,"MA_HT","DGT","MA_QH","NCK")</f>
        <v>0</v>
      </c>
      <c r="AK29" s="50">
        <f ca="1">+GETPIVOTDATA("XSB4",'sonbinh (2016)'!$A$3,"MA_HT","DGT","MA_QH","DXH")</f>
        <v>0</v>
      </c>
      <c r="AL29" s="50">
        <f ca="1">+GETPIVOTDATA("XSB4",'sonbinh (2016)'!$A$3,"MA_HT","DGT","MA_QH","DCH")</f>
        <v>0</v>
      </c>
      <c r="AM29" s="50">
        <f ca="1">+GETPIVOTDATA("XSB4",'sonbinh (2016)'!$A$3,"MA_HT","DGT","MA_QH","DKG")</f>
        <v>0</v>
      </c>
      <c r="AN29" s="50">
        <f ca="1">+GETPIVOTDATA("XSB4",'sonbinh (2016)'!$A$3,"MA_HT","DGT","MA_QH","DDT")</f>
        <v>0</v>
      </c>
      <c r="AO29" s="50">
        <f ca="1">+GETPIVOTDATA("XSB4",'sonbinh (2016)'!$A$3,"MA_HT","DGT","MA_QH","DDL")</f>
        <v>0</v>
      </c>
      <c r="AP29" s="50">
        <f ca="1">+GETPIVOTDATA("XSB4",'sonbinh (2016)'!$A$3,"MA_HT","DGT","MA_QH","DRA")</f>
        <v>0</v>
      </c>
      <c r="AQ29" s="50">
        <f ca="1">+GETPIVOTDATA("XSB4",'sonbinh (2016)'!$A$3,"MA_HT","DGT","MA_QH","ONT")</f>
        <v>0</v>
      </c>
      <c r="AR29" s="50">
        <f ca="1">+GETPIVOTDATA("XSB4",'sonbinh (2016)'!$A$3,"MA_HT","DGT","MA_QH","ODT")</f>
        <v>0</v>
      </c>
      <c r="AS29" s="50">
        <f ca="1">+GETPIVOTDATA("XSB4",'sonbinh (2016)'!$A$3,"MA_HT","DGT","MA_QH","TSC")</f>
        <v>0</v>
      </c>
      <c r="AT29" s="50">
        <f ca="1">+GETPIVOTDATA("XSB4",'sonbinh (2016)'!$A$3,"MA_HT","DGT","MA_QH","DTS")</f>
        <v>0</v>
      </c>
      <c r="AU29" s="50">
        <f ca="1">+GETPIVOTDATA("XSB4",'sonbinh (2016)'!$A$3,"MA_HT","DGT","MA_QH","DNG")</f>
        <v>0</v>
      </c>
      <c r="AV29" s="50">
        <f ca="1">+GETPIVOTDATA("XSB4",'sonbinh (2016)'!$A$3,"MA_HT","DGT","MA_QH","TON")</f>
        <v>0</v>
      </c>
      <c r="AW29" s="50">
        <f ca="1">+GETPIVOTDATA("XSB4",'sonbinh (2016)'!$A$3,"MA_HT","DGT","MA_QH","NTD")</f>
        <v>0</v>
      </c>
      <c r="AX29" s="50">
        <f ca="1">+GETPIVOTDATA("XSB4",'sonbinh (2016)'!$A$3,"MA_HT","DGT","MA_QH","SKX")</f>
        <v>0</v>
      </c>
      <c r="AY29" s="50">
        <f ca="1">+GETPIVOTDATA("XSB4",'sonbinh (2016)'!$A$3,"MA_HT","DGT","MA_QH","DSH")</f>
        <v>0</v>
      </c>
      <c r="AZ29" s="50">
        <f ca="1">+GETPIVOTDATA("XSB4",'sonbinh (2016)'!$A$3,"MA_HT","DGT","MA_QH","DKV")</f>
        <v>0</v>
      </c>
      <c r="BA29" s="88">
        <f ca="1">+GETPIVOTDATA("XSB4",'sonbinh (2016)'!$A$3,"MA_HT","DGT","MA_QH","TIN")</f>
        <v>0</v>
      </c>
      <c r="BB29" s="50">
        <f ca="1">+GETPIVOTDATA("XSB4",'sonbinh (2016)'!$A$3,"MA_HT","DGT","MA_QH","SON")</f>
        <v>0</v>
      </c>
      <c r="BC29" s="50">
        <f ca="1">+GETPIVOTDATA("XSB4",'sonbinh (2016)'!$A$3,"MA_HT","DGT","MA_QH","MNC")</f>
        <v>0</v>
      </c>
      <c r="BD29" s="50">
        <f ca="1">+GETPIVOTDATA("XSB4",'sonbinh (2016)'!$A$3,"MA_HT","DGT","MA_QH","PNK")</f>
        <v>0</v>
      </c>
      <c r="BE29" s="80">
        <f ca="1">+GETPIVOTDATA("XSB4",'sonbinh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+GETPIVOTDATA("XSB4",'sonbinh (2016)'!$A$3,"MA_HT","DTL","MA_QH","LUC")</f>
        <v>0</v>
      </c>
      <c r="H30" s="50">
        <f ca="1">+GETPIVOTDATA("XSB4",'sonbinh (2016)'!$A$3,"MA_HT","DTL","MA_QH","LUK")</f>
        <v>0</v>
      </c>
      <c r="I30" s="50">
        <f ca="1">+GETPIVOTDATA("XSB4",'sonbinh (2016)'!$A$3,"MA_HT","DTL","MA_QH","LUN")</f>
        <v>0</v>
      </c>
      <c r="J30" s="50">
        <f ca="1">+GETPIVOTDATA("XSB4",'sonbinh (2016)'!$A$3,"MA_HT","DTL","MA_QH","HNK")</f>
        <v>0</v>
      </c>
      <c r="K30" s="50">
        <f ca="1">+GETPIVOTDATA("XSB4",'sonbinh (2016)'!$A$3,"MA_HT","DTL","MA_QH","CLN")</f>
        <v>0</v>
      </c>
      <c r="L30" s="50">
        <f ca="1">+GETPIVOTDATA("XSB4",'sonbinh (2016)'!$A$3,"MA_HT","DTL","MA_QH","RSX")</f>
        <v>0</v>
      </c>
      <c r="M30" s="50">
        <f ca="1">+GETPIVOTDATA("XSB4",'sonbinh (2016)'!$A$3,"MA_HT","DTL","MA_QH","RPH")</f>
        <v>0</v>
      </c>
      <c r="N30" s="50">
        <f ca="1">+GETPIVOTDATA("XSB4",'sonbinh (2016)'!$A$3,"MA_HT","DTL","MA_QH","RDD")</f>
        <v>0</v>
      </c>
      <c r="O30" s="50">
        <f ca="1">+GETPIVOTDATA("XSB4",'sonbinh (2016)'!$A$3,"MA_HT","DTL","MA_QH","NTS")</f>
        <v>0</v>
      </c>
      <c r="P30" s="50">
        <f ca="1">+GETPIVOTDATA("XSB4",'sonbinh (2016)'!$A$3,"MA_HT","DTL","MA_QH","LMU")</f>
        <v>0</v>
      </c>
      <c r="Q30" s="50">
        <f ca="1">+GETPIVOTDATA("XSB4",'sonbinh (2016)'!$A$3,"MA_HT","DTL","MA_QH","NKH")</f>
        <v>0</v>
      </c>
      <c r="R30" s="48">
        <f ca="1" t="shared" ref="R30:R40" si="20">SUM(S30:AA30,AN30:BD30)</f>
        <v>0</v>
      </c>
      <c r="S30" s="50">
        <f ca="1">+GETPIVOTDATA("XSB4",'sonbinh (2016)'!$A$3,"MA_HT","DTL","MA_QH","CQP")</f>
        <v>0</v>
      </c>
      <c r="T30" s="50">
        <f ca="1">+GETPIVOTDATA("XSB4",'sonbinh (2016)'!$A$3,"MA_HT","DTL","MA_QH","CAN")</f>
        <v>0</v>
      </c>
      <c r="U30" s="50">
        <f ca="1">+GETPIVOTDATA("XSB4",'sonbinh (2016)'!$A$3,"MA_HT","DTL","MA_QH","SKK")</f>
        <v>0</v>
      </c>
      <c r="V30" s="50">
        <f ca="1">+GETPIVOTDATA("XSB4",'sonbinh (2016)'!$A$3,"MA_HT","DTL","MA_QH","SKT")</f>
        <v>0</v>
      </c>
      <c r="W30" s="50">
        <f ca="1">+GETPIVOTDATA("XSB4",'sonbinh (2016)'!$A$3,"MA_HT","DTL","MA_QH","SKN")</f>
        <v>0</v>
      </c>
      <c r="X30" s="50">
        <f ca="1">+GETPIVOTDATA("XSB4",'sonbinh (2016)'!$A$3,"MA_HT","DTL","MA_QH","TMD")</f>
        <v>0</v>
      </c>
      <c r="Y30" s="50">
        <f ca="1">+GETPIVOTDATA("XSB4",'sonbinh (2016)'!$A$3,"MA_HT","DTL","MA_QH","SKC")</f>
        <v>0</v>
      </c>
      <c r="Z30" s="50">
        <f ca="1">+GETPIVOTDATA("XSB4",'sonbinh (2016)'!$A$3,"MA_HT","DTL","MA_QH","SKS")</f>
        <v>0</v>
      </c>
      <c r="AA30" s="52">
        <f ca="1">+SUM(AB30,AD30:AM30)</f>
        <v>0</v>
      </c>
      <c r="AB30" s="50">
        <f ca="1">+GETPIVOTDATA("XSB4",'sonbinh (2016)'!$A$3,"MA_HT","DTL","MA_QH","DGT")</f>
        <v>0</v>
      </c>
      <c r="AC30" s="49" t="e">
        <f ca="1">$D30-$BF30</f>
        <v>#REF!</v>
      </c>
      <c r="AD30" s="50">
        <f ca="1">+GETPIVOTDATA("XSB4",'sonbinh (2016)'!$A$3,"MA_HT","DTL","MA_QH","DNL")</f>
        <v>0</v>
      </c>
      <c r="AE30" s="50">
        <f ca="1">+GETPIVOTDATA("XSB4",'sonbinh (2016)'!$A$3,"MA_HT","DTL","MA_QH","DBV")</f>
        <v>0</v>
      </c>
      <c r="AF30" s="50">
        <f ca="1">+GETPIVOTDATA("XSB4",'sonbinh (2016)'!$A$3,"MA_HT","DTL","MA_QH","DVH")</f>
        <v>0</v>
      </c>
      <c r="AG30" s="50">
        <f ca="1">+GETPIVOTDATA("XSB4",'sonbinh (2016)'!$A$3,"MA_HT","DTL","MA_QH","DYT")</f>
        <v>0</v>
      </c>
      <c r="AH30" s="50">
        <f ca="1">+GETPIVOTDATA("XSB4",'sonbinh (2016)'!$A$3,"MA_HT","DTL","MA_QH","DGD")</f>
        <v>0</v>
      </c>
      <c r="AI30" s="50">
        <f ca="1">+GETPIVOTDATA("XSB4",'sonbinh (2016)'!$A$3,"MA_HT","DTL","MA_QH","DTT")</f>
        <v>0</v>
      </c>
      <c r="AJ30" s="50">
        <f ca="1">+GETPIVOTDATA("XSB4",'sonbinh (2016)'!$A$3,"MA_HT","DTL","MA_QH","NCK")</f>
        <v>0</v>
      </c>
      <c r="AK30" s="50">
        <f ca="1">+GETPIVOTDATA("XSB4",'sonbinh (2016)'!$A$3,"MA_HT","DTL","MA_QH","DXH")</f>
        <v>0</v>
      </c>
      <c r="AL30" s="50">
        <f ca="1">+GETPIVOTDATA("XSB4",'sonbinh (2016)'!$A$3,"MA_HT","DTL","MA_QH","DCH")</f>
        <v>0</v>
      </c>
      <c r="AM30" s="50">
        <f ca="1">+GETPIVOTDATA("XSB4",'sonbinh (2016)'!$A$3,"MA_HT","DTL","MA_QH","DKG")</f>
        <v>0</v>
      </c>
      <c r="AN30" s="50">
        <f ca="1">+GETPIVOTDATA("XSB4",'sonbinh (2016)'!$A$3,"MA_HT","DTL","MA_QH","DDT")</f>
        <v>0</v>
      </c>
      <c r="AO30" s="50">
        <f ca="1">+GETPIVOTDATA("XSB4",'sonbinh (2016)'!$A$3,"MA_HT","DTL","MA_QH","DDL")</f>
        <v>0</v>
      </c>
      <c r="AP30" s="50">
        <f ca="1">+GETPIVOTDATA("XSB4",'sonbinh (2016)'!$A$3,"MA_HT","DTL","MA_QH","DRA")</f>
        <v>0</v>
      </c>
      <c r="AQ30" s="50">
        <f ca="1">+GETPIVOTDATA("XSB4",'sonbinh (2016)'!$A$3,"MA_HT","DTL","MA_QH","ONT")</f>
        <v>0</v>
      </c>
      <c r="AR30" s="50">
        <f ca="1">+GETPIVOTDATA("XSB4",'sonbinh (2016)'!$A$3,"MA_HT","DTL","MA_QH","ODT")</f>
        <v>0</v>
      </c>
      <c r="AS30" s="50">
        <f ca="1">+GETPIVOTDATA("XSB4",'sonbinh (2016)'!$A$3,"MA_HT","DTL","MA_QH","TSC")</f>
        <v>0</v>
      </c>
      <c r="AT30" s="50">
        <f ca="1">+GETPIVOTDATA("XSB4",'sonbinh (2016)'!$A$3,"MA_HT","DTL","MA_QH","DTS")</f>
        <v>0</v>
      </c>
      <c r="AU30" s="50">
        <f ca="1">+GETPIVOTDATA("XSB4",'sonbinh (2016)'!$A$3,"MA_HT","DTL","MA_QH","DNG")</f>
        <v>0</v>
      </c>
      <c r="AV30" s="50">
        <f ca="1">+GETPIVOTDATA("XSB4",'sonbinh (2016)'!$A$3,"MA_HT","DTL","MA_QH","TON")</f>
        <v>0</v>
      </c>
      <c r="AW30" s="50">
        <f ca="1">+GETPIVOTDATA("XSB4",'sonbinh (2016)'!$A$3,"MA_HT","DTL","MA_QH","NTD")</f>
        <v>0</v>
      </c>
      <c r="AX30" s="50">
        <f ca="1">+GETPIVOTDATA("XSB4",'sonbinh (2016)'!$A$3,"MA_HT","DTL","MA_QH","SKX")</f>
        <v>0</v>
      </c>
      <c r="AY30" s="50">
        <f ca="1">+GETPIVOTDATA("XSB4",'sonbinh (2016)'!$A$3,"MA_HT","DTL","MA_QH","DSH")</f>
        <v>0</v>
      </c>
      <c r="AZ30" s="50">
        <f ca="1">+GETPIVOTDATA("XSB4",'sonbinh (2016)'!$A$3,"MA_HT","DTL","MA_QH","DKV")</f>
        <v>0</v>
      </c>
      <c r="BA30" s="88">
        <f ca="1">+GETPIVOTDATA("XSB4",'sonbinh (2016)'!$A$3,"MA_HT","DTL","MA_QH","TIN")</f>
        <v>0</v>
      </c>
      <c r="BB30" s="50">
        <f ca="1">+GETPIVOTDATA("XSB4",'sonbinh (2016)'!$A$3,"MA_HT","DTL","MA_QH","SON")</f>
        <v>0</v>
      </c>
      <c r="BC30" s="50">
        <f ca="1">+GETPIVOTDATA("XSB4",'sonbinh (2016)'!$A$3,"MA_HT","DTL","MA_QH","MNC")</f>
        <v>0</v>
      </c>
      <c r="BD30" s="50">
        <f ca="1">+GETPIVOTDATA("XSB4",'sonbinh (2016)'!$A$3,"MA_HT","DTL","MA_QH","PNK")</f>
        <v>0</v>
      </c>
      <c r="BE30" s="80">
        <f ca="1">+GETPIVOTDATA("XSB4",'sonbinh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+GETPIVOTDATA("XSB4",'sonbinh (2016)'!$A$3,"MA_HT","DNL","MA_QH","LUC")</f>
        <v>0</v>
      </c>
      <c r="H31" s="50">
        <f ca="1">+GETPIVOTDATA("XSB4",'sonbinh (2016)'!$A$3,"MA_HT","DNL","MA_QH","LUK")</f>
        <v>0</v>
      </c>
      <c r="I31" s="50">
        <f ca="1">+GETPIVOTDATA("XSB4",'sonbinh (2016)'!$A$3,"MA_HT","DNL","MA_QH","LUN")</f>
        <v>0</v>
      </c>
      <c r="J31" s="50">
        <f ca="1">+GETPIVOTDATA("XSB4",'sonbinh (2016)'!$A$3,"MA_HT","DNL","MA_QH","HNK")</f>
        <v>0</v>
      </c>
      <c r="K31" s="50">
        <f ca="1">+GETPIVOTDATA("XSB4",'sonbinh (2016)'!$A$3,"MA_HT","DNL","MA_QH","CLN")</f>
        <v>0</v>
      </c>
      <c r="L31" s="50">
        <f ca="1">+GETPIVOTDATA("XSB4",'sonbinh (2016)'!$A$3,"MA_HT","DNL","MA_QH","RSX")</f>
        <v>0</v>
      </c>
      <c r="M31" s="50">
        <f ca="1">+GETPIVOTDATA("XSB4",'sonbinh (2016)'!$A$3,"MA_HT","DNL","MA_QH","RPH")</f>
        <v>0</v>
      </c>
      <c r="N31" s="50">
        <f ca="1">+GETPIVOTDATA("XSB4",'sonbinh (2016)'!$A$3,"MA_HT","DNL","MA_QH","RDD")</f>
        <v>0</v>
      </c>
      <c r="O31" s="50">
        <f ca="1">+GETPIVOTDATA("XSB4",'sonbinh (2016)'!$A$3,"MA_HT","DNL","MA_QH","NTS")</f>
        <v>0</v>
      </c>
      <c r="P31" s="50">
        <f ca="1">+GETPIVOTDATA("XSB4",'sonbinh (2016)'!$A$3,"MA_HT","DNL","MA_QH","LMU")</f>
        <v>0</v>
      </c>
      <c r="Q31" s="50">
        <f ca="1">+GETPIVOTDATA("XSB4",'sonbinh (2016)'!$A$3,"MA_HT","DNL","MA_QH","NKH")</f>
        <v>0</v>
      </c>
      <c r="R31" s="48">
        <f ca="1" t="shared" si="20"/>
        <v>0</v>
      </c>
      <c r="S31" s="50">
        <f ca="1">+GETPIVOTDATA("XSB4",'sonbinh (2016)'!$A$3,"MA_HT","DNL","MA_QH","CQP")</f>
        <v>0</v>
      </c>
      <c r="T31" s="50">
        <f ca="1">+GETPIVOTDATA("XSB4",'sonbinh (2016)'!$A$3,"MA_HT","DNL","MA_QH","CAN")</f>
        <v>0</v>
      </c>
      <c r="U31" s="50">
        <f ca="1">+GETPIVOTDATA("XSB4",'sonbinh (2016)'!$A$3,"MA_HT","DNL","MA_QH","SKK")</f>
        <v>0</v>
      </c>
      <c r="V31" s="50">
        <f ca="1">+GETPIVOTDATA("XSB4",'sonbinh (2016)'!$A$3,"MA_HT","DNL","MA_QH","SKT")</f>
        <v>0</v>
      </c>
      <c r="W31" s="50">
        <f ca="1">+GETPIVOTDATA("XSB4",'sonbinh (2016)'!$A$3,"MA_HT","DNL","MA_QH","SKN")</f>
        <v>0</v>
      </c>
      <c r="X31" s="50">
        <f ca="1">+GETPIVOTDATA("XSB4",'sonbinh (2016)'!$A$3,"MA_HT","DNL","MA_QH","TMD")</f>
        <v>0</v>
      </c>
      <c r="Y31" s="50">
        <f ca="1">+GETPIVOTDATA("XSB4",'sonbinh (2016)'!$A$3,"MA_HT","DNL","MA_QH","SKC")</f>
        <v>0</v>
      </c>
      <c r="Z31" s="50">
        <f ca="1">+GETPIVOTDATA("XSB4",'sonbinh (2016)'!$A$3,"MA_HT","DNL","MA_QH","SKS")</f>
        <v>0</v>
      </c>
      <c r="AA31" s="52">
        <f ca="1">+SUM(AB31:AC31,AE31:AM31)</f>
        <v>0</v>
      </c>
      <c r="AB31" s="50">
        <f ca="1">+GETPIVOTDATA("XSB4",'sonbinh (2016)'!$A$3,"MA_HT","DNL","MA_QH","DGT")</f>
        <v>0</v>
      </c>
      <c r="AC31" s="50">
        <f ca="1">+GETPIVOTDATA("XSB4",'sonbinh (2016)'!$A$3,"MA_HT","DNL","MA_QH","DTL")</f>
        <v>0</v>
      </c>
      <c r="AD31" s="49" t="e">
        <f ca="1">$D31-$BF31</f>
        <v>#REF!</v>
      </c>
      <c r="AE31" s="50">
        <f ca="1">+GETPIVOTDATA("XSB4",'sonbinh (2016)'!$A$3,"MA_HT","DNL","MA_QH","DBV")</f>
        <v>0</v>
      </c>
      <c r="AF31" s="50">
        <f ca="1">+GETPIVOTDATA("XSB4",'sonbinh (2016)'!$A$3,"MA_HT","DNL","MA_QH","DVH")</f>
        <v>0</v>
      </c>
      <c r="AG31" s="50">
        <f ca="1">+GETPIVOTDATA("XSB4",'sonbinh (2016)'!$A$3,"MA_HT","DNL","MA_QH","DYT")</f>
        <v>0</v>
      </c>
      <c r="AH31" s="50">
        <f ca="1">+GETPIVOTDATA("XSB4",'sonbinh (2016)'!$A$3,"MA_HT","DNL","MA_QH","DGD")</f>
        <v>0</v>
      </c>
      <c r="AI31" s="50">
        <f ca="1">+GETPIVOTDATA("XSB4",'sonbinh (2016)'!$A$3,"MA_HT","DNL","MA_QH","DTT")</f>
        <v>0</v>
      </c>
      <c r="AJ31" s="50">
        <f ca="1">+GETPIVOTDATA("XSB4",'sonbinh (2016)'!$A$3,"MA_HT","DNL","MA_QH","NCK")</f>
        <v>0</v>
      </c>
      <c r="AK31" s="50">
        <f ca="1">+GETPIVOTDATA("XSB4",'sonbinh (2016)'!$A$3,"MA_HT","DNL","MA_QH","DXH")</f>
        <v>0</v>
      </c>
      <c r="AL31" s="50">
        <f ca="1">+GETPIVOTDATA("XSB4",'sonbinh (2016)'!$A$3,"MA_HT","DNL","MA_QH","DCH")</f>
        <v>0</v>
      </c>
      <c r="AM31" s="50">
        <f ca="1">+GETPIVOTDATA("XSB4",'sonbinh (2016)'!$A$3,"MA_HT","DNL","MA_QH","DKG")</f>
        <v>0</v>
      </c>
      <c r="AN31" s="50">
        <f ca="1">+GETPIVOTDATA("XSB4",'sonbinh (2016)'!$A$3,"MA_HT","DNL","MA_QH","DDT")</f>
        <v>0</v>
      </c>
      <c r="AO31" s="50">
        <f ca="1">+GETPIVOTDATA("XSB4",'sonbinh (2016)'!$A$3,"MA_HT","DNL","MA_QH","DDL")</f>
        <v>0</v>
      </c>
      <c r="AP31" s="50">
        <f ca="1">+GETPIVOTDATA("XSB4",'sonbinh (2016)'!$A$3,"MA_HT","DNL","MA_QH","DRA")</f>
        <v>0</v>
      </c>
      <c r="AQ31" s="50">
        <f ca="1">+GETPIVOTDATA("XSB4",'sonbinh (2016)'!$A$3,"MA_HT","DNL","MA_QH","ONT")</f>
        <v>0</v>
      </c>
      <c r="AR31" s="50">
        <f ca="1">+GETPIVOTDATA("XSB4",'sonbinh (2016)'!$A$3,"MA_HT","DNL","MA_QH","ODT")</f>
        <v>0</v>
      </c>
      <c r="AS31" s="50">
        <f ca="1">+GETPIVOTDATA("XSB4",'sonbinh (2016)'!$A$3,"MA_HT","DNL","MA_QH","TSC")</f>
        <v>0</v>
      </c>
      <c r="AT31" s="50">
        <f ca="1">+GETPIVOTDATA("XSB4",'sonbinh (2016)'!$A$3,"MA_HT","DNL","MA_QH","DTS")</f>
        <v>0</v>
      </c>
      <c r="AU31" s="50">
        <f ca="1">+GETPIVOTDATA("XSB4",'sonbinh (2016)'!$A$3,"MA_HT","DNL","MA_QH","DNG")</f>
        <v>0</v>
      </c>
      <c r="AV31" s="50">
        <f ca="1">+GETPIVOTDATA("XSB4",'sonbinh (2016)'!$A$3,"MA_HT","DNL","MA_QH","TON")</f>
        <v>0</v>
      </c>
      <c r="AW31" s="50">
        <f ca="1">+GETPIVOTDATA("XSB4",'sonbinh (2016)'!$A$3,"MA_HT","DNL","MA_QH","NTD")</f>
        <v>0</v>
      </c>
      <c r="AX31" s="50">
        <f ca="1">+GETPIVOTDATA("XSB4",'sonbinh (2016)'!$A$3,"MA_HT","DNL","MA_QH","SKX")</f>
        <v>0</v>
      </c>
      <c r="AY31" s="50">
        <f ca="1">+GETPIVOTDATA("XSB4",'sonbinh (2016)'!$A$3,"MA_HT","DNL","MA_QH","DSH")</f>
        <v>0</v>
      </c>
      <c r="AZ31" s="50">
        <f ca="1">+GETPIVOTDATA("XSB4",'sonbinh (2016)'!$A$3,"MA_HT","DNL","MA_QH","DKV")</f>
        <v>0</v>
      </c>
      <c r="BA31" s="88">
        <f ca="1">+GETPIVOTDATA("XSB4",'sonbinh (2016)'!$A$3,"MA_HT","DNL","MA_QH","TIN")</f>
        <v>0</v>
      </c>
      <c r="BB31" s="50">
        <f ca="1">+GETPIVOTDATA("XSB4",'sonbinh (2016)'!$A$3,"MA_HT","DNL","MA_QH","SON")</f>
        <v>0</v>
      </c>
      <c r="BC31" s="50">
        <f ca="1">+GETPIVOTDATA("XSB4",'sonbinh (2016)'!$A$3,"MA_HT","DNL","MA_QH","MNC")</f>
        <v>0</v>
      </c>
      <c r="BD31" s="50">
        <f ca="1">+GETPIVOTDATA("XSB4",'sonbinh (2016)'!$A$3,"MA_HT","DNL","MA_QH","PNK")</f>
        <v>0</v>
      </c>
      <c r="BE31" s="80">
        <f ca="1">+GETPIVOTDATA("XSB4",'sonbinh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+GETPIVOTDATA("XSB4",'sonbinh (2016)'!$A$3,"MA_HT","DBV","MA_QH","LUC")</f>
        <v>0</v>
      </c>
      <c r="H32" s="50">
        <f ca="1">+GETPIVOTDATA("XSB4",'sonbinh (2016)'!$A$3,"MA_HT","DBV","MA_QH","LUK")</f>
        <v>0</v>
      </c>
      <c r="I32" s="50">
        <f ca="1">+GETPIVOTDATA("XSB4",'sonbinh (2016)'!$A$3,"MA_HT","DBV","MA_QH","LUN")</f>
        <v>0</v>
      </c>
      <c r="J32" s="50">
        <f ca="1">+GETPIVOTDATA("XSB4",'sonbinh (2016)'!$A$3,"MA_HT","DBV","MA_QH","HNK")</f>
        <v>0</v>
      </c>
      <c r="K32" s="50">
        <f ca="1">+GETPIVOTDATA("XSB4",'sonbinh (2016)'!$A$3,"MA_HT","DBV","MA_QH","CLN")</f>
        <v>0</v>
      </c>
      <c r="L32" s="50">
        <f ca="1">+GETPIVOTDATA("XSB4",'sonbinh (2016)'!$A$3,"MA_HT","DBV","MA_QH","RSX")</f>
        <v>0</v>
      </c>
      <c r="M32" s="50">
        <f ca="1">+GETPIVOTDATA("XSB4",'sonbinh (2016)'!$A$3,"MA_HT","DBV","MA_QH","RPH")</f>
        <v>0</v>
      </c>
      <c r="N32" s="50">
        <f ca="1">+GETPIVOTDATA("XSB4",'sonbinh (2016)'!$A$3,"MA_HT","DBV","MA_QH","RDD")</f>
        <v>0</v>
      </c>
      <c r="O32" s="50">
        <f ca="1">+GETPIVOTDATA("XSB4",'sonbinh (2016)'!$A$3,"MA_HT","DBV","MA_QH","NTS")</f>
        <v>0</v>
      </c>
      <c r="P32" s="50">
        <f ca="1">+GETPIVOTDATA("XSB4",'sonbinh (2016)'!$A$3,"MA_HT","DBV","MA_QH","LMU")</f>
        <v>0</v>
      </c>
      <c r="Q32" s="50">
        <f ca="1">+GETPIVOTDATA("XSB4",'sonbinh (2016)'!$A$3,"MA_HT","DBV","MA_QH","NKH")</f>
        <v>0</v>
      </c>
      <c r="R32" s="48">
        <f ca="1" t="shared" si="20"/>
        <v>0</v>
      </c>
      <c r="S32" s="50">
        <f ca="1">+GETPIVOTDATA("XSB4",'sonbinh (2016)'!$A$3,"MA_HT","DBV","MA_QH","CQP")</f>
        <v>0</v>
      </c>
      <c r="T32" s="50">
        <f ca="1">+GETPIVOTDATA("XSB4",'sonbinh (2016)'!$A$3,"MA_HT","DBV","MA_QH","CAN")</f>
        <v>0</v>
      </c>
      <c r="U32" s="50">
        <f ca="1">+GETPIVOTDATA("XSB4",'sonbinh (2016)'!$A$3,"MA_HT","DBV","MA_QH","SKK")</f>
        <v>0</v>
      </c>
      <c r="V32" s="50">
        <f ca="1">+GETPIVOTDATA("XSB4",'sonbinh (2016)'!$A$3,"MA_HT","DBV","MA_QH","SKT")</f>
        <v>0</v>
      </c>
      <c r="W32" s="50">
        <f ca="1">+GETPIVOTDATA("XSB4",'sonbinh (2016)'!$A$3,"MA_HT","DBV","MA_QH","SKN")</f>
        <v>0</v>
      </c>
      <c r="X32" s="50">
        <f ca="1">+GETPIVOTDATA("XSB4",'sonbinh (2016)'!$A$3,"MA_HT","DBV","MA_QH","TMD")</f>
        <v>0</v>
      </c>
      <c r="Y32" s="50">
        <f ca="1">+GETPIVOTDATA("XSB4",'sonbinh (2016)'!$A$3,"MA_HT","DBV","MA_QH","SKC")</f>
        <v>0</v>
      </c>
      <c r="Z32" s="50">
        <f ca="1">+GETPIVOTDATA("XSB4",'sonbinh (2016)'!$A$3,"MA_HT","DBV","MA_QH","SKS")</f>
        <v>0</v>
      </c>
      <c r="AA32" s="52">
        <f ca="1">+SUM(AB32:AD32,AF32:AM32)</f>
        <v>0</v>
      </c>
      <c r="AB32" s="50">
        <f ca="1">+GETPIVOTDATA("XSB4",'sonbinh (2016)'!$A$3,"MA_HT","DBV","MA_QH","DGT")</f>
        <v>0</v>
      </c>
      <c r="AC32" s="50">
        <f ca="1">+GETPIVOTDATA("XSB4",'sonbinh (2016)'!$A$3,"MA_HT","DBV","MA_QH","DTL")</f>
        <v>0</v>
      </c>
      <c r="AD32" s="50">
        <f ca="1">+GETPIVOTDATA("XSB4",'sonbinh (2016)'!$A$3,"MA_HT","DBV","MA_QH","DNL")</f>
        <v>0</v>
      </c>
      <c r="AE32" s="49" t="e">
        <f ca="1">$D32-$BF32</f>
        <v>#REF!</v>
      </c>
      <c r="AF32" s="50">
        <f ca="1">+GETPIVOTDATA("XSB4",'sonbinh (2016)'!$A$3,"MA_HT","DBV","MA_QH","DVH")</f>
        <v>0</v>
      </c>
      <c r="AG32" s="50">
        <f ca="1">+GETPIVOTDATA("XSB4",'sonbinh (2016)'!$A$3,"MA_HT","DBV","MA_QH","DYT")</f>
        <v>0</v>
      </c>
      <c r="AH32" s="50">
        <f ca="1">+GETPIVOTDATA("XSB4",'sonbinh (2016)'!$A$3,"MA_HT","DBV","MA_QH","DGD")</f>
        <v>0</v>
      </c>
      <c r="AI32" s="50">
        <f ca="1">+GETPIVOTDATA("XSB4",'sonbinh (2016)'!$A$3,"MA_HT","DBV","MA_QH","DTT")</f>
        <v>0</v>
      </c>
      <c r="AJ32" s="50">
        <f ca="1">+GETPIVOTDATA("XSB4",'sonbinh (2016)'!$A$3,"MA_HT","DBV","MA_QH","NCK")</f>
        <v>0</v>
      </c>
      <c r="AK32" s="50">
        <f ca="1">+GETPIVOTDATA("XSB4",'sonbinh (2016)'!$A$3,"MA_HT","DBV","MA_QH","DXH")</f>
        <v>0</v>
      </c>
      <c r="AL32" s="50">
        <f ca="1">+GETPIVOTDATA("XSB4",'sonbinh (2016)'!$A$3,"MA_HT","DBV","MA_QH","DCH")</f>
        <v>0</v>
      </c>
      <c r="AM32" s="50">
        <f ca="1">+GETPIVOTDATA("XSB4",'sonbinh (2016)'!$A$3,"MA_HT","DBV","MA_QH","DKG")</f>
        <v>0</v>
      </c>
      <c r="AN32" s="50">
        <f ca="1">+GETPIVOTDATA("XSB4",'sonbinh (2016)'!$A$3,"MA_HT","DBV","MA_QH","DDT")</f>
        <v>0</v>
      </c>
      <c r="AO32" s="50">
        <f ca="1">+GETPIVOTDATA("XSB4",'sonbinh (2016)'!$A$3,"MA_HT","DBV","MA_QH","DDL")</f>
        <v>0</v>
      </c>
      <c r="AP32" s="50">
        <f ca="1">+GETPIVOTDATA("XSB4",'sonbinh (2016)'!$A$3,"MA_HT","DBV","MA_QH","DRA")</f>
        <v>0</v>
      </c>
      <c r="AQ32" s="50">
        <f ca="1">+GETPIVOTDATA("XSB4",'sonbinh (2016)'!$A$3,"MA_HT","DBV","MA_QH","ONT")</f>
        <v>0</v>
      </c>
      <c r="AR32" s="50">
        <f ca="1">+GETPIVOTDATA("XSB4",'sonbinh (2016)'!$A$3,"MA_HT","DBV","MA_QH","ODT")</f>
        <v>0</v>
      </c>
      <c r="AS32" s="50">
        <f ca="1">+GETPIVOTDATA("XSB4",'sonbinh (2016)'!$A$3,"MA_HT","DBV","MA_QH","TSC")</f>
        <v>0</v>
      </c>
      <c r="AT32" s="50">
        <f ca="1">+GETPIVOTDATA("XSB4",'sonbinh (2016)'!$A$3,"MA_HT","DBV","MA_QH","DTS")</f>
        <v>0</v>
      </c>
      <c r="AU32" s="50">
        <f ca="1">+GETPIVOTDATA("XSB4",'sonbinh (2016)'!$A$3,"MA_HT","DBV","MA_QH","DNG")</f>
        <v>0</v>
      </c>
      <c r="AV32" s="50">
        <f ca="1">+GETPIVOTDATA("XSB4",'sonbinh (2016)'!$A$3,"MA_HT","DBV","MA_QH","TON")</f>
        <v>0</v>
      </c>
      <c r="AW32" s="50">
        <f ca="1">+GETPIVOTDATA("XSB4",'sonbinh (2016)'!$A$3,"MA_HT","DBV","MA_QH","NTD")</f>
        <v>0</v>
      </c>
      <c r="AX32" s="50">
        <f ca="1">+GETPIVOTDATA("XSB4",'sonbinh (2016)'!$A$3,"MA_HT","DBV","MA_QH","SKX")</f>
        <v>0</v>
      </c>
      <c r="AY32" s="50">
        <f ca="1">+GETPIVOTDATA("XSB4",'sonbinh (2016)'!$A$3,"MA_HT","DBV","MA_QH","DSH")</f>
        <v>0</v>
      </c>
      <c r="AZ32" s="50">
        <f ca="1">+GETPIVOTDATA("XSB4",'sonbinh (2016)'!$A$3,"MA_HT","DBV","MA_QH","DKV")</f>
        <v>0</v>
      </c>
      <c r="BA32" s="88">
        <f ca="1">+GETPIVOTDATA("XSB4",'sonbinh (2016)'!$A$3,"MA_HT","DBV","MA_QH","TIN")</f>
        <v>0</v>
      </c>
      <c r="BB32" s="50">
        <f ca="1">+GETPIVOTDATA("XSB4",'sonbinh (2016)'!$A$3,"MA_HT","DBV","MA_QH","SON")</f>
        <v>0</v>
      </c>
      <c r="BC32" s="50">
        <f ca="1">+GETPIVOTDATA("XSB4",'sonbinh (2016)'!$A$3,"MA_HT","DBV","MA_QH","MNC")</f>
        <v>0</v>
      </c>
      <c r="BD32" s="50">
        <f ca="1">+GETPIVOTDATA("XSB4",'sonbinh (2016)'!$A$3,"MA_HT","DBV","MA_QH","PNK")</f>
        <v>0</v>
      </c>
      <c r="BE32" s="80">
        <f ca="1">+GETPIVOTDATA("XSB4",'sonbinh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+GETPIVOTDATA("XSB4",'sonbinh (2016)'!$A$3,"MA_HT","DVH","MA_QH","LUC")</f>
        <v>0</v>
      </c>
      <c r="H33" s="50">
        <f ca="1">+GETPIVOTDATA("XSB4",'sonbinh (2016)'!$A$3,"MA_HT","DVH","MA_QH","LUK")</f>
        <v>0</v>
      </c>
      <c r="I33" s="50">
        <f ca="1">+GETPIVOTDATA("XSB4",'sonbinh (2016)'!$A$3,"MA_HT","DVH","MA_QH","LUN")</f>
        <v>0</v>
      </c>
      <c r="J33" s="50">
        <f ca="1">+GETPIVOTDATA("XSB4",'sonbinh (2016)'!$A$3,"MA_HT","DVH","MA_QH","HNK")</f>
        <v>0</v>
      </c>
      <c r="K33" s="50">
        <f ca="1">+GETPIVOTDATA("XSB4",'sonbinh (2016)'!$A$3,"MA_HT","DVH","MA_QH","CLN")</f>
        <v>0</v>
      </c>
      <c r="L33" s="50">
        <f ca="1">+GETPIVOTDATA("XSB4",'sonbinh (2016)'!$A$3,"MA_HT","DVH","MA_QH","RSX")</f>
        <v>0</v>
      </c>
      <c r="M33" s="50">
        <f ca="1">+GETPIVOTDATA("XSB4",'sonbinh (2016)'!$A$3,"MA_HT","DVH","MA_QH","RPH")</f>
        <v>0</v>
      </c>
      <c r="N33" s="50">
        <f ca="1">+GETPIVOTDATA("XSB4",'sonbinh (2016)'!$A$3,"MA_HT","DVH","MA_QH","RDD")</f>
        <v>0</v>
      </c>
      <c r="O33" s="50">
        <f ca="1">+GETPIVOTDATA("XSB4",'sonbinh (2016)'!$A$3,"MA_HT","DVH","MA_QH","NTS")</f>
        <v>0</v>
      </c>
      <c r="P33" s="50">
        <f ca="1">+GETPIVOTDATA("XSB4",'sonbinh (2016)'!$A$3,"MA_HT","DVH","MA_QH","LMU")</f>
        <v>0</v>
      </c>
      <c r="Q33" s="50">
        <f ca="1">+GETPIVOTDATA("XSB4",'sonbinh (2016)'!$A$3,"MA_HT","DVH","MA_QH","NKH")</f>
        <v>0</v>
      </c>
      <c r="R33" s="48">
        <f ca="1" t="shared" si="20"/>
        <v>0</v>
      </c>
      <c r="S33" s="50">
        <f ca="1">+GETPIVOTDATA("XSB4",'sonbinh (2016)'!$A$3,"MA_HT","DVH","MA_QH","CQP")</f>
        <v>0</v>
      </c>
      <c r="T33" s="50">
        <f ca="1">+GETPIVOTDATA("XSB4",'sonbinh (2016)'!$A$3,"MA_HT","DVH","MA_QH","CAN")</f>
        <v>0</v>
      </c>
      <c r="U33" s="50">
        <f ca="1">+GETPIVOTDATA("XSB4",'sonbinh (2016)'!$A$3,"MA_HT","DVH","MA_QH","SKK")</f>
        <v>0</v>
      </c>
      <c r="V33" s="50">
        <f ca="1">+GETPIVOTDATA("XSB4",'sonbinh (2016)'!$A$3,"MA_HT","DVH","MA_QH","SKT")</f>
        <v>0</v>
      </c>
      <c r="W33" s="50">
        <f ca="1">+GETPIVOTDATA("XSB4",'sonbinh (2016)'!$A$3,"MA_HT","DVH","MA_QH","SKN")</f>
        <v>0</v>
      </c>
      <c r="X33" s="50">
        <f ca="1">+GETPIVOTDATA("XSB4",'sonbinh (2016)'!$A$3,"MA_HT","DVH","MA_QH","TMD")</f>
        <v>0</v>
      </c>
      <c r="Y33" s="50">
        <f ca="1">+GETPIVOTDATA("XSB4",'sonbinh (2016)'!$A$3,"MA_HT","DVH","MA_QH","SKC")</f>
        <v>0</v>
      </c>
      <c r="Z33" s="50">
        <f ca="1">+GETPIVOTDATA("XSB4",'sonbinh (2016)'!$A$3,"MA_HT","DVH","MA_QH","SKS")</f>
        <v>0</v>
      </c>
      <c r="AA33" s="52">
        <f ca="1">+SUM(AB33:AE33,AG33:AM33)</f>
        <v>0</v>
      </c>
      <c r="AB33" s="50">
        <f ca="1">+GETPIVOTDATA("XSB4",'sonbinh (2016)'!$A$3,"MA_HT","DVH","MA_QH","DGT")</f>
        <v>0</v>
      </c>
      <c r="AC33" s="50">
        <f ca="1">+GETPIVOTDATA("XSB4",'sonbinh (2016)'!$A$3,"MA_HT","DVH","MA_QH","DTL")</f>
        <v>0</v>
      </c>
      <c r="AD33" s="50">
        <f ca="1">+GETPIVOTDATA("XSB4",'sonbinh (2016)'!$A$3,"MA_HT","DVH","MA_QH","DNL")</f>
        <v>0</v>
      </c>
      <c r="AE33" s="50">
        <f ca="1">+GETPIVOTDATA("XSB4",'sonbinh (2016)'!$A$3,"MA_HT","DVH","MA_QH","DBV")</f>
        <v>0</v>
      </c>
      <c r="AF33" s="49" t="e">
        <f ca="1">$D33-$BF33</f>
        <v>#REF!</v>
      </c>
      <c r="AG33" s="50">
        <f ca="1">+GETPIVOTDATA("XSB4",'sonbinh (2016)'!$A$3,"MA_HT","DVH","MA_QH","DYT")</f>
        <v>0</v>
      </c>
      <c r="AH33" s="50">
        <f ca="1">+GETPIVOTDATA("XSB4",'sonbinh (2016)'!$A$3,"MA_HT","DVH","MA_QH","DGD")</f>
        <v>0</v>
      </c>
      <c r="AI33" s="50">
        <f ca="1">+GETPIVOTDATA("XSB4",'sonbinh (2016)'!$A$3,"MA_HT","DVH","MA_QH","DTT")</f>
        <v>0</v>
      </c>
      <c r="AJ33" s="50">
        <f ca="1">+GETPIVOTDATA("XSB4",'sonbinh (2016)'!$A$3,"MA_HT","DVH","MA_QH","NCK")</f>
        <v>0</v>
      </c>
      <c r="AK33" s="50">
        <f ca="1">+GETPIVOTDATA("XSB4",'sonbinh (2016)'!$A$3,"MA_HT","DVH","MA_QH","DXH")</f>
        <v>0</v>
      </c>
      <c r="AL33" s="50">
        <f ca="1">+GETPIVOTDATA("XSB4",'sonbinh (2016)'!$A$3,"MA_HT","DVH","MA_QH","DCH")</f>
        <v>0</v>
      </c>
      <c r="AM33" s="50">
        <f ca="1">+GETPIVOTDATA("XSB4",'sonbinh (2016)'!$A$3,"MA_HT","DVH","MA_QH","DKG")</f>
        <v>0</v>
      </c>
      <c r="AN33" s="50">
        <f ca="1">+GETPIVOTDATA("XSB4",'sonbinh (2016)'!$A$3,"MA_HT","DVH","MA_QH","DDT")</f>
        <v>0</v>
      </c>
      <c r="AO33" s="50">
        <f ca="1">+GETPIVOTDATA("XSB4",'sonbinh (2016)'!$A$3,"MA_HT","DVH","MA_QH","DDL")</f>
        <v>0</v>
      </c>
      <c r="AP33" s="50">
        <f ca="1">+GETPIVOTDATA("XSB4",'sonbinh (2016)'!$A$3,"MA_HT","DVH","MA_QH","DRA")</f>
        <v>0</v>
      </c>
      <c r="AQ33" s="50">
        <f ca="1">+GETPIVOTDATA("XSB4",'sonbinh (2016)'!$A$3,"MA_HT","DVH","MA_QH","ONT")</f>
        <v>0</v>
      </c>
      <c r="AR33" s="50">
        <f ca="1">+GETPIVOTDATA("XSB4",'sonbinh (2016)'!$A$3,"MA_HT","DVH","MA_QH","ODT")</f>
        <v>0</v>
      </c>
      <c r="AS33" s="50">
        <f ca="1">+GETPIVOTDATA("XSB4",'sonbinh (2016)'!$A$3,"MA_HT","DVH","MA_QH","TSC")</f>
        <v>0</v>
      </c>
      <c r="AT33" s="50">
        <f ca="1">+GETPIVOTDATA("XSB4",'sonbinh (2016)'!$A$3,"MA_HT","DVH","MA_QH","DTS")</f>
        <v>0</v>
      </c>
      <c r="AU33" s="50">
        <f ca="1">+GETPIVOTDATA("XSB4",'sonbinh (2016)'!$A$3,"MA_HT","DVH","MA_QH","DNG")</f>
        <v>0</v>
      </c>
      <c r="AV33" s="50">
        <f ca="1">+GETPIVOTDATA("XSB4",'sonbinh (2016)'!$A$3,"MA_HT","DVH","MA_QH","TON")</f>
        <v>0</v>
      </c>
      <c r="AW33" s="50">
        <f ca="1">+GETPIVOTDATA("XSB4",'sonbinh (2016)'!$A$3,"MA_HT","DVH","MA_QH","NTD")</f>
        <v>0</v>
      </c>
      <c r="AX33" s="50">
        <f ca="1">+GETPIVOTDATA("XSB4",'sonbinh (2016)'!$A$3,"MA_HT","DVH","MA_QH","SKX")</f>
        <v>0</v>
      </c>
      <c r="AY33" s="50">
        <f ca="1">+GETPIVOTDATA("XSB4",'sonbinh (2016)'!$A$3,"MA_HT","DVH","MA_QH","DSH")</f>
        <v>0</v>
      </c>
      <c r="AZ33" s="50">
        <f ca="1">+GETPIVOTDATA("XSB4",'sonbinh (2016)'!$A$3,"MA_HT","DVH","MA_QH","DKV")</f>
        <v>0</v>
      </c>
      <c r="BA33" s="88">
        <f ca="1">+GETPIVOTDATA("XSB4",'sonbinh (2016)'!$A$3,"MA_HT","DVH","MA_QH","TIN")</f>
        <v>0</v>
      </c>
      <c r="BB33" s="50">
        <f ca="1">+GETPIVOTDATA("XSB4",'sonbinh (2016)'!$A$3,"MA_HT","DVH","MA_QH","SON")</f>
        <v>0</v>
      </c>
      <c r="BC33" s="50">
        <f ca="1">+GETPIVOTDATA("XSB4",'sonbinh (2016)'!$A$3,"MA_HT","DVH","MA_QH","MNC")</f>
        <v>0</v>
      </c>
      <c r="BD33" s="50">
        <f ca="1">+GETPIVOTDATA("XSB4",'sonbinh (2016)'!$A$3,"MA_HT","DVH","MA_QH","PNK")</f>
        <v>0</v>
      </c>
      <c r="BE33" s="80">
        <f ca="1">+GETPIVOTDATA("XSB4",'sonbinh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+GETPIVOTDATA("XSB4",'sonbinh (2016)'!$A$3,"MA_HT","DYT","MA_QH","LUC")</f>
        <v>0</v>
      </c>
      <c r="H34" s="50">
        <f ca="1">+GETPIVOTDATA("XSB4",'sonbinh (2016)'!$A$3,"MA_HT","DYT","MA_QH","LUK")</f>
        <v>0</v>
      </c>
      <c r="I34" s="50">
        <f ca="1">+GETPIVOTDATA("XSB4",'sonbinh (2016)'!$A$3,"MA_HT","DYT","MA_QH","LUN")</f>
        <v>0</v>
      </c>
      <c r="J34" s="50">
        <f ca="1">+GETPIVOTDATA("XSB4",'sonbinh (2016)'!$A$3,"MA_HT","DYT","MA_QH","HNK")</f>
        <v>0</v>
      </c>
      <c r="K34" s="50">
        <f ca="1">+GETPIVOTDATA("XSB4",'sonbinh (2016)'!$A$3,"MA_HT","DYT","MA_QH","CLN")</f>
        <v>0</v>
      </c>
      <c r="L34" s="50">
        <f ca="1">+GETPIVOTDATA("XSB4",'sonbinh (2016)'!$A$3,"MA_HT","DYT","MA_QH","RSX")</f>
        <v>0</v>
      </c>
      <c r="M34" s="50">
        <f ca="1">+GETPIVOTDATA("XSB4",'sonbinh (2016)'!$A$3,"MA_HT","DYT","MA_QH","RPH")</f>
        <v>0</v>
      </c>
      <c r="N34" s="50">
        <f ca="1">+GETPIVOTDATA("XSB4",'sonbinh (2016)'!$A$3,"MA_HT","DYT","MA_QH","RDD")</f>
        <v>0</v>
      </c>
      <c r="O34" s="50">
        <f ca="1">+GETPIVOTDATA("XSB4",'sonbinh (2016)'!$A$3,"MA_HT","DYT","MA_QH","NTS")</f>
        <v>0</v>
      </c>
      <c r="P34" s="50">
        <f ca="1">+GETPIVOTDATA("XSB4",'sonbinh (2016)'!$A$3,"MA_HT","DYT","MA_QH","LMU")</f>
        <v>0</v>
      </c>
      <c r="Q34" s="50">
        <f ca="1">+GETPIVOTDATA("XSB4",'sonbinh (2016)'!$A$3,"MA_HT","DYT","MA_QH","NKH")</f>
        <v>0</v>
      </c>
      <c r="R34" s="48">
        <f ca="1" t="shared" si="20"/>
        <v>0</v>
      </c>
      <c r="S34" s="50">
        <f ca="1">+GETPIVOTDATA("XSB4",'sonbinh (2016)'!$A$3,"MA_HT","DYT","MA_QH","CQP")</f>
        <v>0</v>
      </c>
      <c r="T34" s="50">
        <f ca="1">+GETPIVOTDATA("XSB4",'sonbinh (2016)'!$A$3,"MA_HT","DYT","MA_QH","CAN")</f>
        <v>0</v>
      </c>
      <c r="U34" s="50">
        <f ca="1">+GETPIVOTDATA("XSB4",'sonbinh (2016)'!$A$3,"MA_HT","DYT","MA_QH","SKK")</f>
        <v>0</v>
      </c>
      <c r="V34" s="50">
        <f ca="1">+GETPIVOTDATA("XSB4",'sonbinh (2016)'!$A$3,"MA_HT","DYT","MA_QH","SKT")</f>
        <v>0</v>
      </c>
      <c r="W34" s="50">
        <f ca="1">+GETPIVOTDATA("XSB4",'sonbinh (2016)'!$A$3,"MA_HT","DYT","MA_QH","SKN")</f>
        <v>0</v>
      </c>
      <c r="X34" s="50">
        <f ca="1">+GETPIVOTDATA("XSB4",'sonbinh (2016)'!$A$3,"MA_HT","DYT","MA_QH","TMD")</f>
        <v>0</v>
      </c>
      <c r="Y34" s="50">
        <f ca="1">+GETPIVOTDATA("XSB4",'sonbinh (2016)'!$A$3,"MA_HT","DYT","MA_QH","SKC")</f>
        <v>0</v>
      </c>
      <c r="Z34" s="50">
        <f ca="1">+GETPIVOTDATA("XSB4",'sonbinh (2016)'!$A$3,"MA_HT","DYT","MA_QH","SKS")</f>
        <v>0</v>
      </c>
      <c r="AA34" s="52">
        <f ca="1">+SUM(AB34:AF34,AH34:AM34)</f>
        <v>0</v>
      </c>
      <c r="AB34" s="50">
        <f ca="1">+GETPIVOTDATA("XSB4",'sonbinh (2016)'!$A$3,"MA_HT","DYT","MA_QH","DGT")</f>
        <v>0</v>
      </c>
      <c r="AC34" s="50">
        <f ca="1">+GETPIVOTDATA("XSB4",'sonbinh (2016)'!$A$3,"MA_HT","DYT","MA_QH","DTL")</f>
        <v>0</v>
      </c>
      <c r="AD34" s="50">
        <f ca="1">+GETPIVOTDATA("XSB4",'sonbinh (2016)'!$A$3,"MA_HT","DYT","MA_QH","DNL")</f>
        <v>0</v>
      </c>
      <c r="AE34" s="50">
        <f ca="1">+GETPIVOTDATA("XSB4",'sonbinh (2016)'!$A$3,"MA_HT","DYT","MA_QH","DBV")</f>
        <v>0</v>
      </c>
      <c r="AF34" s="50">
        <f ca="1">+GETPIVOTDATA("XSB4",'sonbinh (2016)'!$A$3,"MA_HT","DYT","MA_QH","DVH")</f>
        <v>0</v>
      </c>
      <c r="AG34" s="49" t="e">
        <f ca="1">$D34-$BF34</f>
        <v>#REF!</v>
      </c>
      <c r="AH34" s="50">
        <f ca="1">+GETPIVOTDATA("XSB4",'sonbinh (2016)'!$A$3,"MA_HT","DYT","MA_QH","DGD")</f>
        <v>0</v>
      </c>
      <c r="AI34" s="50">
        <f ca="1">+GETPIVOTDATA("XSB4",'sonbinh (2016)'!$A$3,"MA_HT","DYT","MA_QH","DTT")</f>
        <v>0</v>
      </c>
      <c r="AJ34" s="50">
        <f ca="1">+GETPIVOTDATA("XSB4",'sonbinh (2016)'!$A$3,"MA_HT","DYT","MA_QH","NCK")</f>
        <v>0</v>
      </c>
      <c r="AK34" s="50">
        <f ca="1">+GETPIVOTDATA("XSB4",'sonbinh (2016)'!$A$3,"MA_HT","DYT","MA_QH","DXH")</f>
        <v>0</v>
      </c>
      <c r="AL34" s="50">
        <f ca="1">+GETPIVOTDATA("XSB4",'sonbinh (2016)'!$A$3,"MA_HT","DYT","MA_QH","DCH")</f>
        <v>0</v>
      </c>
      <c r="AM34" s="50">
        <f ca="1">+GETPIVOTDATA("XSB4",'sonbinh (2016)'!$A$3,"MA_HT","DYT","MA_QH","DKG")</f>
        <v>0</v>
      </c>
      <c r="AN34" s="50">
        <f ca="1">+GETPIVOTDATA("XSB4",'sonbinh (2016)'!$A$3,"MA_HT","DYT","MA_QH","DDT")</f>
        <v>0</v>
      </c>
      <c r="AO34" s="50">
        <f ca="1">+GETPIVOTDATA("XSB4",'sonbinh (2016)'!$A$3,"MA_HT","DYT","MA_QH","DDL")</f>
        <v>0</v>
      </c>
      <c r="AP34" s="50">
        <f ca="1">+GETPIVOTDATA("XSB4",'sonbinh (2016)'!$A$3,"MA_HT","DYT","MA_QH","DRA")</f>
        <v>0</v>
      </c>
      <c r="AQ34" s="50">
        <f ca="1">+GETPIVOTDATA("XSB4",'sonbinh (2016)'!$A$3,"MA_HT","DYT","MA_QH","ONT")</f>
        <v>0</v>
      </c>
      <c r="AR34" s="50">
        <f ca="1">+GETPIVOTDATA("XSB4",'sonbinh (2016)'!$A$3,"MA_HT","DYT","MA_QH","ODT")</f>
        <v>0</v>
      </c>
      <c r="AS34" s="50">
        <f ca="1">+GETPIVOTDATA("XSB4",'sonbinh (2016)'!$A$3,"MA_HT","DYT","MA_QH","TSC")</f>
        <v>0</v>
      </c>
      <c r="AT34" s="50">
        <f ca="1">+GETPIVOTDATA("XSB4",'sonbinh (2016)'!$A$3,"MA_HT","DYT","MA_QH","DTS")</f>
        <v>0</v>
      </c>
      <c r="AU34" s="50">
        <f ca="1">+GETPIVOTDATA("XSB4",'sonbinh (2016)'!$A$3,"MA_HT","DYT","MA_QH","DNG")</f>
        <v>0</v>
      </c>
      <c r="AV34" s="50">
        <f ca="1">+GETPIVOTDATA("XSB4",'sonbinh (2016)'!$A$3,"MA_HT","DYT","MA_QH","TON")</f>
        <v>0</v>
      </c>
      <c r="AW34" s="50">
        <f ca="1">+GETPIVOTDATA("XSB4",'sonbinh (2016)'!$A$3,"MA_HT","DYT","MA_QH","NTD")</f>
        <v>0</v>
      </c>
      <c r="AX34" s="50">
        <f ca="1">+GETPIVOTDATA("XSB4",'sonbinh (2016)'!$A$3,"MA_HT","DYT","MA_QH","SKX")</f>
        <v>0</v>
      </c>
      <c r="AY34" s="50">
        <f ca="1">+GETPIVOTDATA("XSB4",'sonbinh (2016)'!$A$3,"MA_HT","DYT","MA_QH","DSH")</f>
        <v>0</v>
      </c>
      <c r="AZ34" s="50">
        <f ca="1">+GETPIVOTDATA("XSB4",'sonbinh (2016)'!$A$3,"MA_HT","DYT","MA_QH","DKV")</f>
        <v>0</v>
      </c>
      <c r="BA34" s="88">
        <f ca="1">+GETPIVOTDATA("XSB4",'sonbinh (2016)'!$A$3,"MA_HT","DYT","MA_QH","TIN")</f>
        <v>0</v>
      </c>
      <c r="BB34" s="50">
        <f ca="1">+GETPIVOTDATA("XSB4",'sonbinh (2016)'!$A$3,"MA_HT","DYT","MA_QH","SON")</f>
        <v>0</v>
      </c>
      <c r="BC34" s="50">
        <f ca="1">+GETPIVOTDATA("XSB4",'sonbinh (2016)'!$A$3,"MA_HT","DYT","MA_QH","MNC")</f>
        <v>0</v>
      </c>
      <c r="BD34" s="50">
        <f ca="1">+GETPIVOTDATA("XSB4",'sonbinh (2016)'!$A$3,"MA_HT","DYT","MA_QH","PNK")</f>
        <v>0</v>
      </c>
      <c r="BE34" s="80">
        <f ca="1">+GETPIVOTDATA("XSB4",'sonbinh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+GETPIVOTDATA("XSB4",'sonbinh (2016)'!$A$3,"MA_HT","DGD","MA_QH","LUC")</f>
        <v>0</v>
      </c>
      <c r="H35" s="50">
        <f ca="1">+GETPIVOTDATA("XSB4",'sonbinh (2016)'!$A$3,"MA_HT","DGD","MA_QH","LUK")</f>
        <v>0</v>
      </c>
      <c r="I35" s="50">
        <f ca="1">+GETPIVOTDATA("XSB4",'sonbinh (2016)'!$A$3,"MA_HT","DGD","MA_QH","LUN")</f>
        <v>0</v>
      </c>
      <c r="J35" s="50">
        <f ca="1">+GETPIVOTDATA("XSB4",'sonbinh (2016)'!$A$3,"MA_HT","DGD","MA_QH","HNK")</f>
        <v>0</v>
      </c>
      <c r="K35" s="50">
        <f ca="1">+GETPIVOTDATA("XSB4",'sonbinh (2016)'!$A$3,"MA_HT","DGD","MA_QH","CLN")</f>
        <v>0</v>
      </c>
      <c r="L35" s="50">
        <f ca="1">+GETPIVOTDATA("XSB4",'sonbinh (2016)'!$A$3,"MA_HT","DGD","MA_QH","RSX")</f>
        <v>0</v>
      </c>
      <c r="M35" s="50">
        <f ca="1">+GETPIVOTDATA("XSB4",'sonbinh (2016)'!$A$3,"MA_HT","DGD","MA_QH","RPH")</f>
        <v>0</v>
      </c>
      <c r="N35" s="50">
        <f ca="1">+GETPIVOTDATA("XSB4",'sonbinh (2016)'!$A$3,"MA_HT","DGD","MA_QH","RDD")</f>
        <v>0</v>
      </c>
      <c r="O35" s="50">
        <f ca="1">+GETPIVOTDATA("XSB4",'sonbinh (2016)'!$A$3,"MA_HT","DGD","MA_QH","NTS")</f>
        <v>0</v>
      </c>
      <c r="P35" s="50">
        <f ca="1">+GETPIVOTDATA("XSB4",'sonbinh (2016)'!$A$3,"MA_HT","DGD","MA_QH","LMU")</f>
        <v>0</v>
      </c>
      <c r="Q35" s="50">
        <f ca="1">+GETPIVOTDATA("XSB4",'sonbinh (2016)'!$A$3,"MA_HT","DGD","MA_QH","NKH")</f>
        <v>0</v>
      </c>
      <c r="R35" s="48">
        <f ca="1" t="shared" si="20"/>
        <v>0</v>
      </c>
      <c r="S35" s="50">
        <f ca="1">+GETPIVOTDATA("XSB4",'sonbinh (2016)'!$A$3,"MA_HT","DGD","MA_QH","CQP")</f>
        <v>0</v>
      </c>
      <c r="T35" s="50">
        <f ca="1">+GETPIVOTDATA("XSB4",'sonbinh (2016)'!$A$3,"MA_HT","DGD","MA_QH","CAN")</f>
        <v>0</v>
      </c>
      <c r="U35" s="50">
        <f ca="1">+GETPIVOTDATA("XSB4",'sonbinh (2016)'!$A$3,"MA_HT","DGD","MA_QH","SKK")</f>
        <v>0</v>
      </c>
      <c r="V35" s="50">
        <f ca="1">+GETPIVOTDATA("XSB4",'sonbinh (2016)'!$A$3,"MA_HT","DGD","MA_QH","SKT")</f>
        <v>0</v>
      </c>
      <c r="W35" s="50">
        <f ca="1">+GETPIVOTDATA("XSB4",'sonbinh (2016)'!$A$3,"MA_HT","DGD","MA_QH","SKN")</f>
        <v>0</v>
      </c>
      <c r="X35" s="50">
        <f ca="1">+GETPIVOTDATA("XSB4",'sonbinh (2016)'!$A$3,"MA_HT","DGD","MA_QH","TMD")</f>
        <v>0</v>
      </c>
      <c r="Y35" s="50">
        <f ca="1">+GETPIVOTDATA("XSB4",'sonbinh (2016)'!$A$3,"MA_HT","DGD","MA_QH","SKC")</f>
        <v>0</v>
      </c>
      <c r="Z35" s="50">
        <f ca="1">+GETPIVOTDATA("XSB4",'sonbinh (2016)'!$A$3,"MA_HT","DGD","MA_QH","SKS")</f>
        <v>0</v>
      </c>
      <c r="AA35" s="52">
        <f ca="1">+SUM(AB35:AG35,AI35:AM35)</f>
        <v>0</v>
      </c>
      <c r="AB35" s="50">
        <f ca="1">+GETPIVOTDATA("XSB4",'sonbinh (2016)'!$A$3,"MA_HT","DGD","MA_QH","DGT")</f>
        <v>0</v>
      </c>
      <c r="AC35" s="50">
        <f ca="1">+GETPIVOTDATA("XSB4",'sonbinh (2016)'!$A$3,"MA_HT","DGD","MA_QH","DTL")</f>
        <v>0</v>
      </c>
      <c r="AD35" s="50">
        <f ca="1">+GETPIVOTDATA("XSB4",'sonbinh (2016)'!$A$3,"MA_HT","DGD","MA_QH","DNL")</f>
        <v>0</v>
      </c>
      <c r="AE35" s="50">
        <f ca="1">+GETPIVOTDATA("XSB4",'sonbinh (2016)'!$A$3,"MA_HT","DGD","MA_QH","DBV")</f>
        <v>0</v>
      </c>
      <c r="AF35" s="50">
        <f ca="1">+GETPIVOTDATA("XSB4",'sonbinh (2016)'!$A$3,"MA_HT","DGD","MA_QH","DVH")</f>
        <v>0</v>
      </c>
      <c r="AG35" s="50">
        <f ca="1">+GETPIVOTDATA("XSB4",'sonbinh (2016)'!$A$3,"MA_HT","DGD","MA_QH","DYT")</f>
        <v>0</v>
      </c>
      <c r="AH35" s="49" t="e">
        <f ca="1">$D35-$BF35</f>
        <v>#REF!</v>
      </c>
      <c r="AI35" s="50">
        <f ca="1">+GETPIVOTDATA("XSB4",'sonbinh (2016)'!$A$3,"MA_HT","DGD","MA_QH","DTT")</f>
        <v>0</v>
      </c>
      <c r="AJ35" s="50">
        <f ca="1">+GETPIVOTDATA("XSB4",'sonbinh (2016)'!$A$3,"MA_HT","DGD","MA_QH","NCK")</f>
        <v>0</v>
      </c>
      <c r="AK35" s="50">
        <f ca="1">+GETPIVOTDATA("XSB4",'sonbinh (2016)'!$A$3,"MA_HT","DGD","MA_QH","DXH")</f>
        <v>0</v>
      </c>
      <c r="AL35" s="50">
        <f ca="1">+GETPIVOTDATA("XSB4",'sonbinh (2016)'!$A$3,"MA_HT","DGD","MA_QH","DCH")</f>
        <v>0</v>
      </c>
      <c r="AM35" s="50">
        <f ca="1">+GETPIVOTDATA("XSB4",'sonbinh (2016)'!$A$3,"MA_HT","DGD","MA_QH","DKG")</f>
        <v>0</v>
      </c>
      <c r="AN35" s="50">
        <f ca="1">+GETPIVOTDATA("XSB4",'sonbinh (2016)'!$A$3,"MA_HT","DGD","MA_QH","DDT")</f>
        <v>0</v>
      </c>
      <c r="AO35" s="50">
        <f ca="1">+GETPIVOTDATA("XSB4",'sonbinh (2016)'!$A$3,"MA_HT","DGD","MA_QH","DDL")</f>
        <v>0</v>
      </c>
      <c r="AP35" s="50">
        <f ca="1">+GETPIVOTDATA("XSB4",'sonbinh (2016)'!$A$3,"MA_HT","DGD","MA_QH","DRA")</f>
        <v>0</v>
      </c>
      <c r="AQ35" s="50">
        <f ca="1">+GETPIVOTDATA("XSB4",'sonbinh (2016)'!$A$3,"MA_HT","DGD","MA_QH","ONT")</f>
        <v>0</v>
      </c>
      <c r="AR35" s="50">
        <f ca="1">+GETPIVOTDATA("XSB4",'sonbinh (2016)'!$A$3,"MA_HT","DGD","MA_QH","ODT")</f>
        <v>0</v>
      </c>
      <c r="AS35" s="50">
        <f ca="1">+GETPIVOTDATA("XSB4",'sonbinh (2016)'!$A$3,"MA_HT","DGD","MA_QH","TSC")</f>
        <v>0</v>
      </c>
      <c r="AT35" s="50">
        <f ca="1">+GETPIVOTDATA("XSB4",'sonbinh (2016)'!$A$3,"MA_HT","DGD","MA_QH","DTS")</f>
        <v>0</v>
      </c>
      <c r="AU35" s="50">
        <f ca="1">+GETPIVOTDATA("XSB4",'sonbinh (2016)'!$A$3,"MA_HT","DGD","MA_QH","DNG")</f>
        <v>0</v>
      </c>
      <c r="AV35" s="50">
        <f ca="1">+GETPIVOTDATA("XSB4",'sonbinh (2016)'!$A$3,"MA_HT","DGD","MA_QH","TON")</f>
        <v>0</v>
      </c>
      <c r="AW35" s="50">
        <f ca="1">+GETPIVOTDATA("XSB4",'sonbinh (2016)'!$A$3,"MA_HT","DGD","MA_QH","NTD")</f>
        <v>0</v>
      </c>
      <c r="AX35" s="50">
        <f ca="1">+GETPIVOTDATA("XSB4",'sonbinh (2016)'!$A$3,"MA_HT","DGD","MA_QH","SKX")</f>
        <v>0</v>
      </c>
      <c r="AY35" s="50">
        <f ca="1">+GETPIVOTDATA("XSB4",'sonbinh (2016)'!$A$3,"MA_HT","DGD","MA_QH","DSH")</f>
        <v>0</v>
      </c>
      <c r="AZ35" s="50">
        <f ca="1">+GETPIVOTDATA("XSB4",'sonbinh (2016)'!$A$3,"MA_HT","DGD","MA_QH","DKV")</f>
        <v>0</v>
      </c>
      <c r="BA35" s="88">
        <f ca="1">+GETPIVOTDATA("XSB4",'sonbinh (2016)'!$A$3,"MA_HT","DGD","MA_QH","TIN")</f>
        <v>0</v>
      </c>
      <c r="BB35" s="50">
        <f ca="1">+GETPIVOTDATA("XSB4",'sonbinh (2016)'!$A$3,"MA_HT","DGD","MA_QH","SON")</f>
        <v>0</v>
      </c>
      <c r="BC35" s="50">
        <f ca="1">+GETPIVOTDATA("XSB4",'sonbinh (2016)'!$A$3,"MA_HT","DGD","MA_QH","MNC")</f>
        <v>0</v>
      </c>
      <c r="BD35" s="50">
        <f ca="1">+GETPIVOTDATA("XSB4",'sonbinh (2016)'!$A$3,"MA_HT","DGD","MA_QH","PNK")</f>
        <v>0</v>
      </c>
      <c r="BE35" s="80">
        <f ca="1">+GETPIVOTDATA("XSB4",'sonbinh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+GETPIVOTDATA("XSB4",'sonbinh (2016)'!$A$3,"MA_HT","DTT","MA_QH","LUC")</f>
        <v>0</v>
      </c>
      <c r="H36" s="50">
        <f ca="1">+GETPIVOTDATA("XSB4",'sonbinh (2016)'!$A$3,"MA_HT","DTT","MA_QH","LUK")</f>
        <v>0</v>
      </c>
      <c r="I36" s="50">
        <f ca="1">+GETPIVOTDATA("XSB4",'sonbinh (2016)'!$A$3,"MA_HT","DTT","MA_QH","LUN")</f>
        <v>0</v>
      </c>
      <c r="J36" s="50">
        <f ca="1">+GETPIVOTDATA("XSB4",'sonbinh (2016)'!$A$3,"MA_HT","DTT","MA_QH","HNK")</f>
        <v>0</v>
      </c>
      <c r="K36" s="50">
        <f ca="1">+GETPIVOTDATA("XSB4",'sonbinh (2016)'!$A$3,"MA_HT","DTT","MA_QH","CLN")</f>
        <v>0</v>
      </c>
      <c r="L36" s="50">
        <f ca="1">+GETPIVOTDATA("XSB4",'sonbinh (2016)'!$A$3,"MA_HT","DTT","MA_QH","RSX")</f>
        <v>0</v>
      </c>
      <c r="M36" s="50">
        <f ca="1">+GETPIVOTDATA("XSB4",'sonbinh (2016)'!$A$3,"MA_HT","DTT","MA_QH","RPH")</f>
        <v>0</v>
      </c>
      <c r="N36" s="50">
        <f ca="1">+GETPIVOTDATA("XSB4",'sonbinh (2016)'!$A$3,"MA_HT","DTT","MA_QH","RDD")</f>
        <v>0</v>
      </c>
      <c r="O36" s="50">
        <f ca="1">+GETPIVOTDATA("XSB4",'sonbinh (2016)'!$A$3,"MA_HT","DTT","MA_QH","NTS")</f>
        <v>0</v>
      </c>
      <c r="P36" s="50">
        <f ca="1">+GETPIVOTDATA("XSB4",'sonbinh (2016)'!$A$3,"MA_HT","DTT","MA_QH","LMU")</f>
        <v>0</v>
      </c>
      <c r="Q36" s="50">
        <f ca="1">+GETPIVOTDATA("XSB4",'sonbinh (2016)'!$A$3,"MA_HT","DTT","MA_QH","NKH")</f>
        <v>0</v>
      </c>
      <c r="R36" s="48">
        <f ca="1" t="shared" si="20"/>
        <v>0</v>
      </c>
      <c r="S36" s="50">
        <f ca="1">+GETPIVOTDATA("XSB4",'sonbinh (2016)'!$A$3,"MA_HT","DTT","MA_QH","CQP")</f>
        <v>0</v>
      </c>
      <c r="T36" s="50">
        <f ca="1">+GETPIVOTDATA("XSB4",'sonbinh (2016)'!$A$3,"MA_HT","DTT","MA_QH","CAN")</f>
        <v>0</v>
      </c>
      <c r="U36" s="50">
        <f ca="1">+GETPIVOTDATA("XSB4",'sonbinh (2016)'!$A$3,"MA_HT","DTT","MA_QH","SKK")</f>
        <v>0</v>
      </c>
      <c r="V36" s="50">
        <f ca="1">+GETPIVOTDATA("XSB4",'sonbinh (2016)'!$A$3,"MA_HT","DTT","MA_QH","SKT")</f>
        <v>0</v>
      </c>
      <c r="W36" s="50">
        <f ca="1">+GETPIVOTDATA("XSB4",'sonbinh (2016)'!$A$3,"MA_HT","DTT","MA_QH","SKN")</f>
        <v>0</v>
      </c>
      <c r="X36" s="50">
        <f ca="1">+GETPIVOTDATA("XSB4",'sonbinh (2016)'!$A$3,"MA_HT","DTT","MA_QH","TMD")</f>
        <v>0</v>
      </c>
      <c r="Y36" s="50">
        <f ca="1">+GETPIVOTDATA("XSB4",'sonbinh (2016)'!$A$3,"MA_HT","DTT","MA_QH","SKC")</f>
        <v>0</v>
      </c>
      <c r="Z36" s="50">
        <f ca="1">+GETPIVOTDATA("XSB4",'sonbinh (2016)'!$A$3,"MA_HT","DTT","MA_QH","SKS")</f>
        <v>0</v>
      </c>
      <c r="AA36" s="52">
        <f ca="1">+SUM(AB36:AH36,AJ36:AM36)</f>
        <v>0</v>
      </c>
      <c r="AB36" s="50">
        <f ca="1">+GETPIVOTDATA("XSB4",'sonbinh (2016)'!$A$3,"MA_HT","DTT","MA_QH","DGT")</f>
        <v>0</v>
      </c>
      <c r="AC36" s="50">
        <f ca="1">+GETPIVOTDATA("XSB4",'sonbinh (2016)'!$A$3,"MA_HT","DTT","MA_QH","DTL")</f>
        <v>0</v>
      </c>
      <c r="AD36" s="50">
        <f ca="1">+GETPIVOTDATA("XSB4",'sonbinh (2016)'!$A$3,"MA_HT","DTT","MA_QH","DNL")</f>
        <v>0</v>
      </c>
      <c r="AE36" s="50">
        <f ca="1">+GETPIVOTDATA("XSB4",'sonbinh (2016)'!$A$3,"MA_HT","DTT","MA_QH","DBV")</f>
        <v>0</v>
      </c>
      <c r="AF36" s="50">
        <f ca="1">+GETPIVOTDATA("XSB4",'sonbinh (2016)'!$A$3,"MA_HT","DTT","MA_QH","DVH")</f>
        <v>0</v>
      </c>
      <c r="AG36" s="50">
        <f ca="1">+GETPIVOTDATA("XSB4",'sonbinh (2016)'!$A$3,"MA_HT","DTT","MA_QH","DYT")</f>
        <v>0</v>
      </c>
      <c r="AH36" s="50">
        <f ca="1">+GETPIVOTDATA("XSB4",'sonbinh (2016)'!$A$3,"MA_HT","DTT","MA_QH","DGD")</f>
        <v>0</v>
      </c>
      <c r="AI36" s="49" t="e">
        <f ca="1">$D36-$BF36</f>
        <v>#REF!</v>
      </c>
      <c r="AJ36" s="50">
        <f ca="1">+GETPIVOTDATA("XSB4",'sonbinh (2016)'!$A$3,"MA_HT","DTT","MA_QH","NCK")</f>
        <v>0</v>
      </c>
      <c r="AK36" s="50">
        <f ca="1">+GETPIVOTDATA("XSB4",'sonbinh (2016)'!$A$3,"MA_HT","DTT","MA_QH","DXH")</f>
        <v>0</v>
      </c>
      <c r="AL36" s="50">
        <f ca="1">+GETPIVOTDATA("XSB4",'sonbinh (2016)'!$A$3,"MA_HT","DTT","MA_QH","DCH")</f>
        <v>0</v>
      </c>
      <c r="AM36" s="50">
        <f ca="1">+GETPIVOTDATA("XSB4",'sonbinh (2016)'!$A$3,"MA_HT","DTT","MA_QH","DKG")</f>
        <v>0</v>
      </c>
      <c r="AN36" s="50">
        <f ca="1">+GETPIVOTDATA("XSB4",'sonbinh (2016)'!$A$3,"MA_HT","DTT","MA_QH","DDT")</f>
        <v>0</v>
      </c>
      <c r="AO36" s="50">
        <f ca="1">+GETPIVOTDATA("XSB4",'sonbinh (2016)'!$A$3,"MA_HT","DTT","MA_QH","DDL")</f>
        <v>0</v>
      </c>
      <c r="AP36" s="50">
        <f ca="1">+GETPIVOTDATA("XSB4",'sonbinh (2016)'!$A$3,"MA_HT","DTT","MA_QH","DRA")</f>
        <v>0</v>
      </c>
      <c r="AQ36" s="50">
        <f ca="1">+GETPIVOTDATA("XSB4",'sonbinh (2016)'!$A$3,"MA_HT","DTT","MA_QH","ONT")</f>
        <v>0</v>
      </c>
      <c r="AR36" s="50">
        <f ca="1">+GETPIVOTDATA("XSB4",'sonbinh (2016)'!$A$3,"MA_HT","DTT","MA_QH","ODT")</f>
        <v>0</v>
      </c>
      <c r="AS36" s="50">
        <f ca="1">+GETPIVOTDATA("XSB4",'sonbinh (2016)'!$A$3,"MA_HT","DTT","MA_QH","TSC")</f>
        <v>0</v>
      </c>
      <c r="AT36" s="50">
        <f ca="1">+GETPIVOTDATA("XSB4",'sonbinh (2016)'!$A$3,"MA_HT","DTT","MA_QH","DTS")</f>
        <v>0</v>
      </c>
      <c r="AU36" s="50">
        <f ca="1">+GETPIVOTDATA("XSB4",'sonbinh (2016)'!$A$3,"MA_HT","DTT","MA_QH","DNG")</f>
        <v>0</v>
      </c>
      <c r="AV36" s="50">
        <f ca="1">+GETPIVOTDATA("XSB4",'sonbinh (2016)'!$A$3,"MA_HT","DTT","MA_QH","TON")</f>
        <v>0</v>
      </c>
      <c r="AW36" s="50">
        <f ca="1">+GETPIVOTDATA("XSB4",'sonbinh (2016)'!$A$3,"MA_HT","DTT","MA_QH","NTD")</f>
        <v>0</v>
      </c>
      <c r="AX36" s="50">
        <f ca="1">+GETPIVOTDATA("XSB4",'sonbinh (2016)'!$A$3,"MA_HT","DTT","MA_QH","SKX")</f>
        <v>0</v>
      </c>
      <c r="AY36" s="50">
        <f ca="1">+GETPIVOTDATA("XSB4",'sonbinh (2016)'!$A$3,"MA_HT","DTT","MA_QH","DSH")</f>
        <v>0</v>
      </c>
      <c r="AZ36" s="50">
        <f ca="1">+GETPIVOTDATA("XSB4",'sonbinh (2016)'!$A$3,"MA_HT","DTT","MA_QH","DKV")</f>
        <v>0</v>
      </c>
      <c r="BA36" s="88">
        <f ca="1">+GETPIVOTDATA("XSB4",'sonbinh (2016)'!$A$3,"MA_HT","DTT","MA_QH","TIN")</f>
        <v>0</v>
      </c>
      <c r="BB36" s="50">
        <f ca="1">+GETPIVOTDATA("XSB4",'sonbinh (2016)'!$A$3,"MA_HT","DTT","MA_QH","SON")</f>
        <v>0</v>
      </c>
      <c r="BC36" s="50">
        <f ca="1">+GETPIVOTDATA("XSB4",'sonbinh (2016)'!$A$3,"MA_HT","DTT","MA_QH","MNC")</f>
        <v>0</v>
      </c>
      <c r="BD36" s="50">
        <f ca="1">+GETPIVOTDATA("XSB4",'sonbinh (2016)'!$A$3,"MA_HT","DTT","MA_QH","PNK")</f>
        <v>0</v>
      </c>
      <c r="BE36" s="80">
        <f ca="1">+GETPIVOTDATA("XSB4",'sonbinh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+GETPIVOTDATA("XSB4",'sonbinh (2016)'!$A$3,"MA_HT","NCK","MA_QH","LUC")</f>
        <v>0</v>
      </c>
      <c r="H37" s="50">
        <f ca="1">+GETPIVOTDATA("XSB4",'sonbinh (2016)'!$A$3,"MA_HT","NCK","MA_QH","LUK")</f>
        <v>0</v>
      </c>
      <c r="I37" s="50">
        <f ca="1">+GETPIVOTDATA("XSB4",'sonbinh (2016)'!$A$3,"MA_HT","NCK","MA_QH","LUN")</f>
        <v>0</v>
      </c>
      <c r="J37" s="50">
        <f ca="1">+GETPIVOTDATA("XSB4",'sonbinh (2016)'!$A$3,"MA_HT","NCK","MA_QH","HNK")</f>
        <v>0</v>
      </c>
      <c r="K37" s="50">
        <f ca="1">+GETPIVOTDATA("XSB4",'sonbinh (2016)'!$A$3,"MA_HT","NCK","MA_QH","CLN")</f>
        <v>0</v>
      </c>
      <c r="L37" s="50">
        <f ca="1">+GETPIVOTDATA("XSB4",'sonbinh (2016)'!$A$3,"MA_HT","NCK","MA_QH","RSX")</f>
        <v>0</v>
      </c>
      <c r="M37" s="50">
        <f ca="1">+GETPIVOTDATA("XSB4",'sonbinh (2016)'!$A$3,"MA_HT","NCK","MA_QH","RPH")</f>
        <v>0</v>
      </c>
      <c r="N37" s="50">
        <f ca="1">+GETPIVOTDATA("XSB4",'sonbinh (2016)'!$A$3,"MA_HT","NCK","MA_QH","RDD")</f>
        <v>0</v>
      </c>
      <c r="O37" s="50">
        <f ca="1">+GETPIVOTDATA("XSB4",'sonbinh (2016)'!$A$3,"MA_HT","NCK","MA_QH","NTS")</f>
        <v>0</v>
      </c>
      <c r="P37" s="50">
        <f ca="1">+GETPIVOTDATA("XSB4",'sonbinh (2016)'!$A$3,"MA_HT","NCK","MA_QH","LMU")</f>
        <v>0</v>
      </c>
      <c r="Q37" s="50">
        <f ca="1">+GETPIVOTDATA("XSB4",'sonbinh (2016)'!$A$3,"MA_HT","NCK","MA_QH","NKH")</f>
        <v>0</v>
      </c>
      <c r="R37" s="48">
        <f ca="1" t="shared" si="20"/>
        <v>0</v>
      </c>
      <c r="S37" s="50">
        <f ca="1">+GETPIVOTDATA("XSB4",'sonbinh (2016)'!$A$3,"MA_HT","NCK","MA_QH","CQP")</f>
        <v>0</v>
      </c>
      <c r="T37" s="50">
        <f ca="1">+GETPIVOTDATA("XSB4",'sonbinh (2016)'!$A$3,"MA_HT","NCK","MA_QH","CAN")</f>
        <v>0</v>
      </c>
      <c r="U37" s="50">
        <f ca="1">+GETPIVOTDATA("XSB4",'sonbinh (2016)'!$A$3,"MA_HT","NCK","MA_QH","SKK")</f>
        <v>0</v>
      </c>
      <c r="V37" s="50">
        <f ca="1">+GETPIVOTDATA("XSB4",'sonbinh (2016)'!$A$3,"MA_HT","NCK","MA_QH","SKT")</f>
        <v>0</v>
      </c>
      <c r="W37" s="50">
        <f ca="1">+GETPIVOTDATA("XSB4",'sonbinh (2016)'!$A$3,"MA_HT","NCK","MA_QH","SKN")</f>
        <v>0</v>
      </c>
      <c r="X37" s="50">
        <f ca="1">+GETPIVOTDATA("XSB4",'sonbinh (2016)'!$A$3,"MA_HT","NCK","MA_QH","TMD")</f>
        <v>0</v>
      </c>
      <c r="Y37" s="50">
        <f ca="1">+GETPIVOTDATA("XSB4",'sonbinh (2016)'!$A$3,"MA_HT","NCK","MA_QH","SKC")</f>
        <v>0</v>
      </c>
      <c r="Z37" s="50">
        <f ca="1">+GETPIVOTDATA("XSB4",'sonbinh (2016)'!$A$3,"MA_HT","NCK","MA_QH","SKS")</f>
        <v>0</v>
      </c>
      <c r="AA37" s="52">
        <f ca="1">+SUM(AB37:AI37,AK37:AM37)</f>
        <v>0</v>
      </c>
      <c r="AB37" s="50">
        <f ca="1">+GETPIVOTDATA("XSB4",'sonbinh (2016)'!$A$3,"MA_HT","NCK","MA_QH","DGT")</f>
        <v>0</v>
      </c>
      <c r="AC37" s="50">
        <f ca="1">+GETPIVOTDATA("XSB4",'sonbinh (2016)'!$A$3,"MA_HT","NCK","MA_QH","DTL")</f>
        <v>0</v>
      </c>
      <c r="AD37" s="50">
        <f ca="1">+GETPIVOTDATA("XSB4",'sonbinh (2016)'!$A$3,"MA_HT","NCK","MA_QH","DNL")</f>
        <v>0</v>
      </c>
      <c r="AE37" s="50">
        <f ca="1">+GETPIVOTDATA("XSB4",'sonbinh (2016)'!$A$3,"MA_HT","NCK","MA_QH","DBV")</f>
        <v>0</v>
      </c>
      <c r="AF37" s="50">
        <f ca="1">+GETPIVOTDATA("XSB4",'sonbinh (2016)'!$A$3,"MA_HT","NCK","MA_QH","DVH")</f>
        <v>0</v>
      </c>
      <c r="AG37" s="50">
        <f ca="1">+GETPIVOTDATA("XSB4",'sonbinh (2016)'!$A$3,"MA_HT","NCK","MA_QH","DYT")</f>
        <v>0</v>
      </c>
      <c r="AH37" s="50">
        <f ca="1">+GETPIVOTDATA("XSB4",'sonbinh (2016)'!$A$3,"MA_HT","NCK","MA_QH","DGD")</f>
        <v>0</v>
      </c>
      <c r="AI37" s="50">
        <f ca="1">+GETPIVOTDATA("XSB4",'sonbinh (2016)'!$A$3,"MA_HT","NCK","MA_QH","DTT")</f>
        <v>0</v>
      </c>
      <c r="AJ37" s="49" t="e">
        <f ca="1">$D37-$BF37</f>
        <v>#REF!</v>
      </c>
      <c r="AK37" s="50">
        <f ca="1">+GETPIVOTDATA("XSB4",'sonbinh (2016)'!$A$3,"MA_HT","NCK","MA_QH","DXH")</f>
        <v>0</v>
      </c>
      <c r="AL37" s="50">
        <f ca="1">+GETPIVOTDATA("XSB4",'sonbinh (2016)'!$A$3,"MA_HT","NCK","MA_QH","DCH")</f>
        <v>0</v>
      </c>
      <c r="AM37" s="50">
        <f ca="1">+GETPIVOTDATA("XSB4",'sonbinh (2016)'!$A$3,"MA_HT","NCK","MA_QH","DKG")</f>
        <v>0</v>
      </c>
      <c r="AN37" s="50">
        <f ca="1">+GETPIVOTDATA("XSB4",'sonbinh (2016)'!$A$3,"MA_HT","NCK","MA_QH","DDT")</f>
        <v>0</v>
      </c>
      <c r="AO37" s="50">
        <f ca="1">+GETPIVOTDATA("XSB4",'sonbinh (2016)'!$A$3,"MA_HT","NCK","MA_QH","DDL")</f>
        <v>0</v>
      </c>
      <c r="AP37" s="50">
        <f ca="1">+GETPIVOTDATA("XSB4",'sonbinh (2016)'!$A$3,"MA_HT","NCK","MA_QH","DRA")</f>
        <v>0</v>
      </c>
      <c r="AQ37" s="50">
        <f ca="1">+GETPIVOTDATA("XSB4",'sonbinh (2016)'!$A$3,"MA_HT","NCK","MA_QH","ONT")</f>
        <v>0</v>
      </c>
      <c r="AR37" s="50">
        <f ca="1">+GETPIVOTDATA("XSB4",'sonbinh (2016)'!$A$3,"MA_HT","NCK","MA_QH","ODT")</f>
        <v>0</v>
      </c>
      <c r="AS37" s="50">
        <f ca="1">+GETPIVOTDATA("XSB4",'sonbinh (2016)'!$A$3,"MA_HT","NCK","MA_QH","TSC")</f>
        <v>0</v>
      </c>
      <c r="AT37" s="50">
        <f ca="1">+GETPIVOTDATA("XSB4",'sonbinh (2016)'!$A$3,"MA_HT","NCK","MA_QH","DTS")</f>
        <v>0</v>
      </c>
      <c r="AU37" s="50">
        <f ca="1">+GETPIVOTDATA("XSB4",'sonbinh (2016)'!$A$3,"MA_HT","NCK","MA_QH","DNG")</f>
        <v>0</v>
      </c>
      <c r="AV37" s="50">
        <f ca="1">+GETPIVOTDATA("XSB4",'sonbinh (2016)'!$A$3,"MA_HT","NCK","MA_QH","TON")</f>
        <v>0</v>
      </c>
      <c r="AW37" s="50">
        <f ca="1">+GETPIVOTDATA("XSB4",'sonbinh (2016)'!$A$3,"MA_HT","NCK","MA_QH","NTD")</f>
        <v>0</v>
      </c>
      <c r="AX37" s="50">
        <f ca="1">+GETPIVOTDATA("XSB4",'sonbinh (2016)'!$A$3,"MA_HT","NCK","MA_QH","SKX")</f>
        <v>0</v>
      </c>
      <c r="AY37" s="50">
        <f ca="1">+GETPIVOTDATA("XSB4",'sonbinh (2016)'!$A$3,"MA_HT","NCK","MA_QH","DSH")</f>
        <v>0</v>
      </c>
      <c r="AZ37" s="50">
        <f ca="1">+GETPIVOTDATA("XSB4",'sonbinh (2016)'!$A$3,"MA_HT","NCK","MA_QH","DKV")</f>
        <v>0</v>
      </c>
      <c r="BA37" s="88">
        <f ca="1">+GETPIVOTDATA("XSB4",'sonbinh (2016)'!$A$3,"MA_HT","NCK","MA_QH","TIN")</f>
        <v>0</v>
      </c>
      <c r="BB37" s="50">
        <f ca="1">+GETPIVOTDATA("XSB4",'sonbinh (2016)'!$A$3,"MA_HT","NCK","MA_QH","SON")</f>
        <v>0</v>
      </c>
      <c r="BC37" s="50">
        <f ca="1">+GETPIVOTDATA("XSB4",'sonbinh (2016)'!$A$3,"MA_HT","NCK","MA_QH","MNC")</f>
        <v>0</v>
      </c>
      <c r="BD37" s="50">
        <f ca="1">+GETPIVOTDATA("XSB4",'sonbinh (2016)'!$A$3,"MA_HT","NCK","MA_QH","PNK")</f>
        <v>0</v>
      </c>
      <c r="BE37" s="80">
        <f ca="1">+GETPIVOTDATA("XSB4",'sonbinh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+GETPIVOTDATA("XSB4",'sonbinh (2016)'!$A$3,"MA_HT","DXH","MA_QH","LUC")</f>
        <v>0</v>
      </c>
      <c r="H38" s="50">
        <f ca="1">+GETPIVOTDATA("XSB4",'sonbinh (2016)'!$A$3,"MA_HT","DXH","MA_QH","LUK")</f>
        <v>0</v>
      </c>
      <c r="I38" s="50">
        <f ca="1">+GETPIVOTDATA("XSB4",'sonbinh (2016)'!$A$3,"MA_HT","DXH","MA_QH","LUN")</f>
        <v>0</v>
      </c>
      <c r="J38" s="50">
        <f ca="1">+GETPIVOTDATA("XSB4",'sonbinh (2016)'!$A$3,"MA_HT","DXH","MA_QH","HNK")</f>
        <v>0</v>
      </c>
      <c r="K38" s="50">
        <f ca="1">+GETPIVOTDATA("XSB4",'sonbinh (2016)'!$A$3,"MA_HT","DXH","MA_QH","CLN")</f>
        <v>0</v>
      </c>
      <c r="L38" s="50">
        <f ca="1">+GETPIVOTDATA("XSB4",'sonbinh (2016)'!$A$3,"MA_HT","DXH","MA_QH","RSX")</f>
        <v>0</v>
      </c>
      <c r="M38" s="50">
        <f ca="1">+GETPIVOTDATA("XSB4",'sonbinh (2016)'!$A$3,"MA_HT","DXH","MA_QH","RPH")</f>
        <v>0</v>
      </c>
      <c r="N38" s="50">
        <f ca="1">+GETPIVOTDATA("XSB4",'sonbinh (2016)'!$A$3,"MA_HT","DXH","MA_QH","RDD")</f>
        <v>0</v>
      </c>
      <c r="O38" s="50">
        <f ca="1">+GETPIVOTDATA("XSB4",'sonbinh (2016)'!$A$3,"MA_HT","DXH","MA_QH","NTS")</f>
        <v>0</v>
      </c>
      <c r="P38" s="50">
        <f ca="1">+GETPIVOTDATA("XSB4",'sonbinh (2016)'!$A$3,"MA_HT","DXH","MA_QH","LMU")</f>
        <v>0</v>
      </c>
      <c r="Q38" s="50">
        <f ca="1">+GETPIVOTDATA("XSB4",'sonbinh (2016)'!$A$3,"MA_HT","DXH","MA_QH","NKH")</f>
        <v>0</v>
      </c>
      <c r="R38" s="48">
        <f ca="1" t="shared" si="20"/>
        <v>0</v>
      </c>
      <c r="S38" s="50">
        <f ca="1">+GETPIVOTDATA("XSB4",'sonbinh (2016)'!$A$3,"MA_HT","DXH","MA_QH","CQP")</f>
        <v>0</v>
      </c>
      <c r="T38" s="50">
        <f ca="1">+GETPIVOTDATA("XSB4",'sonbinh (2016)'!$A$3,"MA_HT","DXH","MA_QH","CAN")</f>
        <v>0</v>
      </c>
      <c r="U38" s="50">
        <f ca="1">+GETPIVOTDATA("XSB4",'sonbinh (2016)'!$A$3,"MA_HT","DXH","MA_QH","SKK")</f>
        <v>0</v>
      </c>
      <c r="V38" s="50">
        <f ca="1">+GETPIVOTDATA("XSB4",'sonbinh (2016)'!$A$3,"MA_HT","DXH","MA_QH","SKT")</f>
        <v>0</v>
      </c>
      <c r="W38" s="50">
        <f ca="1">+GETPIVOTDATA("XSB4",'sonbinh (2016)'!$A$3,"MA_HT","DXH","MA_QH","SKN")</f>
        <v>0</v>
      </c>
      <c r="X38" s="50">
        <f ca="1">+GETPIVOTDATA("XSB4",'sonbinh (2016)'!$A$3,"MA_HT","DXH","MA_QH","TMD")</f>
        <v>0</v>
      </c>
      <c r="Y38" s="50">
        <f ca="1">+GETPIVOTDATA("XSB4",'sonbinh (2016)'!$A$3,"MA_HT","DXH","MA_QH","SKC")</f>
        <v>0</v>
      </c>
      <c r="Z38" s="50">
        <f ca="1">+GETPIVOTDATA("XSB4",'sonbinh (2016)'!$A$3,"MA_HT","DXH","MA_QH","SKS")</f>
        <v>0</v>
      </c>
      <c r="AA38" s="52">
        <f ca="1">+SUM(AB38:AJ38,AL38:AM38)</f>
        <v>0</v>
      </c>
      <c r="AB38" s="50">
        <f ca="1">+GETPIVOTDATA("XSB4",'sonbinh (2016)'!$A$3,"MA_HT","DXH","MA_QH","DGT")</f>
        <v>0</v>
      </c>
      <c r="AC38" s="50">
        <f ca="1">+GETPIVOTDATA("XSB4",'sonbinh (2016)'!$A$3,"MA_HT","DXH","MA_QH","DTL")</f>
        <v>0</v>
      </c>
      <c r="AD38" s="50">
        <f ca="1">+GETPIVOTDATA("XSB4",'sonbinh (2016)'!$A$3,"MA_HT","DXH","MA_QH","DNL")</f>
        <v>0</v>
      </c>
      <c r="AE38" s="50">
        <f ca="1">+GETPIVOTDATA("XSB4",'sonbinh (2016)'!$A$3,"MA_HT","DXH","MA_QH","DBV")</f>
        <v>0</v>
      </c>
      <c r="AF38" s="50">
        <f ca="1">+GETPIVOTDATA("XSB4",'sonbinh (2016)'!$A$3,"MA_HT","DXH","MA_QH","DVH")</f>
        <v>0</v>
      </c>
      <c r="AG38" s="50">
        <f ca="1">+GETPIVOTDATA("XSB4",'sonbinh (2016)'!$A$3,"MA_HT","DXH","MA_QH","DYT")</f>
        <v>0</v>
      </c>
      <c r="AH38" s="50">
        <f ca="1">+GETPIVOTDATA("XSB4",'sonbinh (2016)'!$A$3,"MA_HT","DXH","MA_QH","DGD")</f>
        <v>0</v>
      </c>
      <c r="AI38" s="50">
        <f ca="1">+GETPIVOTDATA("XSB4",'sonbinh (2016)'!$A$3,"MA_HT","DXH","MA_QH","DTT")</f>
        <v>0</v>
      </c>
      <c r="AJ38" s="50">
        <f ca="1">+GETPIVOTDATA("XSB4",'sonbinh (2016)'!$A$3,"MA_HT","DXH","MA_QH","NCK")</f>
        <v>0</v>
      </c>
      <c r="AK38" s="49" t="e">
        <f ca="1">$D38-$BF38</f>
        <v>#REF!</v>
      </c>
      <c r="AL38" s="50">
        <f ca="1">+GETPIVOTDATA("XSB4",'sonbinh (2016)'!$A$3,"MA_HT","DXH","MA_QH","DCH")</f>
        <v>0</v>
      </c>
      <c r="AM38" s="50">
        <f ca="1">+GETPIVOTDATA("XSB4",'sonbinh (2016)'!$A$3,"MA_HT","DXH","MA_QH","DKG")</f>
        <v>0</v>
      </c>
      <c r="AN38" s="50">
        <f ca="1">+GETPIVOTDATA("XSB4",'sonbinh (2016)'!$A$3,"MA_HT","DXH","MA_QH","DDT")</f>
        <v>0</v>
      </c>
      <c r="AO38" s="50">
        <f ca="1">+GETPIVOTDATA("XSB4",'sonbinh (2016)'!$A$3,"MA_HT","DXH","MA_QH","DDL")</f>
        <v>0</v>
      </c>
      <c r="AP38" s="50">
        <f ca="1">+GETPIVOTDATA("XSB4",'sonbinh (2016)'!$A$3,"MA_HT","DXH","MA_QH","DRA")</f>
        <v>0</v>
      </c>
      <c r="AQ38" s="50">
        <f ca="1">+GETPIVOTDATA("XSB4",'sonbinh (2016)'!$A$3,"MA_HT","DXH","MA_QH","ONT")</f>
        <v>0</v>
      </c>
      <c r="AR38" s="50">
        <f ca="1">+GETPIVOTDATA("XSB4",'sonbinh (2016)'!$A$3,"MA_HT","DXH","MA_QH","ODT")</f>
        <v>0</v>
      </c>
      <c r="AS38" s="50">
        <f ca="1">+GETPIVOTDATA("XSB4",'sonbinh (2016)'!$A$3,"MA_HT","DXH","MA_QH","TSC")</f>
        <v>0</v>
      </c>
      <c r="AT38" s="50">
        <f ca="1">+GETPIVOTDATA("XSB4",'sonbinh (2016)'!$A$3,"MA_HT","DXH","MA_QH","DTS")</f>
        <v>0</v>
      </c>
      <c r="AU38" s="50">
        <f ca="1">+GETPIVOTDATA("XSB4",'sonbinh (2016)'!$A$3,"MA_HT","DXH","MA_QH","DNG")</f>
        <v>0</v>
      </c>
      <c r="AV38" s="50">
        <f ca="1">+GETPIVOTDATA("XSB4",'sonbinh (2016)'!$A$3,"MA_HT","DXH","MA_QH","TON")</f>
        <v>0</v>
      </c>
      <c r="AW38" s="50">
        <f ca="1">+GETPIVOTDATA("XSB4",'sonbinh (2016)'!$A$3,"MA_HT","DXH","MA_QH","NTD")</f>
        <v>0</v>
      </c>
      <c r="AX38" s="50">
        <f ca="1">+GETPIVOTDATA("XSB4",'sonbinh (2016)'!$A$3,"MA_HT","DXH","MA_QH","SKX")</f>
        <v>0</v>
      </c>
      <c r="AY38" s="50">
        <f ca="1">+GETPIVOTDATA("XSB4",'sonbinh (2016)'!$A$3,"MA_HT","DXH","MA_QH","DSH")</f>
        <v>0</v>
      </c>
      <c r="AZ38" s="50">
        <f ca="1">+GETPIVOTDATA("XSB4",'sonbinh (2016)'!$A$3,"MA_HT","DXH","MA_QH","DKV")</f>
        <v>0</v>
      </c>
      <c r="BA38" s="88">
        <f ca="1">+GETPIVOTDATA("XSB4",'sonbinh (2016)'!$A$3,"MA_HT","DXH","MA_QH","TIN")</f>
        <v>0</v>
      </c>
      <c r="BB38" s="50">
        <f ca="1">+GETPIVOTDATA("XSB4",'sonbinh (2016)'!$A$3,"MA_HT","DXH","MA_QH","SON")</f>
        <v>0</v>
      </c>
      <c r="BC38" s="50">
        <f ca="1">+GETPIVOTDATA("XSB4",'sonbinh (2016)'!$A$3,"MA_HT","DXH","MA_QH","MNC")</f>
        <v>0</v>
      </c>
      <c r="BD38" s="50">
        <f ca="1">+GETPIVOTDATA("XSB4",'sonbinh (2016)'!$A$3,"MA_HT","DXH","MA_QH","PNK")</f>
        <v>0</v>
      </c>
      <c r="BE38" s="80">
        <f ca="1">+GETPIVOTDATA("XSB4",'sonbinh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+GETPIVOTDATA("XSB4",'sonbinh (2016)'!$A$3,"MA_HT","DCH","MA_QH","LUC")</f>
        <v>0</v>
      </c>
      <c r="H39" s="50">
        <f ca="1">+GETPIVOTDATA("XSB4",'sonbinh (2016)'!$A$3,"MA_HT","DCH","MA_QH","LUK")</f>
        <v>0</v>
      </c>
      <c r="I39" s="50">
        <f ca="1">+GETPIVOTDATA("XSB4",'sonbinh (2016)'!$A$3,"MA_HT","DCH","MA_QH","LUN")</f>
        <v>0</v>
      </c>
      <c r="J39" s="50">
        <f ca="1">+GETPIVOTDATA("XSB4",'sonbinh (2016)'!$A$3,"MA_HT","DCH","MA_QH","HNK")</f>
        <v>0</v>
      </c>
      <c r="K39" s="50">
        <f ca="1">+GETPIVOTDATA("XSB4",'sonbinh (2016)'!$A$3,"MA_HT","DCH","MA_QH","CLN")</f>
        <v>0</v>
      </c>
      <c r="L39" s="50">
        <f ca="1">+GETPIVOTDATA("XSB4",'sonbinh (2016)'!$A$3,"MA_HT","DCH","MA_QH","RSX")</f>
        <v>0</v>
      </c>
      <c r="M39" s="50">
        <f ca="1">+GETPIVOTDATA("XSB4",'sonbinh (2016)'!$A$3,"MA_HT","DCH","MA_QH","RPH")</f>
        <v>0</v>
      </c>
      <c r="N39" s="50">
        <f ca="1">+GETPIVOTDATA("XSB4",'sonbinh (2016)'!$A$3,"MA_HT","DCH","MA_QH","RDD")</f>
        <v>0</v>
      </c>
      <c r="O39" s="50">
        <f ca="1">+GETPIVOTDATA("XSB4",'sonbinh (2016)'!$A$3,"MA_HT","DCH","MA_QH","NTS")</f>
        <v>0</v>
      </c>
      <c r="P39" s="50">
        <f ca="1">+GETPIVOTDATA("XSB4",'sonbinh (2016)'!$A$3,"MA_HT","DCH","MA_QH","LMU")</f>
        <v>0</v>
      </c>
      <c r="Q39" s="50">
        <f ca="1">+GETPIVOTDATA("XSB4",'sonbinh (2016)'!$A$3,"MA_HT","DCH","MA_QH","NKH")</f>
        <v>0</v>
      </c>
      <c r="R39" s="48">
        <f ca="1" t="shared" si="20"/>
        <v>0</v>
      </c>
      <c r="S39" s="50">
        <f ca="1">+GETPIVOTDATA("XSB4",'sonbinh (2016)'!$A$3,"MA_HT","DCH","MA_QH","CQP")</f>
        <v>0</v>
      </c>
      <c r="T39" s="50">
        <f ca="1">+GETPIVOTDATA("XSB4",'sonbinh (2016)'!$A$3,"MA_HT","DCH","MA_QH","CAN")</f>
        <v>0</v>
      </c>
      <c r="U39" s="50">
        <f ca="1">+GETPIVOTDATA("XSB4",'sonbinh (2016)'!$A$3,"MA_HT","DCH","MA_QH","SKK")</f>
        <v>0</v>
      </c>
      <c r="V39" s="50">
        <f ca="1">+GETPIVOTDATA("XSB4",'sonbinh (2016)'!$A$3,"MA_HT","DCH","MA_QH","SKT")</f>
        <v>0</v>
      </c>
      <c r="W39" s="50">
        <f ca="1">+GETPIVOTDATA("XSB4",'sonbinh (2016)'!$A$3,"MA_HT","DCH","MA_QH","SKN")</f>
        <v>0</v>
      </c>
      <c r="X39" s="50">
        <f ca="1">+GETPIVOTDATA("XSB4",'sonbinh (2016)'!$A$3,"MA_HT","DCH","MA_QH","TMD")</f>
        <v>0</v>
      </c>
      <c r="Y39" s="50">
        <f ca="1">+GETPIVOTDATA("XSB4",'sonbinh (2016)'!$A$3,"MA_HT","DCH","MA_QH","SKC")</f>
        <v>0</v>
      </c>
      <c r="Z39" s="50">
        <f ca="1">+GETPIVOTDATA("XSB4",'sonbinh (2016)'!$A$3,"MA_HT","DCH","MA_QH","SKS")</f>
        <v>0</v>
      </c>
      <c r="AA39" s="52">
        <f ca="1">+SUM(AB39:AK39,AM39)</f>
        <v>0</v>
      </c>
      <c r="AB39" s="50">
        <f ca="1">+GETPIVOTDATA("XSB4",'sonbinh (2016)'!$A$3,"MA_HT","DCH","MA_QH","DGT")</f>
        <v>0</v>
      </c>
      <c r="AC39" s="50">
        <f ca="1">+GETPIVOTDATA("XSB4",'sonbinh (2016)'!$A$3,"MA_HT","DCH","MA_QH","DTL")</f>
        <v>0</v>
      </c>
      <c r="AD39" s="50">
        <f ca="1">+GETPIVOTDATA("XSB4",'sonbinh (2016)'!$A$3,"MA_HT","DCH","MA_QH","DNL")</f>
        <v>0</v>
      </c>
      <c r="AE39" s="50">
        <f ca="1">+GETPIVOTDATA("XSB4",'sonbinh (2016)'!$A$3,"MA_HT","DCH","MA_QH","DBV")</f>
        <v>0</v>
      </c>
      <c r="AF39" s="50">
        <f ca="1">+GETPIVOTDATA("XSB4",'sonbinh (2016)'!$A$3,"MA_HT","DCH","MA_QH","DVH")</f>
        <v>0</v>
      </c>
      <c r="AG39" s="50">
        <f ca="1">+GETPIVOTDATA("XSB4",'sonbinh (2016)'!$A$3,"MA_HT","DCH","MA_QH","DYT")</f>
        <v>0</v>
      </c>
      <c r="AH39" s="50">
        <f ca="1">+GETPIVOTDATA("XSB4",'sonbinh (2016)'!$A$3,"MA_HT","DCH","MA_QH","DGD")</f>
        <v>0</v>
      </c>
      <c r="AI39" s="50">
        <f ca="1">+GETPIVOTDATA("XSB4",'sonbinh (2016)'!$A$3,"MA_HT","DCH","MA_QH","DTT")</f>
        <v>0</v>
      </c>
      <c r="AJ39" s="50">
        <f ca="1">+GETPIVOTDATA("XSB4",'sonbinh (2016)'!$A$3,"MA_HT","DCH","MA_QH","NCK")</f>
        <v>0</v>
      </c>
      <c r="AK39" s="50">
        <f ca="1">+GETPIVOTDATA("XSB4",'sonbinh (2016)'!$A$3,"MA_HT","DCH","MA_QH","DXH")</f>
        <v>0</v>
      </c>
      <c r="AL39" s="49" t="e">
        <f ca="1">$D39-$BF39</f>
        <v>#REF!</v>
      </c>
      <c r="AM39" s="50">
        <f ca="1">+GETPIVOTDATA("XSB4",'sonbinh (2016)'!$A$3,"MA_HT","DXH","MA_QH","DKG")</f>
        <v>0</v>
      </c>
      <c r="AN39" s="50">
        <f ca="1">+GETPIVOTDATA("XSB4",'sonbinh (2016)'!$A$3,"MA_HT","DCH","MA_QH","DDT")</f>
        <v>0</v>
      </c>
      <c r="AO39" s="50">
        <f ca="1">+GETPIVOTDATA("XSB4",'sonbinh (2016)'!$A$3,"MA_HT","DCH","MA_QH","DDL")</f>
        <v>0</v>
      </c>
      <c r="AP39" s="50">
        <f ca="1">+GETPIVOTDATA("XSB4",'sonbinh (2016)'!$A$3,"MA_HT","DCH","MA_QH","DRA")</f>
        <v>0</v>
      </c>
      <c r="AQ39" s="50">
        <f ca="1">+GETPIVOTDATA("XSB4",'sonbinh (2016)'!$A$3,"MA_HT","DCH","MA_QH","ONT")</f>
        <v>0</v>
      </c>
      <c r="AR39" s="50">
        <f ca="1">+GETPIVOTDATA("XSB4",'sonbinh (2016)'!$A$3,"MA_HT","DCH","MA_QH","ODT")</f>
        <v>0</v>
      </c>
      <c r="AS39" s="50">
        <f ca="1">+GETPIVOTDATA("XSB4",'sonbinh (2016)'!$A$3,"MA_HT","DCH","MA_QH","TSC")</f>
        <v>0</v>
      </c>
      <c r="AT39" s="50">
        <f ca="1">+GETPIVOTDATA("XSB4",'sonbinh (2016)'!$A$3,"MA_HT","DCH","MA_QH","DTS")</f>
        <v>0</v>
      </c>
      <c r="AU39" s="50">
        <f ca="1">+GETPIVOTDATA("XSB4",'sonbinh (2016)'!$A$3,"MA_HT","DCH","MA_QH","DNG")</f>
        <v>0</v>
      </c>
      <c r="AV39" s="50">
        <f ca="1">+GETPIVOTDATA("XSB4",'sonbinh (2016)'!$A$3,"MA_HT","DCH","MA_QH","TON")</f>
        <v>0</v>
      </c>
      <c r="AW39" s="50">
        <f ca="1">+GETPIVOTDATA("XSB4",'sonbinh (2016)'!$A$3,"MA_HT","DCH","MA_QH","NTD")</f>
        <v>0</v>
      </c>
      <c r="AX39" s="50">
        <f ca="1">+GETPIVOTDATA("XSB4",'sonbinh (2016)'!$A$3,"MA_HT","DCH","MA_QH","SKX")</f>
        <v>0</v>
      </c>
      <c r="AY39" s="50">
        <f ca="1">+GETPIVOTDATA("XSB4",'sonbinh (2016)'!$A$3,"MA_HT","DCH","MA_QH","DSH")</f>
        <v>0</v>
      </c>
      <c r="AZ39" s="50">
        <f ca="1">+GETPIVOTDATA("XSB4",'sonbinh (2016)'!$A$3,"MA_HT","DCH","MA_QH","DKV")</f>
        <v>0</v>
      </c>
      <c r="BA39" s="88">
        <f ca="1">+GETPIVOTDATA("XSB4",'sonbinh (2016)'!$A$3,"MA_HT","DCH","MA_QH","TIN")</f>
        <v>0</v>
      </c>
      <c r="BB39" s="50">
        <f ca="1">+GETPIVOTDATA("XSB4",'sonbinh (2016)'!$A$3,"MA_HT","DCH","MA_QH","SON")</f>
        <v>0</v>
      </c>
      <c r="BC39" s="50">
        <f ca="1">+GETPIVOTDATA("XSB4",'sonbinh (2016)'!$A$3,"MA_HT","DCH","MA_QH","MNC")</f>
        <v>0</v>
      </c>
      <c r="BD39" s="50">
        <f ca="1">+GETPIVOTDATA("XSB4",'sonbinh (2016)'!$A$3,"MA_HT","DCH","MA_QH","PNK")</f>
        <v>0</v>
      </c>
      <c r="BE39" s="80">
        <f ca="1">+GETPIVOTDATA("XSB4",'sonbinh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+GETPIVOTDATA("XSB4",'sonbinh (2016)'!$A$3,"MA_HT","DKG","MA_QH","LUC")</f>
        <v>0</v>
      </c>
      <c r="H40" s="50">
        <f ca="1">+GETPIVOTDATA("XSB4",'sonbinh (2016)'!$A$3,"MA_HT","DKG","MA_QH","LUK")</f>
        <v>0</v>
      </c>
      <c r="I40" s="50">
        <f ca="1">+GETPIVOTDATA("XSB4",'sonbinh (2016)'!$A$3,"MA_HT","DKG","MA_QH","LUN")</f>
        <v>0</v>
      </c>
      <c r="J40" s="50">
        <f ca="1">+GETPIVOTDATA("XSB4",'sonbinh (2016)'!$A$3,"MA_HT","DKG","MA_QH","HNK")</f>
        <v>0</v>
      </c>
      <c r="K40" s="50">
        <f ca="1">+GETPIVOTDATA("XSB4",'sonbinh (2016)'!$A$3,"MA_HT","DKG","MA_QH","CLN")</f>
        <v>0</v>
      </c>
      <c r="L40" s="50">
        <f ca="1">+GETPIVOTDATA("XSB4",'sonbinh (2016)'!$A$3,"MA_HT","DKG","MA_QH","RSX")</f>
        <v>0</v>
      </c>
      <c r="M40" s="50">
        <f ca="1">+GETPIVOTDATA("XSB4",'sonbinh (2016)'!$A$3,"MA_HT","DKG","MA_QH","RPH")</f>
        <v>0</v>
      </c>
      <c r="N40" s="50">
        <f ca="1">+GETPIVOTDATA("XSB4",'sonbinh (2016)'!$A$3,"MA_HT","DKG","MA_QH","RDD")</f>
        <v>0</v>
      </c>
      <c r="O40" s="50">
        <f ca="1">+GETPIVOTDATA("XSB4",'sonbinh (2016)'!$A$3,"MA_HT","DKG","MA_QH","NTS")</f>
        <v>0</v>
      </c>
      <c r="P40" s="50">
        <f ca="1">+GETPIVOTDATA("XSB4",'sonbinh (2016)'!$A$3,"MA_HT","DKG","MA_QH","LMU")</f>
        <v>0</v>
      </c>
      <c r="Q40" s="50">
        <f ca="1">+GETPIVOTDATA("XSB4",'sonbinh (2016)'!$A$3,"MA_HT","DKG","MA_QH","NKH")</f>
        <v>0</v>
      </c>
      <c r="R40" s="48">
        <f ca="1" t="shared" si="20"/>
        <v>0</v>
      </c>
      <c r="S40" s="50">
        <f ca="1">+GETPIVOTDATA("XSB4",'sonbinh (2016)'!$A$3,"MA_HT","DKG","MA_QH","CQP")</f>
        <v>0</v>
      </c>
      <c r="T40" s="50">
        <f ca="1">+GETPIVOTDATA("XSB4",'sonbinh (2016)'!$A$3,"MA_HT","DKG","MA_QH","CAN")</f>
        <v>0</v>
      </c>
      <c r="U40" s="50">
        <f ca="1">+GETPIVOTDATA("XSB4",'sonbinh (2016)'!$A$3,"MA_HT","DKG","MA_QH","SKK")</f>
        <v>0</v>
      </c>
      <c r="V40" s="50">
        <f ca="1">+GETPIVOTDATA("XSB4",'sonbinh (2016)'!$A$3,"MA_HT","DKG","MA_QH","SKT")</f>
        <v>0</v>
      </c>
      <c r="W40" s="50">
        <f ca="1">+GETPIVOTDATA("XSB4",'sonbinh (2016)'!$A$3,"MA_HT","DKG","MA_QH","SKN")</f>
        <v>0</v>
      </c>
      <c r="X40" s="50">
        <f ca="1">+GETPIVOTDATA("XSB4",'sonbinh (2016)'!$A$3,"MA_HT","DKG","MA_QH","TMD")</f>
        <v>0</v>
      </c>
      <c r="Y40" s="50">
        <f ca="1">+GETPIVOTDATA("XSB4",'sonbinh (2016)'!$A$3,"MA_HT","DKG","MA_QH","SKC")</f>
        <v>0</v>
      </c>
      <c r="Z40" s="50">
        <f ca="1">+GETPIVOTDATA("XSB4",'sonbinh (2016)'!$A$3,"MA_HT","DKG","MA_QH","SKS")</f>
        <v>0</v>
      </c>
      <c r="AA40" s="52">
        <f ca="1">+SUM(AB40:AL40)</f>
        <v>0</v>
      </c>
      <c r="AB40" s="50">
        <f ca="1">+GETPIVOTDATA("XSB4",'sonbinh (2016)'!$A$3,"MA_HT","DKG","MA_QH","DGT")</f>
        <v>0</v>
      </c>
      <c r="AC40" s="50">
        <f ca="1">+GETPIVOTDATA("XSB4",'sonbinh (2016)'!$A$3,"MA_HT","DKG","MA_QH","DTL")</f>
        <v>0</v>
      </c>
      <c r="AD40" s="50">
        <f ca="1">+GETPIVOTDATA("XSB4",'sonbinh (2016)'!$A$3,"MA_HT","DKG","MA_QH","DNL")</f>
        <v>0</v>
      </c>
      <c r="AE40" s="50">
        <f ca="1">+GETPIVOTDATA("XSB4",'sonbinh (2016)'!$A$3,"MA_HT","DKG","MA_QH","DBV")</f>
        <v>0</v>
      </c>
      <c r="AF40" s="50">
        <f ca="1">+GETPIVOTDATA("XSB4",'sonbinh (2016)'!$A$3,"MA_HT","DKG","MA_QH","DVH")</f>
        <v>0</v>
      </c>
      <c r="AG40" s="50">
        <f ca="1">+GETPIVOTDATA("XSB4",'sonbinh (2016)'!$A$3,"MA_HT","DKG","MA_QH","DYT")</f>
        <v>0</v>
      </c>
      <c r="AH40" s="50">
        <f ca="1">+GETPIVOTDATA("XSB4",'sonbinh (2016)'!$A$3,"MA_HT","DKG","MA_QH","DGD")</f>
        <v>0</v>
      </c>
      <c r="AI40" s="50">
        <f ca="1">+GETPIVOTDATA("XSB4",'sonbinh (2016)'!$A$3,"MA_HT","DKG","MA_QH","DTT")</f>
        <v>0</v>
      </c>
      <c r="AJ40" s="50">
        <f ca="1">+GETPIVOTDATA("XSB4",'sonbinh (2016)'!$A$3,"MA_HT","DKG","MA_QH","NCK")</f>
        <v>0</v>
      </c>
      <c r="AK40" s="50">
        <f ca="1">+GETPIVOTDATA("XSB4",'sonbinh (2016)'!$A$3,"MA_HT","DKG","MA_QH","DXH")</f>
        <v>0</v>
      </c>
      <c r="AL40" s="60">
        <f ca="1">+GETPIVOTDATA("XSB4",'sonbinh (2016)'!$A$3,"MA_HT","DDT","MA_QH","DKG")</f>
        <v>0</v>
      </c>
      <c r="AM40" s="49" t="e">
        <f ca="1">$D40-$BF40</f>
        <v>#REF!</v>
      </c>
      <c r="AN40" s="50">
        <f ca="1">+GETPIVOTDATA("XSB4",'sonbinh (2016)'!$A$3,"MA_HT","DKG","MA_QH","DDT")</f>
        <v>0</v>
      </c>
      <c r="AO40" s="50">
        <f ca="1">+GETPIVOTDATA("XSB4",'sonbinh (2016)'!$A$3,"MA_HT","DKG","MA_QH","DDL")</f>
        <v>0</v>
      </c>
      <c r="AP40" s="50">
        <f ca="1">+GETPIVOTDATA("XSB4",'sonbinh (2016)'!$A$3,"MA_HT","DKG","MA_QH","DRA")</f>
        <v>0</v>
      </c>
      <c r="AQ40" s="50">
        <f ca="1">+GETPIVOTDATA("XSB4",'sonbinh (2016)'!$A$3,"MA_HT","DKG","MA_QH","ONT")</f>
        <v>0</v>
      </c>
      <c r="AR40" s="50">
        <f ca="1">+GETPIVOTDATA("XSB4",'sonbinh (2016)'!$A$3,"MA_HT","DKG","MA_QH","ODT")</f>
        <v>0</v>
      </c>
      <c r="AS40" s="50">
        <f ca="1">+GETPIVOTDATA("XSB4",'sonbinh (2016)'!$A$3,"MA_HT","DKG","MA_QH","TSC")</f>
        <v>0</v>
      </c>
      <c r="AT40" s="50">
        <f ca="1">+GETPIVOTDATA("XSB4",'sonbinh (2016)'!$A$3,"MA_HT","DKG","MA_QH","DTS")</f>
        <v>0</v>
      </c>
      <c r="AU40" s="50">
        <f ca="1">+GETPIVOTDATA("XSB4",'sonbinh (2016)'!$A$3,"MA_HT","DKG","MA_QH","DNG")</f>
        <v>0</v>
      </c>
      <c r="AV40" s="50">
        <f ca="1">+GETPIVOTDATA("XSB4",'sonbinh (2016)'!$A$3,"MA_HT","DKG","MA_QH","TON")</f>
        <v>0</v>
      </c>
      <c r="AW40" s="50">
        <f ca="1">+GETPIVOTDATA("XSB4",'sonbinh (2016)'!$A$3,"MA_HT","DKG","MA_QH","NTD")</f>
        <v>0</v>
      </c>
      <c r="AX40" s="50">
        <f ca="1">+GETPIVOTDATA("XSB4",'sonbinh (2016)'!$A$3,"MA_HT","DKG","MA_QH","SKX")</f>
        <v>0</v>
      </c>
      <c r="AY40" s="50">
        <f ca="1">+GETPIVOTDATA("XSB4",'sonbinh (2016)'!$A$3,"MA_HT","DKG","MA_QH","DSH")</f>
        <v>0</v>
      </c>
      <c r="AZ40" s="50">
        <f ca="1">+GETPIVOTDATA("XSB4",'sonbinh (2016)'!$A$3,"MA_HT","DKG","MA_QH","DKV")</f>
        <v>0</v>
      </c>
      <c r="BA40" s="88">
        <f ca="1">+GETPIVOTDATA("XSB4",'sonbinh (2016)'!$A$3,"MA_HT","DKG","MA_QH","TIN")</f>
        <v>0</v>
      </c>
      <c r="BB40" s="50">
        <f ca="1">+GETPIVOTDATA("XSB4",'sonbinh (2016)'!$A$3,"MA_HT","DKG","MA_QH","SON")</f>
        <v>0</v>
      </c>
      <c r="BC40" s="50">
        <f ca="1">+GETPIVOTDATA("XSB4",'sonbinh (2016)'!$A$3,"MA_HT","DKG","MA_QH","MNC")</f>
        <v>0</v>
      </c>
      <c r="BD40" s="50">
        <f ca="1">+GETPIVOTDATA("XSB4",'sonbinh (2016)'!$A$3,"MA_HT","DKG","MA_QH","PNK")</f>
        <v>0</v>
      </c>
      <c r="BE40" s="80">
        <f ca="1">+GETPIVOTDATA("XSB4",'sonbinh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+GETPIVOTDATA("XSB4",'sonbinh (2016)'!$A$3,"MA_HT","DDT","MA_QH","LUC")</f>
        <v>0</v>
      </c>
      <c r="H41" s="60">
        <f ca="1">+GETPIVOTDATA("XSB4",'sonbinh (2016)'!$A$3,"MA_HT","DDT","MA_QH","LUK")</f>
        <v>0</v>
      </c>
      <c r="I41" s="60">
        <f ca="1">+GETPIVOTDATA("XSB4",'sonbinh (2016)'!$A$3,"MA_HT","DDT","MA_QH","LUN")</f>
        <v>0</v>
      </c>
      <c r="J41" s="60">
        <f ca="1">+GETPIVOTDATA("XSB4",'sonbinh (2016)'!$A$3,"MA_HT","DDT","MA_QH","HNK")</f>
        <v>0</v>
      </c>
      <c r="K41" s="60">
        <f ca="1">+GETPIVOTDATA("XSB4",'sonbinh (2016)'!$A$3,"MA_HT","DDT","MA_QH","CLN")</f>
        <v>0</v>
      </c>
      <c r="L41" s="60">
        <f ca="1">+GETPIVOTDATA("XSB4",'sonbinh (2016)'!$A$3,"MA_HT","DDT","MA_QH","RSX")</f>
        <v>0</v>
      </c>
      <c r="M41" s="60">
        <f ca="1">+GETPIVOTDATA("XSB4",'sonbinh (2016)'!$A$3,"MA_HT","DDT","MA_QH","RPH")</f>
        <v>0</v>
      </c>
      <c r="N41" s="60">
        <f ca="1">+GETPIVOTDATA("XSB4",'sonbinh (2016)'!$A$3,"MA_HT","DDT","MA_QH","RDD")</f>
        <v>0</v>
      </c>
      <c r="O41" s="60">
        <f ca="1">+GETPIVOTDATA("XSB4",'sonbinh (2016)'!$A$3,"MA_HT","DDT","MA_QH","NTS")</f>
        <v>0</v>
      </c>
      <c r="P41" s="60">
        <f ca="1">+GETPIVOTDATA("XSB4",'sonbinh (2016)'!$A$3,"MA_HT","DDT","MA_QH","LMU")</f>
        <v>0</v>
      </c>
      <c r="Q41" s="60">
        <f ca="1">+GETPIVOTDATA("XSB4",'sonbinh (2016)'!$A$3,"MA_HT","DDT","MA_QH","NKH")</f>
        <v>0</v>
      </c>
      <c r="R41" s="78">
        <f ca="1">SUM(S41:AA41,AO41:BD41)</f>
        <v>0</v>
      </c>
      <c r="S41" s="60">
        <f ca="1">+GETPIVOTDATA("XSB4",'sonbinh (2016)'!$A$3,"MA_HT","DDT","MA_QH","CQP")</f>
        <v>0</v>
      </c>
      <c r="T41" s="60">
        <f ca="1">+GETPIVOTDATA("XSB4",'sonbinh (2016)'!$A$3,"MA_HT","DDT","MA_QH","CAN")</f>
        <v>0</v>
      </c>
      <c r="U41" s="60">
        <f ca="1">+GETPIVOTDATA("XSB4",'sonbinh (2016)'!$A$3,"MA_HT","DDT","MA_QH","SKK")</f>
        <v>0</v>
      </c>
      <c r="V41" s="60">
        <f ca="1">+GETPIVOTDATA("XSB4",'sonbinh (2016)'!$A$3,"MA_HT","DDT","MA_QH","SKT")</f>
        <v>0</v>
      </c>
      <c r="W41" s="60">
        <f ca="1">+GETPIVOTDATA("XSB4",'sonbinh (2016)'!$A$3,"MA_HT","DDT","MA_QH","SKN")</f>
        <v>0</v>
      </c>
      <c r="X41" s="60">
        <f ca="1">+GETPIVOTDATA("XSB4",'sonbinh (2016)'!$A$3,"MA_HT","DDT","MA_QH","TMD")</f>
        <v>0</v>
      </c>
      <c r="Y41" s="60">
        <f ca="1">+GETPIVOTDATA("XSB4",'sonbinh (2016)'!$A$3,"MA_HT","DDT","MA_QH","SKC")</f>
        <v>0</v>
      </c>
      <c r="Z41" s="60">
        <f ca="1">+GETPIVOTDATA("XSB4",'sonbinh (2016)'!$A$3,"MA_HT","DDT","MA_QH","SKS")</f>
        <v>0</v>
      </c>
      <c r="AA41" s="59">
        <f ca="1" t="shared" ref="AA41:AA58" si="21">+SUM(AB41:AM41)</f>
        <v>0</v>
      </c>
      <c r="AB41" s="60">
        <f ca="1">+GETPIVOTDATA("XSB4",'sonbinh (2016)'!$A$3,"MA_HT","DDT","MA_QH","DGT")</f>
        <v>0</v>
      </c>
      <c r="AC41" s="60">
        <f ca="1">+GETPIVOTDATA("XSB4",'sonbinh (2016)'!$A$3,"MA_HT","DDT","MA_QH","DTL")</f>
        <v>0</v>
      </c>
      <c r="AD41" s="60">
        <f ca="1">+GETPIVOTDATA("XSB4",'sonbinh (2016)'!$A$3,"MA_HT","DDT","MA_QH","DNL")</f>
        <v>0</v>
      </c>
      <c r="AE41" s="60">
        <f ca="1">+GETPIVOTDATA("XSB4",'sonbinh (2016)'!$A$3,"MA_HT","DDT","MA_QH","DBV")</f>
        <v>0</v>
      </c>
      <c r="AF41" s="60">
        <f ca="1">+GETPIVOTDATA("XSB4",'sonbinh (2016)'!$A$3,"MA_HT","DDT","MA_QH","DVH")</f>
        <v>0</v>
      </c>
      <c r="AG41" s="60">
        <f ca="1">+GETPIVOTDATA("XSB4",'sonbinh (2016)'!$A$3,"MA_HT","DDT","MA_QH","DYT")</f>
        <v>0</v>
      </c>
      <c r="AH41" s="60">
        <f ca="1">+GETPIVOTDATA("XSB4",'sonbinh (2016)'!$A$3,"MA_HT","DDT","MA_QH","DGD")</f>
        <v>0</v>
      </c>
      <c r="AI41" s="60">
        <f ca="1">+GETPIVOTDATA("XSB4",'sonbinh (2016)'!$A$3,"MA_HT","DDT","MA_QH","DTT")</f>
        <v>0</v>
      </c>
      <c r="AJ41" s="60">
        <f ca="1">+GETPIVOTDATA("XSB4",'sonbinh (2016)'!$A$3,"MA_HT","DDT","MA_QH","NCK")</f>
        <v>0</v>
      </c>
      <c r="AK41" s="60">
        <f ca="1">+GETPIVOTDATA("XSB4",'sonbinh (2016)'!$A$3,"MA_HT","DDT","MA_QH","DXH")</f>
        <v>0</v>
      </c>
      <c r="AL41" s="60">
        <f ca="1">+GETPIVOTDATA("XSB4",'sonbinh (2016)'!$A$3,"MA_HT","DDT","MA_QH","DCH")</f>
        <v>0</v>
      </c>
      <c r="AM41" s="60">
        <f ca="1">+GETPIVOTDATA("XSB4",'sonbinh (2016)'!$A$3,"MA_HT","DDT","MA_QH","DKG")</f>
        <v>0</v>
      </c>
      <c r="AN41" s="81" t="e">
        <f ca="1">$D41-$BF41</f>
        <v>#REF!</v>
      </c>
      <c r="AO41" s="60">
        <f ca="1">+GETPIVOTDATA("XSB4",'sonbinh (2016)'!$A$3,"MA_HT","DDT","MA_QH","DDL")</f>
        <v>0</v>
      </c>
      <c r="AP41" s="60">
        <f ca="1">+GETPIVOTDATA("XSB4",'sonbinh (2016)'!$A$3,"MA_HT","DDT","MA_QH","DRA")</f>
        <v>0</v>
      </c>
      <c r="AQ41" s="60">
        <f ca="1">+GETPIVOTDATA("XSB4",'sonbinh (2016)'!$A$3,"MA_HT","DDT","MA_QH","ONT")</f>
        <v>0</v>
      </c>
      <c r="AR41" s="60">
        <f ca="1">+GETPIVOTDATA("XSB4",'sonbinh (2016)'!$A$3,"MA_HT","DDT","MA_QH","ODT")</f>
        <v>0</v>
      </c>
      <c r="AS41" s="60">
        <f ca="1">+GETPIVOTDATA("XSB4",'sonbinh (2016)'!$A$3,"MA_HT","DDT","MA_QH","TSC")</f>
        <v>0</v>
      </c>
      <c r="AT41" s="60">
        <f ca="1">+GETPIVOTDATA("XSB4",'sonbinh (2016)'!$A$3,"MA_HT","DDT","MA_QH","DTS")</f>
        <v>0</v>
      </c>
      <c r="AU41" s="60">
        <f ca="1">+GETPIVOTDATA("XSB4",'sonbinh (2016)'!$A$3,"MA_HT","DDT","MA_QH","DNG")</f>
        <v>0</v>
      </c>
      <c r="AV41" s="60">
        <f ca="1">+GETPIVOTDATA("XSB4",'sonbinh (2016)'!$A$3,"MA_HT","DDT","MA_QH","TON")</f>
        <v>0</v>
      </c>
      <c r="AW41" s="60">
        <f ca="1">+GETPIVOTDATA("XSB4",'sonbinh (2016)'!$A$3,"MA_HT","DDT","MA_QH","NTD")</f>
        <v>0</v>
      </c>
      <c r="AX41" s="60">
        <f ca="1">+GETPIVOTDATA("XSB4",'sonbinh (2016)'!$A$3,"MA_HT","DDT","MA_QH","SKX")</f>
        <v>0</v>
      </c>
      <c r="AY41" s="60">
        <f ca="1">+GETPIVOTDATA("XSB4",'sonbinh (2016)'!$A$3,"MA_HT","DDT","MA_QH","DSH")</f>
        <v>0</v>
      </c>
      <c r="AZ41" s="60">
        <f ca="1">+GETPIVOTDATA("XSB4",'sonbinh (2016)'!$A$3,"MA_HT","DDT","MA_QH","DKV")</f>
        <v>0</v>
      </c>
      <c r="BA41" s="90">
        <f ca="1">+GETPIVOTDATA("XSB4",'sonbinh (2016)'!$A$3,"MA_HT","DDT","MA_QH","TIN")</f>
        <v>0</v>
      </c>
      <c r="BB41" s="91">
        <f ca="1">+GETPIVOTDATA("XSB4",'sonbinh (2016)'!$A$3,"MA_HT","DDT","MA_QH","SON")</f>
        <v>0</v>
      </c>
      <c r="BC41" s="91">
        <f ca="1">+GETPIVOTDATA("XSB4",'sonbinh (2016)'!$A$3,"MA_HT","DDT","MA_QH","MNC")</f>
        <v>0</v>
      </c>
      <c r="BD41" s="60">
        <f ca="1">+GETPIVOTDATA("XSB4",'sonbinh (2016)'!$A$3,"MA_HT","DDT","MA_QH","PNK")</f>
        <v>0</v>
      </c>
      <c r="BE41" s="111">
        <f ca="1">+GETPIVOTDATA("XSB4",'sonbinh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+GETPIVOTDATA("XSB4",'sonbinh (2016)'!$A$3,"MA_HT","DDL","MA_QH","LUC")</f>
        <v>0</v>
      </c>
      <c r="H42" s="22">
        <f ca="1">+GETPIVOTDATA("XSB4",'sonbinh (2016)'!$A$3,"MA_HT","DDL","MA_QH","LUK")</f>
        <v>0</v>
      </c>
      <c r="I42" s="22">
        <f ca="1">+GETPIVOTDATA("XSB4",'sonbinh (2016)'!$A$3,"MA_HT","DDL","MA_QH","LUN")</f>
        <v>0</v>
      </c>
      <c r="J42" s="22">
        <f ca="1">+GETPIVOTDATA("XSB4",'sonbinh (2016)'!$A$3,"MA_HT","DDL","MA_QH","HNK")</f>
        <v>0</v>
      </c>
      <c r="K42" s="22">
        <f ca="1">+GETPIVOTDATA("XSB4",'sonbinh (2016)'!$A$3,"MA_HT","DDL","MA_QH","CLN")</f>
        <v>0</v>
      </c>
      <c r="L42" s="22">
        <f ca="1">+GETPIVOTDATA("XSB4",'sonbinh (2016)'!$A$3,"MA_HT","DDL","MA_QH","RSX")</f>
        <v>0</v>
      </c>
      <c r="M42" s="22">
        <f ca="1">+GETPIVOTDATA("XSB4",'sonbinh (2016)'!$A$3,"MA_HT","DDL","MA_QH","RPH")</f>
        <v>0</v>
      </c>
      <c r="N42" s="22">
        <f ca="1">+GETPIVOTDATA("XSB4",'sonbinh (2016)'!$A$3,"MA_HT","DDL","MA_QH","RDD")</f>
        <v>0</v>
      </c>
      <c r="O42" s="22">
        <f ca="1">+GETPIVOTDATA("XSB4",'sonbinh (2016)'!$A$3,"MA_HT","DDL","MA_QH","NTS")</f>
        <v>0</v>
      </c>
      <c r="P42" s="22">
        <f ca="1">+GETPIVOTDATA("XSB4",'sonbinh (2016)'!$A$3,"MA_HT","DDL","MA_QH","LMU")</f>
        <v>0</v>
      </c>
      <c r="Q42" s="22">
        <f ca="1">+GETPIVOTDATA("XSB4",'sonbinh (2016)'!$A$3,"MA_HT","DDL","MA_QH","NKH")</f>
        <v>0</v>
      </c>
      <c r="R42" s="79">
        <f ca="1">SUM(S42:AA42,AN42,AP42:BD42)</f>
        <v>0</v>
      </c>
      <c r="S42" s="22">
        <f ca="1">+GETPIVOTDATA("XSB4",'sonbinh (2016)'!$A$3,"MA_HT","DDL","MA_QH","CQP")</f>
        <v>0</v>
      </c>
      <c r="T42" s="22">
        <f ca="1">+GETPIVOTDATA("XSB4",'sonbinh (2016)'!$A$3,"MA_HT","DDL","MA_QH","CAN")</f>
        <v>0</v>
      </c>
      <c r="U42" s="22">
        <f ca="1">+GETPIVOTDATA("XSB4",'sonbinh (2016)'!$A$3,"MA_HT","DDL","MA_QH","SKK")</f>
        <v>0</v>
      </c>
      <c r="V42" s="22">
        <f ca="1">+GETPIVOTDATA("XSB4",'sonbinh (2016)'!$A$3,"MA_HT","DDL","MA_QH","SKT")</f>
        <v>0</v>
      </c>
      <c r="W42" s="22">
        <f ca="1">+GETPIVOTDATA("XSB4",'sonbinh (2016)'!$A$3,"MA_HT","DDL","MA_QH","SKN")</f>
        <v>0</v>
      </c>
      <c r="X42" s="22">
        <f ca="1">+GETPIVOTDATA("XSB4",'sonbinh (2016)'!$A$3,"MA_HT","DDL","MA_QH","TMD")</f>
        <v>0</v>
      </c>
      <c r="Y42" s="22">
        <f ca="1">+GETPIVOTDATA("XSB4",'sonbinh (2016)'!$A$3,"MA_HT","DDL","MA_QH","SKC")</f>
        <v>0</v>
      </c>
      <c r="Z42" s="22">
        <f ca="1">+GETPIVOTDATA("XSB4",'sonbinh (2016)'!$A$3,"MA_HT","DDL","MA_QH","SKS")</f>
        <v>0</v>
      </c>
      <c r="AA42" s="52">
        <f ca="1" t="shared" si="21"/>
        <v>0</v>
      </c>
      <c r="AB42" s="22">
        <f ca="1">+GETPIVOTDATA("XSB4",'sonbinh (2016)'!$A$3,"MA_HT","DDL","MA_QH","DGT")</f>
        <v>0</v>
      </c>
      <c r="AC42" s="22">
        <f ca="1">+GETPIVOTDATA("XSB4",'sonbinh (2016)'!$A$3,"MA_HT","DDL","MA_QH","DTL")</f>
        <v>0</v>
      </c>
      <c r="AD42" s="22">
        <f ca="1">+GETPIVOTDATA("XSB4",'sonbinh (2016)'!$A$3,"MA_HT","DDL","MA_QH","DNL")</f>
        <v>0</v>
      </c>
      <c r="AE42" s="22">
        <f ca="1">+GETPIVOTDATA("XSB4",'sonbinh (2016)'!$A$3,"MA_HT","DDL","MA_QH","DBV")</f>
        <v>0</v>
      </c>
      <c r="AF42" s="22">
        <f ca="1">+GETPIVOTDATA("XSB4",'sonbinh (2016)'!$A$3,"MA_HT","DDL","MA_QH","DVH")</f>
        <v>0</v>
      </c>
      <c r="AG42" s="22">
        <f ca="1">+GETPIVOTDATA("XSB4",'sonbinh (2016)'!$A$3,"MA_HT","DDL","MA_QH","DYT")</f>
        <v>0</v>
      </c>
      <c r="AH42" s="22">
        <f ca="1">+GETPIVOTDATA("XSB4",'sonbinh (2016)'!$A$3,"MA_HT","DDL","MA_QH","DGD")</f>
        <v>0</v>
      </c>
      <c r="AI42" s="22">
        <f ca="1">+GETPIVOTDATA("XSB4",'sonbinh (2016)'!$A$3,"MA_HT","DDL","MA_QH","DTT")</f>
        <v>0</v>
      </c>
      <c r="AJ42" s="22">
        <f ca="1">+GETPIVOTDATA("XSB4",'sonbinh (2016)'!$A$3,"MA_HT","DDL","MA_QH","NCK")</f>
        <v>0</v>
      </c>
      <c r="AK42" s="22">
        <f ca="1">+GETPIVOTDATA("XSB4",'sonbinh (2016)'!$A$3,"MA_HT","DDL","MA_QH","DXH")</f>
        <v>0</v>
      </c>
      <c r="AL42" s="22">
        <f ca="1">+GETPIVOTDATA("XSB4",'sonbinh (2016)'!$A$3,"MA_HT","DDL","MA_QH","DCH")</f>
        <v>0</v>
      </c>
      <c r="AM42" s="22">
        <f ca="1">+GETPIVOTDATA("XSB4",'sonbinh (2016)'!$A$3,"MA_HT","DDL","MA_QH","DKG")</f>
        <v>0</v>
      </c>
      <c r="AN42" s="22">
        <f ca="1">+GETPIVOTDATA("XSB4",'sonbinh (2016)'!$A$3,"MA_HT","DDL","MA_QH","DDT")</f>
        <v>0</v>
      </c>
      <c r="AO42" s="43" t="e">
        <f ca="1">$D42-$BF42</f>
        <v>#REF!</v>
      </c>
      <c r="AP42" s="22">
        <f ca="1">+GETPIVOTDATA("XSB4",'sonbinh (2016)'!$A$3,"MA_HT","DDL","MA_QH","DRA")</f>
        <v>0</v>
      </c>
      <c r="AQ42" s="22">
        <f ca="1">+GETPIVOTDATA("XSB4",'sonbinh (2016)'!$A$3,"MA_HT","DDL","MA_QH","ONT")</f>
        <v>0</v>
      </c>
      <c r="AR42" s="22">
        <f ca="1">+GETPIVOTDATA("XSB4",'sonbinh (2016)'!$A$3,"MA_HT","DDL","MA_QH","ODT")</f>
        <v>0</v>
      </c>
      <c r="AS42" s="22">
        <f ca="1">+GETPIVOTDATA("XSB4",'sonbinh (2016)'!$A$3,"MA_HT","DDL","MA_QH","TSC")</f>
        <v>0</v>
      </c>
      <c r="AT42" s="22">
        <f ca="1">+GETPIVOTDATA("XSB4",'sonbinh (2016)'!$A$3,"MA_HT","DDL","MA_QH","DTS")</f>
        <v>0</v>
      </c>
      <c r="AU42" s="22">
        <f ca="1">+GETPIVOTDATA("XSB4",'sonbinh (2016)'!$A$3,"MA_HT","DDL","MA_QH","DNG")</f>
        <v>0</v>
      </c>
      <c r="AV42" s="22">
        <f ca="1">+GETPIVOTDATA("XSB4",'sonbinh (2016)'!$A$3,"MA_HT","DDL","MA_QH","TON")</f>
        <v>0</v>
      </c>
      <c r="AW42" s="22">
        <f ca="1">+GETPIVOTDATA("XSB4",'sonbinh (2016)'!$A$3,"MA_HT","DDL","MA_QH","NTD")</f>
        <v>0</v>
      </c>
      <c r="AX42" s="22">
        <f ca="1">+GETPIVOTDATA("XSB4",'sonbinh (2016)'!$A$3,"MA_HT","DDL","MA_QH","SKX")</f>
        <v>0</v>
      </c>
      <c r="AY42" s="22">
        <f ca="1">+GETPIVOTDATA("XSB4",'sonbinh (2016)'!$A$3,"MA_HT","DDL","MA_QH","DSH")</f>
        <v>0</v>
      </c>
      <c r="AZ42" s="22">
        <f ca="1">+GETPIVOTDATA("XSB4",'sonbinh (2016)'!$A$3,"MA_HT","DDL","MA_QH","DKV")</f>
        <v>0</v>
      </c>
      <c r="BA42" s="89">
        <f ca="1">+GETPIVOTDATA("XSB4",'sonbinh (2016)'!$A$3,"MA_HT","DDL","MA_QH","TIN")</f>
        <v>0</v>
      </c>
      <c r="BB42" s="50">
        <f ca="1">+GETPIVOTDATA("XSB4",'sonbinh (2016)'!$A$3,"MA_HT","DDL","MA_QH","SON")</f>
        <v>0</v>
      </c>
      <c r="BC42" s="50">
        <f ca="1">+GETPIVOTDATA("XSB4",'sonbinh (2016)'!$A$3,"MA_HT","DDL","MA_QH","MNC")</f>
        <v>0</v>
      </c>
      <c r="BD42" s="22">
        <f ca="1">+GETPIVOTDATA("XSB4",'sonbinh (2016)'!$A$3,"MA_HT","DDL","MA_QH","PNK")</f>
        <v>0</v>
      </c>
      <c r="BE42" s="71">
        <f ca="1">+GETPIVOTDATA("XSB4",'sonbinh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+GETPIVOTDATA("XSB4",'sonbinh (2016)'!$A$3,"MA_HT","DRA","MA_QH","LUC")</f>
        <v>0</v>
      </c>
      <c r="H43" s="22">
        <f ca="1">+GETPIVOTDATA("XSB4",'sonbinh (2016)'!$A$3,"MA_HT","DRA","MA_QH","LUK")</f>
        <v>0</v>
      </c>
      <c r="I43" s="22">
        <f ca="1">+GETPIVOTDATA("XSB4",'sonbinh (2016)'!$A$3,"MA_HT","DRA","MA_QH","LUN")</f>
        <v>0</v>
      </c>
      <c r="J43" s="22">
        <f ca="1">+GETPIVOTDATA("XSB4",'sonbinh (2016)'!$A$3,"MA_HT","DRA","MA_QH","HNK")</f>
        <v>0</v>
      </c>
      <c r="K43" s="22">
        <f ca="1">+GETPIVOTDATA("XSB4",'sonbinh (2016)'!$A$3,"MA_HT","DRA","MA_QH","CLN")</f>
        <v>0</v>
      </c>
      <c r="L43" s="22">
        <f ca="1">+GETPIVOTDATA("XSB4",'sonbinh (2016)'!$A$3,"MA_HT","DRA","MA_QH","RSX")</f>
        <v>0</v>
      </c>
      <c r="M43" s="22">
        <f ca="1">+GETPIVOTDATA("XSB4",'sonbinh (2016)'!$A$3,"MA_HT","DRA","MA_QH","RPH")</f>
        <v>0</v>
      </c>
      <c r="N43" s="22">
        <f ca="1">+GETPIVOTDATA("XSB4",'sonbinh (2016)'!$A$3,"MA_HT","DRA","MA_QH","RDD")</f>
        <v>0</v>
      </c>
      <c r="O43" s="22">
        <f ca="1">+GETPIVOTDATA("XSB4",'sonbinh (2016)'!$A$3,"MA_HT","DRA","MA_QH","NTS")</f>
        <v>0</v>
      </c>
      <c r="P43" s="22">
        <f ca="1">+GETPIVOTDATA("XSB4",'sonbinh (2016)'!$A$3,"MA_HT","DRA","MA_QH","LMU")</f>
        <v>0</v>
      </c>
      <c r="Q43" s="22">
        <f ca="1">+GETPIVOTDATA("XSB4",'sonbinh (2016)'!$A$3,"MA_HT","DRA","MA_QH","NKH")</f>
        <v>0</v>
      </c>
      <c r="R43" s="79">
        <f ca="1">SUM(S43:AA43,AN43:AO43,AQ43:BD43)</f>
        <v>0</v>
      </c>
      <c r="S43" s="22">
        <f ca="1">+GETPIVOTDATA("XSB4",'sonbinh (2016)'!$A$3,"MA_HT","DRA","MA_QH","CQP")</f>
        <v>0</v>
      </c>
      <c r="T43" s="22">
        <f ca="1">+GETPIVOTDATA("XSB4",'sonbinh (2016)'!$A$3,"MA_HT","DRA","MA_QH","CAN")</f>
        <v>0</v>
      </c>
      <c r="U43" s="22">
        <f ca="1">+GETPIVOTDATA("XSB4",'sonbinh (2016)'!$A$3,"MA_HT","DRA","MA_QH","SKK")</f>
        <v>0</v>
      </c>
      <c r="V43" s="22">
        <f ca="1">+GETPIVOTDATA("XSB4",'sonbinh (2016)'!$A$3,"MA_HT","DRA","MA_QH","SKT")</f>
        <v>0</v>
      </c>
      <c r="W43" s="22">
        <f ca="1">+GETPIVOTDATA("XSB4",'sonbinh (2016)'!$A$3,"MA_HT","DRA","MA_QH","SKN")</f>
        <v>0</v>
      </c>
      <c r="X43" s="22">
        <f ca="1">+GETPIVOTDATA("XSB4",'sonbinh (2016)'!$A$3,"MA_HT","DRA","MA_QH","TMD")</f>
        <v>0</v>
      </c>
      <c r="Y43" s="22">
        <f ca="1">+GETPIVOTDATA("XSB4",'sonbinh (2016)'!$A$3,"MA_HT","DRA","MA_QH","SKC")</f>
        <v>0</v>
      </c>
      <c r="Z43" s="22">
        <f ca="1">+GETPIVOTDATA("XSB4",'sonbinh (2016)'!$A$3,"MA_HT","DRA","MA_QH","SKS")</f>
        <v>0</v>
      </c>
      <c r="AA43" s="52">
        <f ca="1" t="shared" si="21"/>
        <v>0</v>
      </c>
      <c r="AB43" s="22">
        <f ca="1">+GETPIVOTDATA("XSB4",'sonbinh (2016)'!$A$3,"MA_HT","DRA","MA_QH","DGT")</f>
        <v>0</v>
      </c>
      <c r="AC43" s="22">
        <f ca="1">+GETPIVOTDATA("XSB4",'sonbinh (2016)'!$A$3,"MA_HT","DRA","MA_QH","DTL")</f>
        <v>0</v>
      </c>
      <c r="AD43" s="22">
        <f ca="1">+GETPIVOTDATA("XSB4",'sonbinh (2016)'!$A$3,"MA_HT","DRA","MA_QH","DNL")</f>
        <v>0</v>
      </c>
      <c r="AE43" s="22">
        <f ca="1">+GETPIVOTDATA("XSB4",'sonbinh (2016)'!$A$3,"MA_HT","DRA","MA_QH","DBV")</f>
        <v>0</v>
      </c>
      <c r="AF43" s="22">
        <f ca="1">+GETPIVOTDATA("XSB4",'sonbinh (2016)'!$A$3,"MA_HT","DRA","MA_QH","DVH")</f>
        <v>0</v>
      </c>
      <c r="AG43" s="22">
        <f ca="1">+GETPIVOTDATA("XSB4",'sonbinh (2016)'!$A$3,"MA_HT","DRA","MA_QH","DYT")</f>
        <v>0</v>
      </c>
      <c r="AH43" s="22">
        <f ca="1">+GETPIVOTDATA("XSB4",'sonbinh (2016)'!$A$3,"MA_HT","DRA","MA_QH","DGD")</f>
        <v>0</v>
      </c>
      <c r="AI43" s="22">
        <f ca="1">+GETPIVOTDATA("XSB4",'sonbinh (2016)'!$A$3,"MA_HT","DRA","MA_QH","DTT")</f>
        <v>0</v>
      </c>
      <c r="AJ43" s="22">
        <f ca="1">+GETPIVOTDATA("XSB4",'sonbinh (2016)'!$A$3,"MA_HT","DRA","MA_QH","NCK")</f>
        <v>0</v>
      </c>
      <c r="AK43" s="22">
        <f ca="1">+GETPIVOTDATA("XSB4",'sonbinh (2016)'!$A$3,"MA_HT","DRA","MA_QH","DXH")</f>
        <v>0</v>
      </c>
      <c r="AL43" s="22">
        <f ca="1">+GETPIVOTDATA("XSB4",'sonbinh (2016)'!$A$3,"MA_HT","DRA","MA_QH","DCH")</f>
        <v>0</v>
      </c>
      <c r="AM43" s="22">
        <f ca="1">+GETPIVOTDATA("XSB4",'sonbinh (2016)'!$A$3,"MA_HT","DRA","MA_QH","DKG")</f>
        <v>0</v>
      </c>
      <c r="AN43" s="22">
        <f ca="1">+GETPIVOTDATA("XSB4",'sonbinh (2016)'!$A$3,"MA_HT","DRA","MA_QH","DDT")</f>
        <v>0</v>
      </c>
      <c r="AO43" s="22">
        <f ca="1">+GETPIVOTDATA("XSB4",'sonbinh (2016)'!$A$3,"MA_HT","DRA","MA_QH","DDL")</f>
        <v>0</v>
      </c>
      <c r="AP43" s="43" t="e">
        <f ca="1">$D43-$BF43</f>
        <v>#REF!</v>
      </c>
      <c r="AQ43" s="22">
        <f ca="1">+GETPIVOTDATA("XSB4",'sonbinh (2016)'!$A$3,"MA_HT","DRA","MA_QH","ONT")</f>
        <v>0</v>
      </c>
      <c r="AR43" s="22">
        <f ca="1">+GETPIVOTDATA("XSB4",'sonbinh (2016)'!$A$3,"MA_HT","DRA","MA_QH","ODT")</f>
        <v>0</v>
      </c>
      <c r="AS43" s="22">
        <f ca="1">+GETPIVOTDATA("XSB4",'sonbinh (2016)'!$A$3,"MA_HT","DRA","MA_QH","TSC")</f>
        <v>0</v>
      </c>
      <c r="AT43" s="22">
        <f ca="1">+GETPIVOTDATA("XSB4",'sonbinh (2016)'!$A$3,"MA_HT","DRA","MA_QH","DTS")</f>
        <v>0</v>
      </c>
      <c r="AU43" s="22">
        <f ca="1">+GETPIVOTDATA("XSB4",'sonbinh (2016)'!$A$3,"MA_HT","DRA","MA_QH","DNG")</f>
        <v>0</v>
      </c>
      <c r="AV43" s="22">
        <f ca="1">+GETPIVOTDATA("XSB4",'sonbinh (2016)'!$A$3,"MA_HT","DRA","MA_QH","TON")</f>
        <v>0</v>
      </c>
      <c r="AW43" s="22">
        <f ca="1">+GETPIVOTDATA("XSB4",'sonbinh (2016)'!$A$3,"MA_HT","DRA","MA_QH","NTD")</f>
        <v>0</v>
      </c>
      <c r="AX43" s="22">
        <f ca="1">+GETPIVOTDATA("XSB4",'sonbinh (2016)'!$A$3,"MA_HT","DRA","MA_QH","SKX")</f>
        <v>0</v>
      </c>
      <c r="AY43" s="22">
        <f ca="1">+GETPIVOTDATA("XSB4",'sonbinh (2016)'!$A$3,"MA_HT","DRA","MA_QH","DSH")</f>
        <v>0</v>
      </c>
      <c r="AZ43" s="22">
        <f ca="1">+GETPIVOTDATA("XSB4",'sonbinh (2016)'!$A$3,"MA_HT","DRA","MA_QH","DKV")</f>
        <v>0</v>
      </c>
      <c r="BA43" s="89">
        <f ca="1">+GETPIVOTDATA("XSB4",'sonbinh (2016)'!$A$3,"MA_HT","DRA","MA_QH","TIN")</f>
        <v>0</v>
      </c>
      <c r="BB43" s="50">
        <f ca="1">+GETPIVOTDATA("XSB4",'sonbinh (2016)'!$A$3,"MA_HT","DRA","MA_QH","SON")</f>
        <v>0</v>
      </c>
      <c r="BC43" s="50">
        <f ca="1">+GETPIVOTDATA("XSB4",'sonbinh (2016)'!$A$3,"MA_HT","DRA","MA_QH","MNC")</f>
        <v>0</v>
      </c>
      <c r="BD43" s="22">
        <f ca="1">+GETPIVOTDATA("XSB4",'sonbinh (2016)'!$A$3,"MA_HT","DRA","MA_QH","PNK")</f>
        <v>0</v>
      </c>
      <c r="BE43" s="71">
        <f ca="1">+GETPIVOTDATA("XSB4",'sonbinh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+GETPIVOTDATA("XSB4",'sonbinh (2016)'!$A$3,"MA_HT","ONT","MA_QH","LUC")</f>
        <v>0</v>
      </c>
      <c r="H44" s="22">
        <f ca="1">+GETPIVOTDATA("XSB4",'sonbinh (2016)'!$A$3,"MA_HT","ONT","MA_QH","LUK")</f>
        <v>0</v>
      </c>
      <c r="I44" s="22">
        <f ca="1">+GETPIVOTDATA("XSB4",'sonbinh (2016)'!$A$3,"MA_HT","ONT","MA_QH","LUN")</f>
        <v>0</v>
      </c>
      <c r="J44" s="22">
        <f ca="1">+GETPIVOTDATA("XSB4",'sonbinh (2016)'!$A$3,"MA_HT","ONT","MA_QH","HNK")</f>
        <v>0</v>
      </c>
      <c r="K44" s="22">
        <f ca="1">+GETPIVOTDATA("XSB4",'sonbinh (2016)'!$A$3,"MA_HT","ONT","MA_QH","CLN")</f>
        <v>0</v>
      </c>
      <c r="L44" s="22">
        <f ca="1">+GETPIVOTDATA("XSB4",'sonbinh (2016)'!$A$3,"MA_HT","ONT","MA_QH","RSX")</f>
        <v>0</v>
      </c>
      <c r="M44" s="22">
        <f ca="1">+GETPIVOTDATA("XSB4",'sonbinh (2016)'!$A$3,"MA_HT","ONT","MA_QH","RPH")</f>
        <v>0</v>
      </c>
      <c r="N44" s="22">
        <f ca="1">+GETPIVOTDATA("XSB4",'sonbinh (2016)'!$A$3,"MA_HT","ONT","MA_QH","RDD")</f>
        <v>0</v>
      </c>
      <c r="O44" s="22">
        <f ca="1">+GETPIVOTDATA("XSB4",'sonbinh (2016)'!$A$3,"MA_HT","ONT","MA_QH","NTS")</f>
        <v>0</v>
      </c>
      <c r="P44" s="22">
        <f ca="1">+GETPIVOTDATA("XSB4",'sonbinh (2016)'!$A$3,"MA_HT","ONT","MA_QH","LMU")</f>
        <v>0</v>
      </c>
      <c r="Q44" s="22">
        <f ca="1">+GETPIVOTDATA("XSB4",'sonbinh (2016)'!$A$3,"MA_HT","ONT","MA_QH","NKH")</f>
        <v>0</v>
      </c>
      <c r="R44" s="79">
        <f ca="1">SUM(S44:AA44,AN44:AP44,AR44:BD44)</f>
        <v>0</v>
      </c>
      <c r="S44" s="22">
        <f ca="1">+GETPIVOTDATA("XSB4",'sonbinh (2016)'!$A$3,"MA_HT","ONT","MA_QH","CQP")</f>
        <v>0</v>
      </c>
      <c r="T44" s="22">
        <f ca="1">+GETPIVOTDATA("XSB4",'sonbinh (2016)'!$A$3,"MA_HT","ONT","MA_QH","CAN")</f>
        <v>0</v>
      </c>
      <c r="U44" s="22">
        <f ca="1">+GETPIVOTDATA("XSB4",'sonbinh (2016)'!$A$3,"MA_HT","ONT","MA_QH","SKK")</f>
        <v>0</v>
      </c>
      <c r="V44" s="22">
        <f ca="1">+GETPIVOTDATA("XSB4",'sonbinh (2016)'!$A$3,"MA_HT","ONT","MA_QH","SKT")</f>
        <v>0</v>
      </c>
      <c r="W44" s="22">
        <f ca="1">+GETPIVOTDATA("XSB4",'sonbinh (2016)'!$A$3,"MA_HT","ONT","MA_QH","SKN")</f>
        <v>0</v>
      </c>
      <c r="X44" s="22">
        <f ca="1">+GETPIVOTDATA("XSB4",'sonbinh (2016)'!$A$3,"MA_HT","ONT","MA_QH","TMD")</f>
        <v>0</v>
      </c>
      <c r="Y44" s="22">
        <f ca="1">+GETPIVOTDATA("XSB4",'sonbinh (2016)'!$A$3,"MA_HT","ONT","MA_QH","SKC")</f>
        <v>0</v>
      </c>
      <c r="Z44" s="22">
        <f ca="1">+GETPIVOTDATA("XSB4",'sonbinh (2016)'!$A$3,"MA_HT","ONT","MA_QH","SKS")</f>
        <v>0</v>
      </c>
      <c r="AA44" s="52">
        <f ca="1" t="shared" si="21"/>
        <v>0</v>
      </c>
      <c r="AB44" s="22">
        <f ca="1">+GETPIVOTDATA("XSB4",'sonbinh (2016)'!$A$3,"MA_HT","ONT","MA_QH","DGT")</f>
        <v>0</v>
      </c>
      <c r="AC44" s="22">
        <f ca="1">+GETPIVOTDATA("XSB4",'sonbinh (2016)'!$A$3,"MA_HT","ONT","MA_QH","DTL")</f>
        <v>0</v>
      </c>
      <c r="AD44" s="22">
        <f ca="1">+GETPIVOTDATA("XSB4",'sonbinh (2016)'!$A$3,"MA_HT","ONT","MA_QH","DNL")</f>
        <v>0</v>
      </c>
      <c r="AE44" s="22">
        <f ca="1">+GETPIVOTDATA("XSB4",'sonbinh (2016)'!$A$3,"MA_HT","ONT","MA_QH","DBV")</f>
        <v>0</v>
      </c>
      <c r="AF44" s="22">
        <f ca="1">+GETPIVOTDATA("XSB4",'sonbinh (2016)'!$A$3,"MA_HT","ONT","MA_QH","DVH")</f>
        <v>0</v>
      </c>
      <c r="AG44" s="22">
        <f ca="1">+GETPIVOTDATA("XSB4",'sonbinh (2016)'!$A$3,"MA_HT","ONT","MA_QH","DYT")</f>
        <v>0</v>
      </c>
      <c r="AH44" s="22">
        <f ca="1">+GETPIVOTDATA("XSB4",'sonbinh (2016)'!$A$3,"MA_HT","ONT","MA_QH","DGD")</f>
        <v>0</v>
      </c>
      <c r="AI44" s="22">
        <f ca="1">+GETPIVOTDATA("XSB4",'sonbinh (2016)'!$A$3,"MA_HT","ONT","MA_QH","DTT")</f>
        <v>0</v>
      </c>
      <c r="AJ44" s="22">
        <f ca="1">+GETPIVOTDATA("XSB4",'sonbinh (2016)'!$A$3,"MA_HT","ONT","MA_QH","NCK")</f>
        <v>0</v>
      </c>
      <c r="AK44" s="22">
        <f ca="1">+GETPIVOTDATA("XSB4",'sonbinh (2016)'!$A$3,"MA_HT","ONT","MA_QH","DXH")</f>
        <v>0</v>
      </c>
      <c r="AL44" s="22">
        <f ca="1">+GETPIVOTDATA("XSB4",'sonbinh (2016)'!$A$3,"MA_HT","ONT","MA_QH","DCH")</f>
        <v>0</v>
      </c>
      <c r="AM44" s="22">
        <f ca="1">+GETPIVOTDATA("XSB4",'sonbinh (2016)'!$A$3,"MA_HT","ONT","MA_QH","DKG")</f>
        <v>0</v>
      </c>
      <c r="AN44" s="22">
        <f ca="1">+GETPIVOTDATA("XSB4",'sonbinh (2016)'!$A$3,"MA_HT","ONT","MA_QH","DDT")</f>
        <v>0</v>
      </c>
      <c r="AO44" s="22">
        <f ca="1">+GETPIVOTDATA("XSB4",'sonbinh (2016)'!$A$3,"MA_HT","ONT","MA_QH","DDL")</f>
        <v>0</v>
      </c>
      <c r="AP44" s="22">
        <f ca="1">+GETPIVOTDATA("XSB4",'sonbinh (2016)'!$A$3,"MA_HT","ONT","MA_QH","DRA")</f>
        <v>0</v>
      </c>
      <c r="AQ44" s="43" t="e">
        <f ca="1">$D44-$BF44</f>
        <v>#REF!</v>
      </c>
      <c r="AR44" s="22">
        <f ca="1">+GETPIVOTDATA("XSB4",'sonbinh (2016)'!$A$3,"MA_HT","ONT","MA_QH","ODT")</f>
        <v>0</v>
      </c>
      <c r="AS44" s="22">
        <f ca="1">+GETPIVOTDATA("XSB4",'sonbinh (2016)'!$A$3,"MA_HT","ONT","MA_QH","TSC")</f>
        <v>0</v>
      </c>
      <c r="AT44" s="22">
        <f ca="1">+GETPIVOTDATA("XSB4",'sonbinh (2016)'!$A$3,"MA_HT","ONT","MA_QH","DTS")</f>
        <v>0</v>
      </c>
      <c r="AU44" s="22">
        <f ca="1">+GETPIVOTDATA("XSB4",'sonbinh (2016)'!$A$3,"MA_HT","ONT","MA_QH","DNG")</f>
        <v>0</v>
      </c>
      <c r="AV44" s="22">
        <f ca="1">+GETPIVOTDATA("XSB4",'sonbinh (2016)'!$A$3,"MA_HT","ONT","MA_QH","TON")</f>
        <v>0</v>
      </c>
      <c r="AW44" s="22">
        <f ca="1">+GETPIVOTDATA("XSB4",'sonbinh (2016)'!$A$3,"MA_HT","ONT","MA_QH","NTD")</f>
        <v>0</v>
      </c>
      <c r="AX44" s="22">
        <f ca="1">+GETPIVOTDATA("XSB4",'sonbinh (2016)'!$A$3,"MA_HT","ONT","MA_QH","SKX")</f>
        <v>0</v>
      </c>
      <c r="AY44" s="22">
        <f ca="1">+GETPIVOTDATA("XSB4",'sonbinh (2016)'!$A$3,"MA_HT","ONT","MA_QH","DSH")</f>
        <v>0</v>
      </c>
      <c r="AZ44" s="22">
        <f ca="1">+GETPIVOTDATA("XSB4",'sonbinh (2016)'!$A$3,"MA_HT","ONT","MA_QH","DKV")</f>
        <v>0</v>
      </c>
      <c r="BA44" s="89">
        <f ca="1">+GETPIVOTDATA("XSB4",'sonbinh (2016)'!$A$3,"MA_HT","ONT","MA_QH","TIN")</f>
        <v>0</v>
      </c>
      <c r="BB44" s="50">
        <f ca="1">+GETPIVOTDATA("XSB4",'sonbinh (2016)'!$A$3,"MA_HT","ONT","MA_QH","SON")</f>
        <v>0</v>
      </c>
      <c r="BC44" s="50">
        <f ca="1">+GETPIVOTDATA("XSB4",'sonbinh (2016)'!$A$3,"MA_HT","ONT","MA_QH","MNC")</f>
        <v>0</v>
      </c>
      <c r="BD44" s="22">
        <f ca="1">+GETPIVOTDATA("XSB4",'sonbinh (2016)'!$A$3,"MA_HT","ONT","MA_QH","PNK")</f>
        <v>0</v>
      </c>
      <c r="BE44" s="71">
        <f ca="1">+GETPIVOTDATA("XSB4",'sonbinh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+GETPIVOTDATA("XSB4",'sonbinh (2016)'!$A$3,"MA_HT","ODT","MA_QH","LUC")</f>
        <v>0</v>
      </c>
      <c r="H45" s="67">
        <f ca="1">+GETPIVOTDATA("XSB4",'sonbinh (2016)'!$A$3,"MA_HT","ODT","MA_QH","LUK")</f>
        <v>0</v>
      </c>
      <c r="I45" s="67">
        <f ca="1">+GETPIVOTDATA("XSB4",'sonbinh (2016)'!$A$3,"MA_HT","ODT","MA_QH","LUN")</f>
        <v>0</v>
      </c>
      <c r="J45" s="67">
        <f ca="1">+GETPIVOTDATA("XSB4",'sonbinh (2016)'!$A$3,"MA_HT","ODT","MA_QH","HNK")</f>
        <v>0</v>
      </c>
      <c r="K45" s="67">
        <f ca="1">+GETPIVOTDATA("XSB4",'sonbinh (2016)'!$A$3,"MA_HT","ODT","MA_QH","CLN")</f>
        <v>0</v>
      </c>
      <c r="L45" s="67">
        <f ca="1">+GETPIVOTDATA("XSB4",'sonbinh (2016)'!$A$3,"MA_HT","ODT","MA_QH","RSX")</f>
        <v>0</v>
      </c>
      <c r="M45" s="67">
        <f ca="1">+GETPIVOTDATA("XSB4",'sonbinh (2016)'!$A$3,"MA_HT","ODT","MA_QH","RPH")</f>
        <v>0</v>
      </c>
      <c r="N45" s="67">
        <f ca="1">+GETPIVOTDATA("XSB4",'sonbinh (2016)'!$A$3,"MA_HT","ODT","MA_QH","RDD")</f>
        <v>0</v>
      </c>
      <c r="O45" s="67">
        <f ca="1">+GETPIVOTDATA("XSB4",'sonbinh (2016)'!$A$3,"MA_HT","ODT","MA_QH","NTS")</f>
        <v>0</v>
      </c>
      <c r="P45" s="67">
        <f ca="1">+GETPIVOTDATA("XSB4",'sonbinh (2016)'!$A$3,"MA_HT","ODT","MA_QH","LMU")</f>
        <v>0</v>
      </c>
      <c r="Q45" s="67">
        <f ca="1">+GETPIVOTDATA("XSB4",'sonbinh (2016)'!$A$3,"MA_HT","ODT","MA_QH","NKH")</f>
        <v>0</v>
      </c>
      <c r="R45" s="79">
        <f ca="1">SUM(S45:AA45,AN45:AQ45,AS45:BD45)</f>
        <v>0</v>
      </c>
      <c r="S45" s="67">
        <f ca="1">+GETPIVOTDATA("XSB4",'sonbinh (2016)'!$A$3,"MA_HT","ODT","MA_QH","CQP")</f>
        <v>0</v>
      </c>
      <c r="T45" s="67">
        <f ca="1">+GETPIVOTDATA("XSB4",'sonbinh (2016)'!$A$3,"MA_HT","ODT","MA_QH","CAN")</f>
        <v>0</v>
      </c>
      <c r="U45" s="67">
        <f ca="1">+GETPIVOTDATA("XSB4",'sonbinh (2016)'!$A$3,"MA_HT","ODT","MA_QH","SKK")</f>
        <v>0</v>
      </c>
      <c r="V45" s="67">
        <f ca="1">+GETPIVOTDATA("XSB4",'sonbinh (2016)'!$A$3,"MA_HT","ODT","MA_QH","SKT")</f>
        <v>0</v>
      </c>
      <c r="W45" s="67">
        <f ca="1">+GETPIVOTDATA("XSB4",'sonbinh (2016)'!$A$3,"MA_HT","ODT","MA_QH","SKN")</f>
        <v>0</v>
      </c>
      <c r="X45" s="67">
        <f ca="1">+GETPIVOTDATA("XSB4",'sonbinh (2016)'!$A$3,"MA_HT","ODT","MA_QH","TMD")</f>
        <v>0</v>
      </c>
      <c r="Y45" s="67">
        <f ca="1">+GETPIVOTDATA("XSB4",'sonbinh (2016)'!$A$3,"MA_HT","ODT","MA_QH","SKC")</f>
        <v>0</v>
      </c>
      <c r="Z45" s="67">
        <f ca="1">+GETPIVOTDATA("XSB4",'sonbinh (2016)'!$A$3,"MA_HT","ODT","MA_QH","SKS")</f>
        <v>0</v>
      </c>
      <c r="AA45" s="66">
        <f ca="1" t="shared" si="21"/>
        <v>0</v>
      </c>
      <c r="AB45" s="67">
        <f ca="1">+GETPIVOTDATA("XSB4",'sonbinh (2016)'!$A$3,"MA_HT","ODT","MA_QH","DGT")</f>
        <v>0</v>
      </c>
      <c r="AC45" s="67">
        <f ca="1">+GETPIVOTDATA("XSB4",'sonbinh (2016)'!$A$3,"MA_HT","ODT","MA_QH","DTL")</f>
        <v>0</v>
      </c>
      <c r="AD45" s="67">
        <f ca="1">+GETPIVOTDATA("XSB4",'sonbinh (2016)'!$A$3,"MA_HT","ODT","MA_QH","DNL")</f>
        <v>0</v>
      </c>
      <c r="AE45" s="67">
        <f ca="1">+GETPIVOTDATA("XSB4",'sonbinh (2016)'!$A$3,"MA_HT","ODT","MA_QH","DBV")</f>
        <v>0</v>
      </c>
      <c r="AF45" s="67">
        <f ca="1">+GETPIVOTDATA("XSB4",'sonbinh (2016)'!$A$3,"MA_HT","ODT","MA_QH","DVH")</f>
        <v>0</v>
      </c>
      <c r="AG45" s="67">
        <f ca="1">+GETPIVOTDATA("XSB4",'sonbinh (2016)'!$A$3,"MA_HT","ODT","MA_QH","DYT")</f>
        <v>0</v>
      </c>
      <c r="AH45" s="67">
        <f ca="1">+GETPIVOTDATA("XSB4",'sonbinh (2016)'!$A$3,"MA_HT","ODT","MA_QH","DGD")</f>
        <v>0</v>
      </c>
      <c r="AI45" s="67">
        <f ca="1">+GETPIVOTDATA("XSB4",'sonbinh (2016)'!$A$3,"MA_HT","ODT","MA_QH","DTT")</f>
        <v>0</v>
      </c>
      <c r="AJ45" s="67">
        <f ca="1">+GETPIVOTDATA("XSB4",'sonbinh (2016)'!$A$3,"MA_HT","ODT","MA_QH","NCK")</f>
        <v>0</v>
      </c>
      <c r="AK45" s="67">
        <f ca="1">+GETPIVOTDATA("XSB4",'sonbinh (2016)'!$A$3,"MA_HT","ODT","MA_QH","DXH")</f>
        <v>0</v>
      </c>
      <c r="AL45" s="67">
        <f ca="1">+GETPIVOTDATA("XSB4",'sonbinh (2016)'!$A$3,"MA_HT","ODT","MA_QH","DCH")</f>
        <v>0</v>
      </c>
      <c r="AM45" s="67">
        <f ca="1">+GETPIVOTDATA("XSB4",'sonbinh (2016)'!$A$3,"MA_HT","ODT","MA_QH","DKG")</f>
        <v>0</v>
      </c>
      <c r="AN45" s="67">
        <f ca="1">+GETPIVOTDATA("XSB4",'sonbinh (2016)'!$A$3,"MA_HT","ODT","MA_QH","DDT")</f>
        <v>0</v>
      </c>
      <c r="AO45" s="67">
        <f ca="1">+GETPIVOTDATA("XSB4",'sonbinh (2016)'!$A$3,"MA_HT","ODT","MA_QH","DDL")</f>
        <v>0</v>
      </c>
      <c r="AP45" s="67">
        <f ca="1">+GETPIVOTDATA("XSB4",'sonbinh (2016)'!$A$3,"MA_HT","ODT","MA_QH","DRA")</f>
        <v>0</v>
      </c>
      <c r="AQ45" s="67">
        <f ca="1">+GETPIVOTDATA("XSB4",'sonbinh (2016)'!$A$3,"MA_HT","ODT","MA_QH","ONT")</f>
        <v>0</v>
      </c>
      <c r="AR45" s="82" t="e">
        <f ca="1">$D45-$BF45</f>
        <v>#REF!</v>
      </c>
      <c r="AS45" s="67">
        <f ca="1">+GETPIVOTDATA("XSB4",'sonbinh (2016)'!$A$3,"MA_HT","ODT","MA_QH","TSC")</f>
        <v>0</v>
      </c>
      <c r="AT45" s="67">
        <f ca="1">+GETPIVOTDATA("XSB4",'sonbinh (2016)'!$A$3,"MA_HT","ODT","MA_QH","DTS")</f>
        <v>0</v>
      </c>
      <c r="AU45" s="67">
        <f ca="1">+GETPIVOTDATA("XSB4",'sonbinh (2016)'!$A$3,"MA_HT","ODT","MA_QH","DNG")</f>
        <v>0</v>
      </c>
      <c r="AV45" s="67">
        <f ca="1">+GETPIVOTDATA("XSB4",'sonbinh (2016)'!$A$3,"MA_HT","ODT","MA_QH","TON")</f>
        <v>0</v>
      </c>
      <c r="AW45" s="67">
        <f ca="1">+GETPIVOTDATA("XSB4",'sonbinh (2016)'!$A$3,"MA_HT","ODT","MA_QH","NTD")</f>
        <v>0</v>
      </c>
      <c r="AX45" s="67">
        <f ca="1">+GETPIVOTDATA("XSB4",'sonbinh (2016)'!$A$3,"MA_HT","ODT","MA_QH","SKX")</f>
        <v>0</v>
      </c>
      <c r="AY45" s="67">
        <f ca="1">+GETPIVOTDATA("XSB4",'sonbinh (2016)'!$A$3,"MA_HT","ODT","MA_QH","DSH")</f>
        <v>0</v>
      </c>
      <c r="AZ45" s="67">
        <f ca="1">+GETPIVOTDATA("XSB4",'sonbinh (2016)'!$A$3,"MA_HT","ODT","MA_QH","DKV")</f>
        <v>0</v>
      </c>
      <c r="BA45" s="92">
        <f ca="1">+GETPIVOTDATA("XSB4",'sonbinh (2016)'!$A$3,"MA_HT","ODT","MA_QH","TIN")</f>
        <v>0</v>
      </c>
      <c r="BB45" s="93">
        <f ca="1">+GETPIVOTDATA("XSB4",'sonbinh (2016)'!$A$3,"MA_HT","ODT","MA_QH","SON")</f>
        <v>0</v>
      </c>
      <c r="BC45" s="93">
        <f ca="1">+GETPIVOTDATA("XSB4",'sonbinh (2016)'!$A$3,"MA_HT","ODT","MA_QH","MNC")</f>
        <v>0</v>
      </c>
      <c r="BD45" s="67">
        <f ca="1">+GETPIVOTDATA("XSB4",'sonbinh (2016)'!$A$3,"MA_HT","ODT","MA_QH","PNK")</f>
        <v>0</v>
      </c>
      <c r="BE45" s="116">
        <f ca="1">+GETPIVOTDATA("XSB4",'sonbinh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+GETPIVOTDATA("XSB4",'sonbinh (2016)'!$A$3,"MA_HT","TSC","MA_QH","LUC")</f>
        <v>0</v>
      </c>
      <c r="H46" s="22">
        <f ca="1">+GETPIVOTDATA("XSB4",'sonbinh (2016)'!$A$3,"MA_HT","TSC","MA_QH","LUK")</f>
        <v>0</v>
      </c>
      <c r="I46" s="22">
        <f ca="1">+GETPIVOTDATA("XSB4",'sonbinh (2016)'!$A$3,"MA_HT","TSC","MA_QH","LUN")</f>
        <v>0</v>
      </c>
      <c r="J46" s="22">
        <f ca="1">+GETPIVOTDATA("XSB4",'sonbinh (2016)'!$A$3,"MA_HT","TSC","MA_QH","HNK")</f>
        <v>0</v>
      </c>
      <c r="K46" s="22">
        <f ca="1">+GETPIVOTDATA("XSB4",'sonbinh (2016)'!$A$3,"MA_HT","TSC","MA_QH","CLN")</f>
        <v>0</v>
      </c>
      <c r="L46" s="22">
        <f ca="1">+GETPIVOTDATA("XSB4",'sonbinh (2016)'!$A$3,"MA_HT","TSC","MA_QH","RSX")</f>
        <v>0</v>
      </c>
      <c r="M46" s="22">
        <f ca="1">+GETPIVOTDATA("XSB4",'sonbinh (2016)'!$A$3,"MA_HT","TSC","MA_QH","RPH")</f>
        <v>0</v>
      </c>
      <c r="N46" s="22">
        <f ca="1">+GETPIVOTDATA("XSB4",'sonbinh (2016)'!$A$3,"MA_HT","TSC","MA_QH","RDD")</f>
        <v>0</v>
      </c>
      <c r="O46" s="22">
        <f ca="1">+GETPIVOTDATA("XSB4",'sonbinh (2016)'!$A$3,"MA_HT","TSC","MA_QH","NTS")</f>
        <v>0</v>
      </c>
      <c r="P46" s="22">
        <f ca="1">+GETPIVOTDATA("XSB4",'sonbinh (2016)'!$A$3,"MA_HT","TSC","MA_QH","LMU")</f>
        <v>0</v>
      </c>
      <c r="Q46" s="22">
        <f ca="1">+GETPIVOTDATA("XSB4",'sonbinh (2016)'!$A$3,"MA_HT","TSC","MA_QH","NKH")</f>
        <v>0</v>
      </c>
      <c r="R46" s="48">
        <f ca="1">SUM(S46:AA46,AN46:AR46,AT46:BD46)</f>
        <v>0</v>
      </c>
      <c r="S46" s="22">
        <f ca="1">+GETPIVOTDATA("XSB4",'sonbinh (2016)'!$A$3,"MA_HT","TSC","MA_QH","CQP")</f>
        <v>0</v>
      </c>
      <c r="T46" s="22">
        <f ca="1">+GETPIVOTDATA("XSB4",'sonbinh (2016)'!$A$3,"MA_HT","TSC","MA_QH","CAN")</f>
        <v>0</v>
      </c>
      <c r="U46" s="22">
        <f ca="1">+GETPIVOTDATA("XSB4",'sonbinh (2016)'!$A$3,"MA_HT","TSC","MA_QH","SKK")</f>
        <v>0</v>
      </c>
      <c r="V46" s="22">
        <f ca="1">+GETPIVOTDATA("XSB4",'sonbinh (2016)'!$A$3,"MA_HT","TSC","MA_QH","SKT")</f>
        <v>0</v>
      </c>
      <c r="W46" s="22">
        <f ca="1">+GETPIVOTDATA("XSB4",'sonbinh (2016)'!$A$3,"MA_HT","TSC","MA_QH","SKN")</f>
        <v>0</v>
      </c>
      <c r="X46" s="22">
        <f ca="1">+GETPIVOTDATA("XSB4",'sonbinh (2016)'!$A$3,"MA_HT","TSC","MA_QH","TMD")</f>
        <v>0</v>
      </c>
      <c r="Y46" s="22">
        <f ca="1">+GETPIVOTDATA("XSB4",'sonbinh (2016)'!$A$3,"MA_HT","TSC","MA_QH","SKC")</f>
        <v>0</v>
      </c>
      <c r="Z46" s="22">
        <f ca="1">+GETPIVOTDATA("XSB4",'sonbinh (2016)'!$A$3,"MA_HT","TSC","MA_QH","SKS")</f>
        <v>0</v>
      </c>
      <c r="AA46" s="52">
        <f ca="1" t="shared" si="21"/>
        <v>0</v>
      </c>
      <c r="AB46" s="22">
        <f ca="1">+GETPIVOTDATA("XSB4",'sonbinh (2016)'!$A$3,"MA_HT","TSC","MA_QH","DGT")</f>
        <v>0</v>
      </c>
      <c r="AC46" s="22">
        <f ca="1">+GETPIVOTDATA("XSB4",'sonbinh (2016)'!$A$3,"MA_HT","TSC","MA_QH","DTL")</f>
        <v>0</v>
      </c>
      <c r="AD46" s="22">
        <f ca="1">+GETPIVOTDATA("XSB4",'sonbinh (2016)'!$A$3,"MA_HT","TSC","MA_QH","DNL")</f>
        <v>0</v>
      </c>
      <c r="AE46" s="22">
        <f ca="1">+GETPIVOTDATA("XSB4",'sonbinh (2016)'!$A$3,"MA_HT","TSC","MA_QH","DBV")</f>
        <v>0</v>
      </c>
      <c r="AF46" s="22">
        <f ca="1">+GETPIVOTDATA("XSB4",'sonbinh (2016)'!$A$3,"MA_HT","TSC","MA_QH","DVH")</f>
        <v>0</v>
      </c>
      <c r="AG46" s="22">
        <f ca="1">+GETPIVOTDATA("XSB4",'sonbinh (2016)'!$A$3,"MA_HT","TSC","MA_QH","DYT")</f>
        <v>0</v>
      </c>
      <c r="AH46" s="22">
        <f ca="1">+GETPIVOTDATA("XSB4",'sonbinh (2016)'!$A$3,"MA_HT","TSC","MA_QH","DGD")</f>
        <v>0</v>
      </c>
      <c r="AI46" s="22">
        <f ca="1">+GETPIVOTDATA("XSB4",'sonbinh (2016)'!$A$3,"MA_HT","TSC","MA_QH","DTT")</f>
        <v>0</v>
      </c>
      <c r="AJ46" s="22">
        <f ca="1">+GETPIVOTDATA("XSB4",'sonbinh (2016)'!$A$3,"MA_HT","TSC","MA_QH","NCK")</f>
        <v>0</v>
      </c>
      <c r="AK46" s="22">
        <f ca="1">+GETPIVOTDATA("XSB4",'sonbinh (2016)'!$A$3,"MA_HT","TSC","MA_QH","DXH")</f>
        <v>0</v>
      </c>
      <c r="AL46" s="22">
        <f ca="1">+GETPIVOTDATA("XSB4",'sonbinh (2016)'!$A$3,"MA_HT","TSC","MA_QH","DCH")</f>
        <v>0</v>
      </c>
      <c r="AM46" s="22">
        <f ca="1">+GETPIVOTDATA("XSB4",'sonbinh (2016)'!$A$3,"MA_HT","TSC","MA_QH","DKG")</f>
        <v>0</v>
      </c>
      <c r="AN46" s="22">
        <f ca="1">+GETPIVOTDATA("XSB4",'sonbinh (2016)'!$A$3,"MA_HT","TSC","MA_QH","DDT")</f>
        <v>0</v>
      </c>
      <c r="AO46" s="22">
        <f ca="1">+GETPIVOTDATA("XSB4",'sonbinh (2016)'!$A$3,"MA_HT","TSC","MA_QH","DDL")</f>
        <v>0</v>
      </c>
      <c r="AP46" s="22">
        <f ca="1">+GETPIVOTDATA("XSB4",'sonbinh (2016)'!$A$3,"MA_HT","TSC","MA_QH","DRA")</f>
        <v>0</v>
      </c>
      <c r="AQ46" s="22">
        <f ca="1">+GETPIVOTDATA("XSB4",'sonbinh (2016)'!$A$3,"MA_HT","TSC","MA_QH","ONT")</f>
        <v>0</v>
      </c>
      <c r="AR46" s="22">
        <f ca="1">+GETPIVOTDATA("XSB4",'sonbinh (2016)'!$A$3,"MA_HT","TSC","MA_QH","ODT")</f>
        <v>0</v>
      </c>
      <c r="AS46" s="43" t="e">
        <f ca="1">$D46-$BF46</f>
        <v>#REF!</v>
      </c>
      <c r="AT46" s="22">
        <f ca="1">+GETPIVOTDATA("XSB4",'sonbinh (2016)'!$A$3,"MA_HT","TSC","MA_QH","DTS")</f>
        <v>0</v>
      </c>
      <c r="AU46" s="22">
        <f ca="1">+GETPIVOTDATA("XSB4",'sonbinh (2016)'!$A$3,"MA_HT","TSC","MA_QH","DNG")</f>
        <v>0</v>
      </c>
      <c r="AV46" s="22">
        <f ca="1">+GETPIVOTDATA("XSB4",'sonbinh (2016)'!$A$3,"MA_HT","TSC","MA_QH","TON")</f>
        <v>0</v>
      </c>
      <c r="AW46" s="22">
        <f ca="1">+GETPIVOTDATA("XSB4",'sonbinh (2016)'!$A$3,"MA_HT","TSC","MA_QH","NTD")</f>
        <v>0</v>
      </c>
      <c r="AX46" s="22">
        <f ca="1">+GETPIVOTDATA("XSB4",'sonbinh (2016)'!$A$3,"MA_HT","TSC","MA_QH","SKX")</f>
        <v>0</v>
      </c>
      <c r="AY46" s="22">
        <f ca="1">+GETPIVOTDATA("XSB4",'sonbinh (2016)'!$A$3,"MA_HT","TSC","MA_QH","DSH")</f>
        <v>0</v>
      </c>
      <c r="AZ46" s="22">
        <f ca="1">+GETPIVOTDATA("XSB4",'sonbinh (2016)'!$A$3,"MA_HT","TSC","MA_QH","DKV")</f>
        <v>0</v>
      </c>
      <c r="BA46" s="89">
        <f ca="1">+GETPIVOTDATA("XSB4",'sonbinh (2016)'!$A$3,"MA_HT","TSC","MA_QH","TIN")</f>
        <v>0</v>
      </c>
      <c r="BB46" s="50">
        <f ca="1">+GETPIVOTDATA("XSB4",'sonbinh (2016)'!$A$3,"MA_HT","TSC","MA_QH","SON")</f>
        <v>0</v>
      </c>
      <c r="BC46" s="50">
        <f ca="1">+GETPIVOTDATA("XSB4",'sonbinh (2016)'!$A$3,"MA_HT","TSC","MA_QH","MNC")</f>
        <v>0</v>
      </c>
      <c r="BD46" s="22">
        <f ca="1">+GETPIVOTDATA("XSB4",'sonbinh (2016)'!$A$3,"MA_HT","TSC","MA_QH","PNK")</f>
        <v>0</v>
      </c>
      <c r="BE46" s="71">
        <f ca="1">+GETPIVOTDATA("XSB4",'sonbinh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+GETPIVOTDATA("XSB4",'sonbinh (2016)'!$A$3,"MA_HT","DTS","MA_QH","LUC")</f>
        <v>0</v>
      </c>
      <c r="H47" s="60">
        <f ca="1">+GETPIVOTDATA("XSB4",'sonbinh (2016)'!$A$3,"MA_HT","DTS","MA_QH","LUK")</f>
        <v>0</v>
      </c>
      <c r="I47" s="60">
        <f ca="1">+GETPIVOTDATA("XSB4",'sonbinh (2016)'!$A$3,"MA_HT","DTS","MA_QH","LUN")</f>
        <v>0</v>
      </c>
      <c r="J47" s="60">
        <f ca="1">+GETPIVOTDATA("XSB4",'sonbinh (2016)'!$A$3,"MA_HT","DTS","MA_QH","HNK")</f>
        <v>0</v>
      </c>
      <c r="K47" s="60">
        <f ca="1">+GETPIVOTDATA("XSB4",'sonbinh (2016)'!$A$3,"MA_HT","DTS","MA_QH","CLN")</f>
        <v>0</v>
      </c>
      <c r="L47" s="60">
        <f ca="1">+GETPIVOTDATA("XSB4",'sonbinh (2016)'!$A$3,"MA_HT","DTS","MA_QH","RSX")</f>
        <v>0</v>
      </c>
      <c r="M47" s="60">
        <f ca="1">+GETPIVOTDATA("XSB4",'sonbinh (2016)'!$A$3,"MA_HT","DTS","MA_QH","RPH")</f>
        <v>0</v>
      </c>
      <c r="N47" s="60">
        <f ca="1">+GETPIVOTDATA("XSB4",'sonbinh (2016)'!$A$3,"MA_HT","DTS","MA_QH","RDD")</f>
        <v>0</v>
      </c>
      <c r="O47" s="60">
        <f ca="1">+GETPIVOTDATA("XSB4",'sonbinh (2016)'!$A$3,"MA_HT","DTS","MA_QH","NTS")</f>
        <v>0</v>
      </c>
      <c r="P47" s="60">
        <f ca="1">+GETPIVOTDATA("XSB4",'sonbinh (2016)'!$A$3,"MA_HT","DTS","MA_QH","LMU")</f>
        <v>0</v>
      </c>
      <c r="Q47" s="60">
        <f ca="1">+GETPIVOTDATA("XSB4",'sonbinh (2016)'!$A$3,"MA_HT","DTS","MA_QH","NKH")</f>
        <v>0</v>
      </c>
      <c r="R47" s="78">
        <f ca="1">SUM(S47:AA47,AN47:AS47,AU47:BD47)</f>
        <v>0</v>
      </c>
      <c r="S47" s="60">
        <f ca="1">+GETPIVOTDATA("XSB4",'sonbinh (2016)'!$A$3,"MA_HT","DTS","MA_QH","CQP")</f>
        <v>0</v>
      </c>
      <c r="T47" s="60">
        <f ca="1">+GETPIVOTDATA("XSB4",'sonbinh (2016)'!$A$3,"MA_HT","DTS","MA_QH","CAN")</f>
        <v>0</v>
      </c>
      <c r="U47" s="60">
        <f ca="1">+GETPIVOTDATA("XSB4",'sonbinh (2016)'!$A$3,"MA_HT","DTS","MA_QH","SKK")</f>
        <v>0</v>
      </c>
      <c r="V47" s="60">
        <f ca="1">+GETPIVOTDATA("XSB4",'sonbinh (2016)'!$A$3,"MA_HT","DTS","MA_QH","SKT")</f>
        <v>0</v>
      </c>
      <c r="W47" s="60">
        <f ca="1">+GETPIVOTDATA("XSB4",'sonbinh (2016)'!$A$3,"MA_HT","DTS","MA_QH","SKN")</f>
        <v>0</v>
      </c>
      <c r="X47" s="60">
        <f ca="1">+GETPIVOTDATA("XSB4",'sonbinh (2016)'!$A$3,"MA_HT","DTS","MA_QH","TMD")</f>
        <v>0</v>
      </c>
      <c r="Y47" s="60">
        <f ca="1">+GETPIVOTDATA("XSB4",'sonbinh (2016)'!$A$3,"MA_HT","DTS","MA_QH","SKC")</f>
        <v>0</v>
      </c>
      <c r="Z47" s="60">
        <f ca="1">+GETPIVOTDATA("XSB4",'sonbinh (2016)'!$A$3,"MA_HT","DTS","MA_QH","SKS")</f>
        <v>0</v>
      </c>
      <c r="AA47" s="59">
        <f ca="1" t="shared" si="21"/>
        <v>0</v>
      </c>
      <c r="AB47" s="60">
        <f ca="1">+GETPIVOTDATA("XSB4",'sonbinh (2016)'!$A$3,"MA_HT","DTS","MA_QH","DGT")</f>
        <v>0</v>
      </c>
      <c r="AC47" s="60">
        <f ca="1">+GETPIVOTDATA("XSB4",'sonbinh (2016)'!$A$3,"MA_HT","DTS","MA_QH","DTL")</f>
        <v>0</v>
      </c>
      <c r="AD47" s="60">
        <f ca="1">+GETPIVOTDATA("XSB4",'sonbinh (2016)'!$A$3,"MA_HT","DTS","MA_QH","DNL")</f>
        <v>0</v>
      </c>
      <c r="AE47" s="60">
        <f ca="1">+GETPIVOTDATA("XSB4",'sonbinh (2016)'!$A$3,"MA_HT","DTS","MA_QH","DBV")</f>
        <v>0</v>
      </c>
      <c r="AF47" s="60">
        <f ca="1">+GETPIVOTDATA("XSB4",'sonbinh (2016)'!$A$3,"MA_HT","DTS","MA_QH","DVH")</f>
        <v>0</v>
      </c>
      <c r="AG47" s="60">
        <f ca="1">+GETPIVOTDATA("XSB4",'sonbinh (2016)'!$A$3,"MA_HT","DTS","MA_QH","DYT")</f>
        <v>0</v>
      </c>
      <c r="AH47" s="60">
        <f ca="1">+GETPIVOTDATA("XSB4",'sonbinh (2016)'!$A$3,"MA_HT","DTS","MA_QH","DGD")</f>
        <v>0</v>
      </c>
      <c r="AI47" s="60">
        <f ca="1">+GETPIVOTDATA("XSB4",'sonbinh (2016)'!$A$3,"MA_HT","DTS","MA_QH","DTT")</f>
        <v>0</v>
      </c>
      <c r="AJ47" s="60">
        <f ca="1">+GETPIVOTDATA("XSB4",'sonbinh (2016)'!$A$3,"MA_HT","DTS","MA_QH","NCK")</f>
        <v>0</v>
      </c>
      <c r="AK47" s="60">
        <f ca="1">+GETPIVOTDATA("XSB4",'sonbinh (2016)'!$A$3,"MA_HT","DTS","MA_QH","DXH")</f>
        <v>0</v>
      </c>
      <c r="AL47" s="60">
        <f ca="1">+GETPIVOTDATA("XSB4",'sonbinh (2016)'!$A$3,"MA_HT","DTS","MA_QH","DCH")</f>
        <v>0</v>
      </c>
      <c r="AM47" s="60">
        <f ca="1">+GETPIVOTDATA("XSB4",'sonbinh (2016)'!$A$3,"MA_HT","DTS","MA_QH","DKG")</f>
        <v>0</v>
      </c>
      <c r="AN47" s="60">
        <f ca="1">+GETPIVOTDATA("XSB4",'sonbinh (2016)'!$A$3,"MA_HT","DTS","MA_QH","DDT")</f>
        <v>0</v>
      </c>
      <c r="AO47" s="60">
        <f ca="1">+GETPIVOTDATA("XSB4",'sonbinh (2016)'!$A$3,"MA_HT","DTS","MA_QH","DDL")</f>
        <v>0</v>
      </c>
      <c r="AP47" s="60">
        <f ca="1">+GETPIVOTDATA("XSB4",'sonbinh (2016)'!$A$3,"MA_HT","DTS","MA_QH","DRA")</f>
        <v>0</v>
      </c>
      <c r="AQ47" s="60">
        <f ca="1">+GETPIVOTDATA("XSB4",'sonbinh (2016)'!$A$3,"MA_HT","DTS","MA_QH","ONT")</f>
        <v>0</v>
      </c>
      <c r="AR47" s="60">
        <f ca="1">+GETPIVOTDATA("XSB4",'sonbinh (2016)'!$A$3,"MA_HT","DTS","MA_QH","ODT")</f>
        <v>0</v>
      </c>
      <c r="AS47" s="60">
        <f ca="1">+GETPIVOTDATA("XSB4",'sonbinh (2016)'!$A$3,"MA_HT","DTS","MA_QH","TSC")</f>
        <v>0</v>
      </c>
      <c r="AT47" s="81" t="e">
        <f ca="1">$D47-$BF47</f>
        <v>#REF!</v>
      </c>
      <c r="AU47" s="60">
        <f ca="1">+GETPIVOTDATA("XSB4",'sonbinh (2016)'!$A$3,"MA_HT","DTS","MA_QH","DNG")</f>
        <v>0</v>
      </c>
      <c r="AV47" s="60">
        <f ca="1">+GETPIVOTDATA("XSB4",'sonbinh (2016)'!$A$3,"MA_HT","DTS","MA_QH","TON")</f>
        <v>0</v>
      </c>
      <c r="AW47" s="60">
        <f ca="1">+GETPIVOTDATA("XSB4",'sonbinh (2016)'!$A$3,"MA_HT","DTS","MA_QH","NTD")</f>
        <v>0</v>
      </c>
      <c r="AX47" s="60">
        <f ca="1">+GETPIVOTDATA("XSB4",'sonbinh (2016)'!$A$3,"MA_HT","DTS","MA_QH","SKX")</f>
        <v>0</v>
      </c>
      <c r="AY47" s="60">
        <f ca="1">+GETPIVOTDATA("XSB4",'sonbinh (2016)'!$A$3,"MA_HT","DTS","MA_QH","DSH")</f>
        <v>0</v>
      </c>
      <c r="AZ47" s="60">
        <f ca="1">+GETPIVOTDATA("XSB4",'sonbinh (2016)'!$A$3,"MA_HT","DTS","MA_QH","DKV")</f>
        <v>0</v>
      </c>
      <c r="BA47" s="90">
        <f ca="1">+GETPIVOTDATA("XSB4",'sonbinh (2016)'!$A$3,"MA_HT","DTS","MA_QH","TIN")</f>
        <v>0</v>
      </c>
      <c r="BB47" s="91">
        <f ca="1">+GETPIVOTDATA("XSB4",'sonbinh (2016)'!$A$3,"MA_HT","DTS","MA_QH","SON")</f>
        <v>0</v>
      </c>
      <c r="BC47" s="91">
        <f ca="1">+GETPIVOTDATA("XSB4",'sonbinh (2016)'!$A$3,"MA_HT","DTS","MA_QH","MNC")</f>
        <v>0</v>
      </c>
      <c r="BD47" s="60">
        <f ca="1">+GETPIVOTDATA("XSB4",'sonbinh (2016)'!$A$3,"MA_HT","DTS","MA_QH","PNK")</f>
        <v>0</v>
      </c>
      <c r="BE47" s="111">
        <f ca="1">+GETPIVOTDATA("XSB4",'sonbinh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+GETPIVOTDATA("XSB4",'sonbinh (2016)'!$A$3,"MA_HT","DNG","MA_QH","LUC")</f>
        <v>0</v>
      </c>
      <c r="H48" s="22">
        <f ca="1">+GETPIVOTDATA("XSB4",'sonbinh (2016)'!$A$3,"MA_HT","DNG","MA_QH","LUK")</f>
        <v>0</v>
      </c>
      <c r="I48" s="22">
        <f ca="1">+GETPIVOTDATA("XSB4",'sonbinh (2016)'!$A$3,"MA_HT","DNG","MA_QH","LUN")</f>
        <v>0</v>
      </c>
      <c r="J48" s="22">
        <f ca="1">+GETPIVOTDATA("XSB4",'sonbinh (2016)'!$A$3,"MA_HT","DNG","MA_QH","HNK")</f>
        <v>0</v>
      </c>
      <c r="K48" s="22">
        <f ca="1">+GETPIVOTDATA("XSB4",'sonbinh (2016)'!$A$3,"MA_HT","DNG","MA_QH","CLN")</f>
        <v>0</v>
      </c>
      <c r="L48" s="22">
        <f ca="1">+GETPIVOTDATA("XSB4",'sonbinh (2016)'!$A$3,"MA_HT","DNG","MA_QH","RSX")</f>
        <v>0</v>
      </c>
      <c r="M48" s="22">
        <f ca="1">+GETPIVOTDATA("XSB4",'sonbinh (2016)'!$A$3,"MA_HT","DNG","MA_QH","RPH")</f>
        <v>0</v>
      </c>
      <c r="N48" s="22">
        <f ca="1">+GETPIVOTDATA("XSB4",'sonbinh (2016)'!$A$3,"MA_HT","DNG","MA_QH","RDD")</f>
        <v>0</v>
      </c>
      <c r="O48" s="22">
        <f ca="1">+GETPIVOTDATA("XSB4",'sonbinh (2016)'!$A$3,"MA_HT","DNG","MA_QH","NTS")</f>
        <v>0</v>
      </c>
      <c r="P48" s="22">
        <f ca="1">+GETPIVOTDATA("XSB4",'sonbinh (2016)'!$A$3,"MA_HT","DNG","MA_QH","LMU")</f>
        <v>0</v>
      </c>
      <c r="Q48" s="22">
        <f ca="1">+GETPIVOTDATA("XSB4",'sonbinh (2016)'!$A$3,"MA_HT","DNG","MA_QH","NKH")</f>
        <v>0</v>
      </c>
      <c r="R48" s="79">
        <f ca="1">SUM(S48:AA48,AN48:AT48,AV48:BD48)</f>
        <v>0</v>
      </c>
      <c r="S48" s="22">
        <f ca="1">+GETPIVOTDATA("XSB4",'sonbinh (2016)'!$A$3,"MA_HT","DNG","MA_QH","CQP")</f>
        <v>0</v>
      </c>
      <c r="T48" s="22">
        <f ca="1">+GETPIVOTDATA("XSB4",'sonbinh (2016)'!$A$3,"MA_HT","DNG","MA_QH","CAN")</f>
        <v>0</v>
      </c>
      <c r="U48" s="22">
        <f ca="1">+GETPIVOTDATA("XSB4",'sonbinh (2016)'!$A$3,"MA_HT","DNG","MA_QH","SKK")</f>
        <v>0</v>
      </c>
      <c r="V48" s="22">
        <f ca="1">+GETPIVOTDATA("XSB4",'sonbinh (2016)'!$A$3,"MA_HT","DNG","MA_QH","SKT")</f>
        <v>0</v>
      </c>
      <c r="W48" s="22">
        <f ca="1">+GETPIVOTDATA("XSB4",'sonbinh (2016)'!$A$3,"MA_HT","DNG","MA_QH","SKN")</f>
        <v>0</v>
      </c>
      <c r="X48" s="22">
        <f ca="1">+GETPIVOTDATA("XSB4",'sonbinh (2016)'!$A$3,"MA_HT","DNG","MA_QH","TMD")</f>
        <v>0</v>
      </c>
      <c r="Y48" s="22">
        <f ca="1">+GETPIVOTDATA("XSB4",'sonbinh (2016)'!$A$3,"MA_HT","DNG","MA_QH","SKC")</f>
        <v>0</v>
      </c>
      <c r="Z48" s="22">
        <f ca="1">+GETPIVOTDATA("XSB4",'sonbinh (2016)'!$A$3,"MA_HT","DNG","MA_QH","SKS")</f>
        <v>0</v>
      </c>
      <c r="AA48" s="52">
        <f ca="1" t="shared" si="21"/>
        <v>0</v>
      </c>
      <c r="AB48" s="22">
        <f ca="1">+GETPIVOTDATA("XSB4",'sonbinh (2016)'!$A$3,"MA_HT","DNG","MA_QH","DGT")</f>
        <v>0</v>
      </c>
      <c r="AC48" s="22">
        <f ca="1">+GETPIVOTDATA("XSB4",'sonbinh (2016)'!$A$3,"MA_HT","DNG","MA_QH","DTL")</f>
        <v>0</v>
      </c>
      <c r="AD48" s="22">
        <f ca="1">+GETPIVOTDATA("XSB4",'sonbinh (2016)'!$A$3,"MA_HT","DNG","MA_QH","DNL")</f>
        <v>0</v>
      </c>
      <c r="AE48" s="22">
        <f ca="1">+GETPIVOTDATA("XSB4",'sonbinh (2016)'!$A$3,"MA_HT","DNG","MA_QH","DBV")</f>
        <v>0</v>
      </c>
      <c r="AF48" s="22">
        <f ca="1">+GETPIVOTDATA("XSB4",'sonbinh (2016)'!$A$3,"MA_HT","DNG","MA_QH","DVH")</f>
        <v>0</v>
      </c>
      <c r="AG48" s="22">
        <f ca="1">+GETPIVOTDATA("XSB4",'sonbinh (2016)'!$A$3,"MA_HT","DNG","MA_QH","DYT")</f>
        <v>0</v>
      </c>
      <c r="AH48" s="22">
        <f ca="1">+GETPIVOTDATA("XSB4",'sonbinh (2016)'!$A$3,"MA_HT","DNG","MA_QH","DGD")</f>
        <v>0</v>
      </c>
      <c r="AI48" s="22">
        <f ca="1">+GETPIVOTDATA("XSB4",'sonbinh (2016)'!$A$3,"MA_HT","DNG","MA_QH","DTT")</f>
        <v>0</v>
      </c>
      <c r="AJ48" s="22">
        <f ca="1">+GETPIVOTDATA("XSB4",'sonbinh (2016)'!$A$3,"MA_HT","DNG","MA_QH","NCK")</f>
        <v>0</v>
      </c>
      <c r="AK48" s="22">
        <f ca="1">+GETPIVOTDATA("XSB4",'sonbinh (2016)'!$A$3,"MA_HT","DNG","MA_QH","DXH")</f>
        <v>0</v>
      </c>
      <c r="AL48" s="22">
        <f ca="1">+GETPIVOTDATA("XSB4",'sonbinh (2016)'!$A$3,"MA_HT","DNG","MA_QH","DCH")</f>
        <v>0</v>
      </c>
      <c r="AM48" s="22">
        <f ca="1">+GETPIVOTDATA("XSB4",'sonbinh (2016)'!$A$3,"MA_HT","DNG","MA_QH","DKG")</f>
        <v>0</v>
      </c>
      <c r="AN48" s="22">
        <f ca="1">+GETPIVOTDATA("XSB4",'sonbinh (2016)'!$A$3,"MA_HT","DNG","MA_QH","DDT")</f>
        <v>0</v>
      </c>
      <c r="AO48" s="22">
        <f ca="1">+GETPIVOTDATA("XSB4",'sonbinh (2016)'!$A$3,"MA_HT","DNG","MA_QH","DDL")</f>
        <v>0</v>
      </c>
      <c r="AP48" s="22">
        <f ca="1">+GETPIVOTDATA("XSB4",'sonbinh (2016)'!$A$3,"MA_HT","DNG","MA_QH","DRA")</f>
        <v>0</v>
      </c>
      <c r="AQ48" s="22">
        <f ca="1">+GETPIVOTDATA("XSB4",'sonbinh (2016)'!$A$3,"MA_HT","DNG","MA_QH","ONT")</f>
        <v>0</v>
      </c>
      <c r="AR48" s="22">
        <f ca="1">+GETPIVOTDATA("XSB4",'sonbinh (2016)'!$A$3,"MA_HT","DNG","MA_QH","ODT")</f>
        <v>0</v>
      </c>
      <c r="AS48" s="22">
        <f ca="1">+GETPIVOTDATA("XSB4",'sonbinh (2016)'!$A$3,"MA_HT","DNG","MA_QH","TSC")</f>
        <v>0</v>
      </c>
      <c r="AT48" s="22">
        <f ca="1">+GETPIVOTDATA("XSB4",'sonbinh (2016)'!$A$3,"MA_HT","DNG","MA_QH","DTS")</f>
        <v>0</v>
      </c>
      <c r="AU48" s="43" t="e">
        <f ca="1">$D48-$BF48</f>
        <v>#REF!</v>
      </c>
      <c r="AV48" s="22">
        <f ca="1">+GETPIVOTDATA("XSB4",'sonbinh (2016)'!$A$3,"MA_HT","DNG","MA_QH","TON")</f>
        <v>0</v>
      </c>
      <c r="AW48" s="22">
        <f ca="1">+GETPIVOTDATA("XSB4",'sonbinh (2016)'!$A$3,"MA_HT","DNG","MA_QH","NTD")</f>
        <v>0</v>
      </c>
      <c r="AX48" s="22">
        <f ca="1">+GETPIVOTDATA("XSB4",'sonbinh (2016)'!$A$3,"MA_HT","DNG","MA_QH","SKX")</f>
        <v>0</v>
      </c>
      <c r="AY48" s="22">
        <f ca="1">+GETPIVOTDATA("XSB4",'sonbinh (2016)'!$A$3,"MA_HT","DNG","MA_QH","DSH")</f>
        <v>0</v>
      </c>
      <c r="AZ48" s="22">
        <f ca="1">+GETPIVOTDATA("XSB4",'sonbinh (2016)'!$A$3,"MA_HT","DNG","MA_QH","DKV")</f>
        <v>0</v>
      </c>
      <c r="BA48" s="89">
        <f ca="1">+GETPIVOTDATA("XSB4",'sonbinh (2016)'!$A$3,"MA_HT","DNG","MA_QH","TIN")</f>
        <v>0</v>
      </c>
      <c r="BB48" s="50">
        <f ca="1">+GETPIVOTDATA("XSB4",'sonbinh (2016)'!$A$3,"MA_HT","DNG","MA_QH","SON")</f>
        <v>0</v>
      </c>
      <c r="BC48" s="50">
        <f ca="1">+GETPIVOTDATA("XSB4",'sonbinh (2016)'!$A$3,"MA_HT","DNG","MA_QH","MNC")</f>
        <v>0</v>
      </c>
      <c r="BD48" s="22">
        <f ca="1">+GETPIVOTDATA("XSB4",'sonbinh (2016)'!$A$3,"MA_HT","DNG","MA_QH","PNK")</f>
        <v>0</v>
      </c>
      <c r="BE48" s="71">
        <f ca="1">+GETPIVOTDATA("XSB4",'sonbinh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+GETPIVOTDATA("XSB4",'sonbinh (2016)'!$A$3,"MA_HT","TON","MA_QH","LUC")</f>
        <v>0</v>
      </c>
      <c r="H49" s="22">
        <f ca="1">+GETPIVOTDATA("XSB4",'sonbinh (2016)'!$A$3,"MA_HT","TON","MA_QH","LUK")</f>
        <v>0</v>
      </c>
      <c r="I49" s="22">
        <f ca="1">+GETPIVOTDATA("XSB4",'sonbinh (2016)'!$A$3,"MA_HT","TON","MA_QH","LUN")</f>
        <v>0</v>
      </c>
      <c r="J49" s="22">
        <f ca="1">+GETPIVOTDATA("XSB4",'sonbinh (2016)'!$A$3,"MA_HT","TON","MA_QH","HNK")</f>
        <v>0</v>
      </c>
      <c r="K49" s="22">
        <f ca="1">+GETPIVOTDATA("XSB4",'sonbinh (2016)'!$A$3,"MA_HT","TON","MA_QH","CLN")</f>
        <v>0</v>
      </c>
      <c r="L49" s="22">
        <f ca="1">+GETPIVOTDATA("XSB4",'sonbinh (2016)'!$A$3,"MA_HT","TON","MA_QH","RSX")</f>
        <v>0</v>
      </c>
      <c r="M49" s="22">
        <f ca="1">+GETPIVOTDATA("XSB4",'sonbinh (2016)'!$A$3,"MA_HT","TON","MA_QH","RPH")</f>
        <v>0</v>
      </c>
      <c r="N49" s="22">
        <f ca="1">+GETPIVOTDATA("XSB4",'sonbinh (2016)'!$A$3,"MA_HT","TON","MA_QH","RDD")</f>
        <v>0</v>
      </c>
      <c r="O49" s="22">
        <f ca="1">+GETPIVOTDATA("XSB4",'sonbinh (2016)'!$A$3,"MA_HT","TON","MA_QH","NTS")</f>
        <v>0</v>
      </c>
      <c r="P49" s="22">
        <f ca="1">+GETPIVOTDATA("XSB4",'sonbinh (2016)'!$A$3,"MA_HT","TON","MA_QH","LMU")</f>
        <v>0</v>
      </c>
      <c r="Q49" s="22">
        <f ca="1">+GETPIVOTDATA("XSB4",'sonbinh (2016)'!$A$3,"MA_HT","TON","MA_QH","NKH")</f>
        <v>0</v>
      </c>
      <c r="R49" s="79">
        <f ca="1">SUM(S49:AA49,AN49:AU49,AW49:BD49)</f>
        <v>0</v>
      </c>
      <c r="S49" s="22">
        <f ca="1">+GETPIVOTDATA("XSB4",'sonbinh (2016)'!$A$3,"MA_HT","TON","MA_QH","CQP")</f>
        <v>0</v>
      </c>
      <c r="T49" s="22">
        <f ca="1">+GETPIVOTDATA("XSB4",'sonbinh (2016)'!$A$3,"MA_HT","TON","MA_QH","CAN")</f>
        <v>0</v>
      </c>
      <c r="U49" s="22">
        <f ca="1">+GETPIVOTDATA("XSB4",'sonbinh (2016)'!$A$3,"MA_HT","TON","MA_QH","SKK")</f>
        <v>0</v>
      </c>
      <c r="V49" s="22">
        <f ca="1">+GETPIVOTDATA("XSB4",'sonbinh (2016)'!$A$3,"MA_HT","TON","MA_QH","SKT")</f>
        <v>0</v>
      </c>
      <c r="W49" s="22">
        <f ca="1">+GETPIVOTDATA("XSB4",'sonbinh (2016)'!$A$3,"MA_HT","TON","MA_QH","SKN")</f>
        <v>0</v>
      </c>
      <c r="X49" s="22">
        <f ca="1">+GETPIVOTDATA("XSB4",'sonbinh (2016)'!$A$3,"MA_HT","TON","MA_QH","TMD")</f>
        <v>0</v>
      </c>
      <c r="Y49" s="22">
        <f ca="1">+GETPIVOTDATA("XSB4",'sonbinh (2016)'!$A$3,"MA_HT","TON","MA_QH","SKC")</f>
        <v>0</v>
      </c>
      <c r="Z49" s="22">
        <f ca="1">+GETPIVOTDATA("XSB4",'sonbinh (2016)'!$A$3,"MA_HT","TON","MA_QH","SKS")</f>
        <v>0</v>
      </c>
      <c r="AA49" s="52">
        <f ca="1" t="shared" si="21"/>
        <v>0</v>
      </c>
      <c r="AB49" s="22">
        <f ca="1">+GETPIVOTDATA("XSB4",'sonbinh (2016)'!$A$3,"MA_HT","TON","MA_QH","DGT")</f>
        <v>0</v>
      </c>
      <c r="AC49" s="22">
        <f ca="1">+GETPIVOTDATA("XSB4",'sonbinh (2016)'!$A$3,"MA_HT","TON","MA_QH","DTL")</f>
        <v>0</v>
      </c>
      <c r="AD49" s="22">
        <f ca="1">+GETPIVOTDATA("XSB4",'sonbinh (2016)'!$A$3,"MA_HT","TON","MA_QH","DNL")</f>
        <v>0</v>
      </c>
      <c r="AE49" s="22">
        <f ca="1">+GETPIVOTDATA("XSB4",'sonbinh (2016)'!$A$3,"MA_HT","TON","MA_QH","DBV")</f>
        <v>0</v>
      </c>
      <c r="AF49" s="22">
        <f ca="1">+GETPIVOTDATA("XSB4",'sonbinh (2016)'!$A$3,"MA_HT","TON","MA_QH","DVH")</f>
        <v>0</v>
      </c>
      <c r="AG49" s="22">
        <f ca="1">+GETPIVOTDATA("XSB4",'sonbinh (2016)'!$A$3,"MA_HT","TON","MA_QH","DYT")</f>
        <v>0</v>
      </c>
      <c r="AH49" s="22">
        <f ca="1">+GETPIVOTDATA("XSB4",'sonbinh (2016)'!$A$3,"MA_HT","TON","MA_QH","DGD")</f>
        <v>0</v>
      </c>
      <c r="AI49" s="22">
        <f ca="1">+GETPIVOTDATA("XSB4",'sonbinh (2016)'!$A$3,"MA_HT","TON","MA_QH","DTT")</f>
        <v>0</v>
      </c>
      <c r="AJ49" s="22">
        <f ca="1">+GETPIVOTDATA("XSB4",'sonbinh (2016)'!$A$3,"MA_HT","TON","MA_QH","NCK")</f>
        <v>0</v>
      </c>
      <c r="AK49" s="22">
        <f ca="1">+GETPIVOTDATA("XSB4",'sonbinh (2016)'!$A$3,"MA_HT","TON","MA_QH","DXH")</f>
        <v>0</v>
      </c>
      <c r="AL49" s="22">
        <f ca="1">+GETPIVOTDATA("XSB4",'sonbinh (2016)'!$A$3,"MA_HT","TON","MA_QH","DCH")</f>
        <v>0</v>
      </c>
      <c r="AM49" s="22">
        <f ca="1">+GETPIVOTDATA("XSB4",'sonbinh (2016)'!$A$3,"MA_HT","TON","MA_QH","DKG")</f>
        <v>0</v>
      </c>
      <c r="AN49" s="22">
        <f ca="1">+GETPIVOTDATA("XSB4",'sonbinh (2016)'!$A$3,"MA_HT","TON","MA_QH","DDT")</f>
        <v>0</v>
      </c>
      <c r="AO49" s="22">
        <f ca="1">+GETPIVOTDATA("XSB4",'sonbinh (2016)'!$A$3,"MA_HT","TON","MA_QH","DDL")</f>
        <v>0</v>
      </c>
      <c r="AP49" s="22">
        <f ca="1">+GETPIVOTDATA("XSB4",'sonbinh (2016)'!$A$3,"MA_HT","TON","MA_QH","DRA")</f>
        <v>0</v>
      </c>
      <c r="AQ49" s="22">
        <f ca="1">+GETPIVOTDATA("XSB4",'sonbinh (2016)'!$A$3,"MA_HT","TON","MA_QH","ONT")</f>
        <v>0</v>
      </c>
      <c r="AR49" s="22">
        <f ca="1">+GETPIVOTDATA("XSB4",'sonbinh (2016)'!$A$3,"MA_HT","TON","MA_QH","ODT")</f>
        <v>0</v>
      </c>
      <c r="AS49" s="22">
        <f ca="1">+GETPIVOTDATA("XSB4",'sonbinh (2016)'!$A$3,"MA_HT","TON","MA_QH","TSC")</f>
        <v>0</v>
      </c>
      <c r="AT49" s="22">
        <f ca="1">+GETPIVOTDATA("XSB4",'sonbinh (2016)'!$A$3,"MA_HT","TON","MA_QH","DTS")</f>
        <v>0</v>
      </c>
      <c r="AU49" s="22">
        <f ca="1">+GETPIVOTDATA("XSB4",'sonbinh (2016)'!$A$3,"MA_HT","TON","MA_QH","DNG")</f>
        <v>0</v>
      </c>
      <c r="AV49" s="43" t="e">
        <f ca="1">$D49-$BF49</f>
        <v>#REF!</v>
      </c>
      <c r="AW49" s="22">
        <f ca="1">+GETPIVOTDATA("XSB4",'sonbinh (2016)'!$A$3,"MA_HT","TON","MA_QH","NTD")</f>
        <v>0</v>
      </c>
      <c r="AX49" s="22">
        <f ca="1">+GETPIVOTDATA("XSB4",'sonbinh (2016)'!$A$3,"MA_HT","TON","MA_QH","SKX")</f>
        <v>0</v>
      </c>
      <c r="AY49" s="22">
        <f ca="1">+GETPIVOTDATA("XSB4",'sonbinh (2016)'!$A$3,"MA_HT","TON","MA_QH","DSH")</f>
        <v>0</v>
      </c>
      <c r="AZ49" s="22">
        <f ca="1">+GETPIVOTDATA("XSB4",'sonbinh (2016)'!$A$3,"MA_HT","TON","MA_QH","DKV")</f>
        <v>0</v>
      </c>
      <c r="BA49" s="89">
        <f ca="1">+GETPIVOTDATA("XSB4",'sonbinh (2016)'!$A$3,"MA_HT","TON","MA_QH","TIN")</f>
        <v>0</v>
      </c>
      <c r="BB49" s="50">
        <f ca="1">+GETPIVOTDATA("XSB4",'sonbinh (2016)'!$A$3,"MA_HT","TON","MA_QH","SON")</f>
        <v>0</v>
      </c>
      <c r="BC49" s="50">
        <f ca="1">+GETPIVOTDATA("XSB4",'sonbinh (2016)'!$A$3,"MA_HT","TON","MA_QH","MNC")</f>
        <v>0</v>
      </c>
      <c r="BD49" s="22">
        <f ca="1">+GETPIVOTDATA("XSB4",'sonbinh (2016)'!$A$3,"MA_HT","TON","MA_QH","PNK")</f>
        <v>0</v>
      </c>
      <c r="BE49" s="71">
        <f ca="1">+GETPIVOTDATA("XSB4",'sonbinh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+GETPIVOTDATA("XSB4",'sonbinh (2016)'!$A$3,"MA_HT","NTD","MA_QH","LUC")</f>
        <v>0</v>
      </c>
      <c r="H50" s="22">
        <f ca="1">+GETPIVOTDATA("XSB4",'sonbinh (2016)'!$A$3,"MA_HT","NTD","MA_QH","LUK")</f>
        <v>0</v>
      </c>
      <c r="I50" s="22">
        <f ca="1">+GETPIVOTDATA("XSB4",'sonbinh (2016)'!$A$3,"MA_HT","NTD","MA_QH","LUN")</f>
        <v>0</v>
      </c>
      <c r="J50" s="22">
        <f ca="1">+GETPIVOTDATA("XSB4",'sonbinh (2016)'!$A$3,"MA_HT","NTD","MA_QH","HNK")</f>
        <v>0</v>
      </c>
      <c r="K50" s="22">
        <f ca="1">+GETPIVOTDATA("XSB4",'sonbinh (2016)'!$A$3,"MA_HT","NTD","MA_QH","CLN")</f>
        <v>0</v>
      </c>
      <c r="L50" s="22">
        <f ca="1">+GETPIVOTDATA("XSB4",'sonbinh (2016)'!$A$3,"MA_HT","NTD","MA_QH","RSX")</f>
        <v>0</v>
      </c>
      <c r="M50" s="22">
        <f ca="1">+GETPIVOTDATA("XSB4",'sonbinh (2016)'!$A$3,"MA_HT","NTD","MA_QH","RPH")</f>
        <v>0</v>
      </c>
      <c r="N50" s="22">
        <f ca="1">+GETPIVOTDATA("XSB4",'sonbinh (2016)'!$A$3,"MA_HT","NTD","MA_QH","RDD")</f>
        <v>0</v>
      </c>
      <c r="O50" s="22">
        <f ca="1">+GETPIVOTDATA("XSB4",'sonbinh (2016)'!$A$3,"MA_HT","NTD","MA_QH","NTS")</f>
        <v>0</v>
      </c>
      <c r="P50" s="22">
        <f ca="1">+GETPIVOTDATA("XSB4",'sonbinh (2016)'!$A$3,"MA_HT","NTD","MA_QH","LMU")</f>
        <v>0</v>
      </c>
      <c r="Q50" s="22">
        <f ca="1">+GETPIVOTDATA("XSB4",'sonbinh (2016)'!$A$3,"MA_HT","NTD","MA_QH","NKH")</f>
        <v>0</v>
      </c>
      <c r="R50" s="79">
        <f ca="1">SUM(S50:AA50,AN50:AV50,AX50:BD50)</f>
        <v>0</v>
      </c>
      <c r="S50" s="22">
        <f ca="1">+GETPIVOTDATA("XSB4",'sonbinh (2016)'!$A$3,"MA_HT","NTD","MA_QH","CQP")</f>
        <v>0</v>
      </c>
      <c r="T50" s="22">
        <f ca="1">+GETPIVOTDATA("XSB4",'sonbinh (2016)'!$A$3,"MA_HT","NTD","MA_QH","CAN")</f>
        <v>0</v>
      </c>
      <c r="U50" s="22">
        <f ca="1">+GETPIVOTDATA("XSB4",'sonbinh (2016)'!$A$3,"MA_HT","NTD","MA_QH","SKK")</f>
        <v>0</v>
      </c>
      <c r="V50" s="22">
        <f ca="1">+GETPIVOTDATA("XSB4",'sonbinh (2016)'!$A$3,"MA_HT","NTD","MA_QH","SKT")</f>
        <v>0</v>
      </c>
      <c r="W50" s="22">
        <f ca="1">+GETPIVOTDATA("XSB4",'sonbinh (2016)'!$A$3,"MA_HT","NTD","MA_QH","SKN")</f>
        <v>0</v>
      </c>
      <c r="X50" s="22">
        <f ca="1">+GETPIVOTDATA("XSB4",'sonbinh (2016)'!$A$3,"MA_HT","NTD","MA_QH","TMD")</f>
        <v>0</v>
      </c>
      <c r="Y50" s="22">
        <f ca="1">+GETPIVOTDATA("XSB4",'sonbinh (2016)'!$A$3,"MA_HT","NTD","MA_QH","SKC")</f>
        <v>0</v>
      </c>
      <c r="Z50" s="22">
        <f ca="1">+GETPIVOTDATA("XSB4",'sonbinh (2016)'!$A$3,"MA_HT","NTD","MA_QH","SKS")</f>
        <v>0</v>
      </c>
      <c r="AA50" s="52">
        <f ca="1" t="shared" si="21"/>
        <v>0</v>
      </c>
      <c r="AB50" s="22">
        <f ca="1">+GETPIVOTDATA("XSB4",'sonbinh (2016)'!$A$3,"MA_HT","NTD","MA_QH","DGT")</f>
        <v>0</v>
      </c>
      <c r="AC50" s="22">
        <f ca="1">+GETPIVOTDATA("XSB4",'sonbinh (2016)'!$A$3,"MA_HT","NTD","MA_QH","DTL")</f>
        <v>0</v>
      </c>
      <c r="AD50" s="22">
        <f ca="1">+GETPIVOTDATA("XSB4",'sonbinh (2016)'!$A$3,"MA_HT","NTD","MA_QH","DNL")</f>
        <v>0</v>
      </c>
      <c r="AE50" s="22">
        <f ca="1">+GETPIVOTDATA("XSB4",'sonbinh (2016)'!$A$3,"MA_HT","NTD","MA_QH","DBV")</f>
        <v>0</v>
      </c>
      <c r="AF50" s="22">
        <f ca="1">+GETPIVOTDATA("XSB4",'sonbinh (2016)'!$A$3,"MA_HT","NTD","MA_QH","DVH")</f>
        <v>0</v>
      </c>
      <c r="AG50" s="22">
        <f ca="1">+GETPIVOTDATA("XSB4",'sonbinh (2016)'!$A$3,"MA_HT","NTD","MA_QH","DYT")</f>
        <v>0</v>
      </c>
      <c r="AH50" s="22">
        <f ca="1">+GETPIVOTDATA("XSB4",'sonbinh (2016)'!$A$3,"MA_HT","NTD","MA_QH","DGD")</f>
        <v>0</v>
      </c>
      <c r="AI50" s="22">
        <f ca="1">+GETPIVOTDATA("XSB4",'sonbinh (2016)'!$A$3,"MA_HT","NTD","MA_QH","DTT")</f>
        <v>0</v>
      </c>
      <c r="AJ50" s="22">
        <f ca="1">+GETPIVOTDATA("XSB4",'sonbinh (2016)'!$A$3,"MA_HT","NTD","MA_QH","NCK")</f>
        <v>0</v>
      </c>
      <c r="AK50" s="22">
        <f ca="1">+GETPIVOTDATA("XSB4",'sonbinh (2016)'!$A$3,"MA_HT","NTD","MA_QH","DXH")</f>
        <v>0</v>
      </c>
      <c r="AL50" s="22">
        <f ca="1">+GETPIVOTDATA("XSB4",'sonbinh (2016)'!$A$3,"MA_HT","NTD","MA_QH","DCH")</f>
        <v>0</v>
      </c>
      <c r="AM50" s="22">
        <f ca="1">+GETPIVOTDATA("XSB4",'sonbinh (2016)'!$A$3,"MA_HT","NTD","MA_QH","DKG")</f>
        <v>0</v>
      </c>
      <c r="AN50" s="22">
        <f ca="1">+GETPIVOTDATA("XSB4",'sonbinh (2016)'!$A$3,"MA_HT","NTD","MA_QH","DDT")</f>
        <v>0</v>
      </c>
      <c r="AO50" s="22">
        <f ca="1">+GETPIVOTDATA("XSB4",'sonbinh (2016)'!$A$3,"MA_HT","NTD","MA_QH","DDL")</f>
        <v>0</v>
      </c>
      <c r="AP50" s="22">
        <f ca="1">+GETPIVOTDATA("XSB4",'sonbinh (2016)'!$A$3,"MA_HT","NTD","MA_QH","DRA")</f>
        <v>0</v>
      </c>
      <c r="AQ50" s="22">
        <f ca="1">+GETPIVOTDATA("XSB4",'sonbinh (2016)'!$A$3,"MA_HT","NTD","MA_QH","ONT")</f>
        <v>0</v>
      </c>
      <c r="AR50" s="22">
        <f ca="1">+GETPIVOTDATA("XSB4",'sonbinh (2016)'!$A$3,"MA_HT","NTD","MA_QH","ODT")</f>
        <v>0</v>
      </c>
      <c r="AS50" s="22">
        <f ca="1">+GETPIVOTDATA("XSB4",'sonbinh (2016)'!$A$3,"MA_HT","NTD","MA_QH","TSC")</f>
        <v>0</v>
      </c>
      <c r="AT50" s="22">
        <f ca="1">+GETPIVOTDATA("XSB4",'sonbinh (2016)'!$A$3,"MA_HT","NTD","MA_QH","DTS")</f>
        <v>0</v>
      </c>
      <c r="AU50" s="22">
        <f ca="1">+GETPIVOTDATA("XSB4",'sonbinh (2016)'!$A$3,"MA_HT","NTD","MA_QH","DNG")</f>
        <v>0</v>
      </c>
      <c r="AV50" s="22">
        <f ca="1">+GETPIVOTDATA("XSB4",'sonbinh (2016)'!$A$3,"MA_HT","NTD","MA_QH","TON")</f>
        <v>0</v>
      </c>
      <c r="AW50" s="43" t="e">
        <f ca="1">$D50-$BF50</f>
        <v>#REF!</v>
      </c>
      <c r="AX50" s="22">
        <f ca="1">+GETPIVOTDATA("XSB4",'sonbinh (2016)'!$A$3,"MA_HT","NTD","MA_QH","SKX")</f>
        <v>0</v>
      </c>
      <c r="AY50" s="22">
        <f ca="1">+GETPIVOTDATA("XSB4",'sonbinh (2016)'!$A$3,"MA_HT","NTD","MA_QH","DSH")</f>
        <v>0</v>
      </c>
      <c r="AZ50" s="22">
        <f ca="1">+GETPIVOTDATA("XSB4",'sonbinh (2016)'!$A$3,"MA_HT","NTD","MA_QH","DKV")</f>
        <v>0</v>
      </c>
      <c r="BA50" s="89">
        <f ca="1">+GETPIVOTDATA("XSB4",'sonbinh (2016)'!$A$3,"MA_HT","NTD","MA_QH","TIN")</f>
        <v>0</v>
      </c>
      <c r="BB50" s="50">
        <f ca="1">+GETPIVOTDATA("XSB4",'sonbinh (2016)'!$A$3,"MA_HT","NTD","MA_QH","SON")</f>
        <v>0</v>
      </c>
      <c r="BC50" s="50">
        <f ca="1">+GETPIVOTDATA("XSB4",'sonbinh (2016)'!$A$3,"MA_HT","NTD","MA_QH","MNC")</f>
        <v>0</v>
      </c>
      <c r="BD50" s="22">
        <f ca="1">+GETPIVOTDATA("XSB4",'sonbinh (2016)'!$A$3,"MA_HT","NTD","MA_QH","PNK")</f>
        <v>0</v>
      </c>
      <c r="BE50" s="71">
        <f ca="1">+GETPIVOTDATA("XSB4",'sonbinh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+GETPIVOTDATA("XSB4",'sonbinh (2016)'!$A$3,"MA_HT","SKX","MA_QH","LUC")</f>
        <v>0</v>
      </c>
      <c r="H51" s="22">
        <f ca="1">+GETPIVOTDATA("XSB4",'sonbinh (2016)'!$A$3,"MA_HT","SKX","MA_QH","LUK")</f>
        <v>0</v>
      </c>
      <c r="I51" s="22">
        <f ca="1">+GETPIVOTDATA("XSB4",'sonbinh (2016)'!$A$3,"MA_HT","SKX","MA_QH","LUN")</f>
        <v>0</v>
      </c>
      <c r="J51" s="22">
        <f ca="1">+GETPIVOTDATA("XSB4",'sonbinh (2016)'!$A$3,"MA_HT","SKX","MA_QH","HNK")</f>
        <v>0</v>
      </c>
      <c r="K51" s="22">
        <f ca="1">+GETPIVOTDATA("XSB4",'sonbinh (2016)'!$A$3,"MA_HT","SKX","MA_QH","CLN")</f>
        <v>0</v>
      </c>
      <c r="L51" s="22">
        <f ca="1">+GETPIVOTDATA("XSB4",'sonbinh (2016)'!$A$3,"MA_HT","SKX","MA_QH","RSX")</f>
        <v>0</v>
      </c>
      <c r="M51" s="22">
        <f ca="1">+GETPIVOTDATA("XSB4",'sonbinh (2016)'!$A$3,"MA_HT","SKX","MA_QH","RPH")</f>
        <v>0</v>
      </c>
      <c r="N51" s="22">
        <f ca="1">+GETPIVOTDATA("XSB4",'sonbinh (2016)'!$A$3,"MA_HT","SKX","MA_QH","RDD")</f>
        <v>0</v>
      </c>
      <c r="O51" s="22">
        <f ca="1">+GETPIVOTDATA("XSB4",'sonbinh (2016)'!$A$3,"MA_HT","SKX","MA_QH","NTS")</f>
        <v>0</v>
      </c>
      <c r="P51" s="22">
        <f ca="1">+GETPIVOTDATA("XSB4",'sonbinh (2016)'!$A$3,"MA_HT","SKX","MA_QH","LMU")</f>
        <v>0</v>
      </c>
      <c r="Q51" s="22">
        <f ca="1">+GETPIVOTDATA("XSB4",'sonbinh (2016)'!$A$3,"MA_HT","SKX","MA_QH","NKH")</f>
        <v>0</v>
      </c>
      <c r="R51" s="79">
        <f ca="1">SUM(S51:AA51,AN51:AW51,AY51:BD51)</f>
        <v>0</v>
      </c>
      <c r="S51" s="22">
        <f ca="1">+GETPIVOTDATA("XSB4",'sonbinh (2016)'!$A$3,"MA_HT","SKX","MA_QH","CQP")</f>
        <v>0</v>
      </c>
      <c r="T51" s="22">
        <f ca="1">+GETPIVOTDATA("XSB4",'sonbinh (2016)'!$A$3,"MA_HT","SKX","MA_QH","CAN")</f>
        <v>0</v>
      </c>
      <c r="U51" s="22">
        <f ca="1">+GETPIVOTDATA("XSB4",'sonbinh (2016)'!$A$3,"MA_HT","SKX","MA_QH","SKK")</f>
        <v>0</v>
      </c>
      <c r="V51" s="22">
        <f ca="1">+GETPIVOTDATA("XSB4",'sonbinh (2016)'!$A$3,"MA_HT","SKX","MA_QH","SKT")</f>
        <v>0</v>
      </c>
      <c r="W51" s="22">
        <f ca="1">+GETPIVOTDATA("XSB4",'sonbinh (2016)'!$A$3,"MA_HT","SKX","MA_QH","SKN")</f>
        <v>0</v>
      </c>
      <c r="X51" s="22">
        <f ca="1">+GETPIVOTDATA("XSB4",'sonbinh (2016)'!$A$3,"MA_HT","SKX","MA_QH","TMD")</f>
        <v>0</v>
      </c>
      <c r="Y51" s="22">
        <f ca="1">+GETPIVOTDATA("XSB4",'sonbinh (2016)'!$A$3,"MA_HT","SKX","MA_QH","SKC")</f>
        <v>0</v>
      </c>
      <c r="Z51" s="22">
        <f ca="1">+GETPIVOTDATA("XSB4",'sonbinh (2016)'!$A$3,"MA_HT","SKX","MA_QH","SKS")</f>
        <v>0</v>
      </c>
      <c r="AA51" s="52">
        <f ca="1" t="shared" si="21"/>
        <v>0</v>
      </c>
      <c r="AB51" s="22">
        <f ca="1">+GETPIVOTDATA("XSB4",'sonbinh (2016)'!$A$3,"MA_HT","SKX","MA_QH","DGT")</f>
        <v>0</v>
      </c>
      <c r="AC51" s="22">
        <f ca="1">+GETPIVOTDATA("XSB4",'sonbinh (2016)'!$A$3,"MA_HT","SKX","MA_QH","DTL")</f>
        <v>0</v>
      </c>
      <c r="AD51" s="22">
        <f ca="1">+GETPIVOTDATA("XSB4",'sonbinh (2016)'!$A$3,"MA_HT","SKX","MA_QH","DNL")</f>
        <v>0</v>
      </c>
      <c r="AE51" s="22">
        <f ca="1">+GETPIVOTDATA("XSB4",'sonbinh (2016)'!$A$3,"MA_HT","SKX","MA_QH","DBV")</f>
        <v>0</v>
      </c>
      <c r="AF51" s="22">
        <f ca="1">+GETPIVOTDATA("XSB4",'sonbinh (2016)'!$A$3,"MA_HT","SKX","MA_QH","DVH")</f>
        <v>0</v>
      </c>
      <c r="AG51" s="22">
        <f ca="1">+GETPIVOTDATA("XSB4",'sonbinh (2016)'!$A$3,"MA_HT","SKX","MA_QH","DYT")</f>
        <v>0</v>
      </c>
      <c r="AH51" s="22">
        <f ca="1">+GETPIVOTDATA("XSB4",'sonbinh (2016)'!$A$3,"MA_HT","SKX","MA_QH","DGD")</f>
        <v>0</v>
      </c>
      <c r="AI51" s="22">
        <f ca="1">+GETPIVOTDATA("XSB4",'sonbinh (2016)'!$A$3,"MA_HT","SKX","MA_QH","DTT")</f>
        <v>0</v>
      </c>
      <c r="AJ51" s="22">
        <f ca="1">+GETPIVOTDATA("XSB4",'sonbinh (2016)'!$A$3,"MA_HT","SKX","MA_QH","NCK")</f>
        <v>0</v>
      </c>
      <c r="AK51" s="22">
        <f ca="1">+GETPIVOTDATA("XSB4",'sonbinh (2016)'!$A$3,"MA_HT","SKX","MA_QH","DXH")</f>
        <v>0</v>
      </c>
      <c r="AL51" s="22">
        <f ca="1">+GETPIVOTDATA("XSB4",'sonbinh (2016)'!$A$3,"MA_HT","SKX","MA_QH","DCH")</f>
        <v>0</v>
      </c>
      <c r="AM51" s="22">
        <f ca="1">+GETPIVOTDATA("XSB4",'sonbinh (2016)'!$A$3,"MA_HT","SKX","MA_QH","DKG")</f>
        <v>0</v>
      </c>
      <c r="AN51" s="22">
        <f ca="1">+GETPIVOTDATA("XSB4",'sonbinh (2016)'!$A$3,"MA_HT","SKX","MA_QH","DDT")</f>
        <v>0</v>
      </c>
      <c r="AO51" s="22">
        <f ca="1">+GETPIVOTDATA("XSB4",'sonbinh (2016)'!$A$3,"MA_HT","SKX","MA_QH","DDL")</f>
        <v>0</v>
      </c>
      <c r="AP51" s="22">
        <f ca="1">+GETPIVOTDATA("XSB4",'sonbinh (2016)'!$A$3,"MA_HT","SKX","MA_QH","DRA")</f>
        <v>0</v>
      </c>
      <c r="AQ51" s="22">
        <f ca="1">+GETPIVOTDATA("XSB4",'sonbinh (2016)'!$A$3,"MA_HT","SKX","MA_QH","ONT")</f>
        <v>0</v>
      </c>
      <c r="AR51" s="22">
        <f ca="1">+GETPIVOTDATA("XSB4",'sonbinh (2016)'!$A$3,"MA_HT","SKX","MA_QH","ODT")</f>
        <v>0</v>
      </c>
      <c r="AS51" s="22">
        <f ca="1">+GETPIVOTDATA("XSB4",'sonbinh (2016)'!$A$3,"MA_HT","SKX","MA_QH","TSC")</f>
        <v>0</v>
      </c>
      <c r="AT51" s="22">
        <f ca="1">+GETPIVOTDATA("XSB4",'sonbinh (2016)'!$A$3,"MA_HT","SKX","MA_QH","DTS")</f>
        <v>0</v>
      </c>
      <c r="AU51" s="22">
        <f ca="1">+GETPIVOTDATA("XSB4",'sonbinh (2016)'!$A$3,"MA_HT","SKX","MA_QH","DNG")</f>
        <v>0</v>
      </c>
      <c r="AV51" s="22">
        <f ca="1">+GETPIVOTDATA("XSB4",'sonbinh (2016)'!$A$3,"MA_HT","SKX","MA_QH","TON")</f>
        <v>0</v>
      </c>
      <c r="AW51" s="22">
        <f ca="1">+GETPIVOTDATA("XSB4",'sonbinh (2016)'!$A$3,"MA_HT","SKX","MA_QH","NTD")</f>
        <v>0</v>
      </c>
      <c r="AX51" s="43" t="e">
        <f ca="1">$D51-$BF51</f>
        <v>#REF!</v>
      </c>
      <c r="AY51" s="22">
        <f ca="1">+GETPIVOTDATA("XSB4",'sonbinh (2016)'!$A$3,"MA_HT","SKX","MA_QH","DSH")</f>
        <v>0</v>
      </c>
      <c r="AZ51" s="22">
        <f ca="1">+GETPIVOTDATA("XSB4",'sonbinh (2016)'!$A$3,"MA_HT","SKX","MA_QH","DKV")</f>
        <v>0</v>
      </c>
      <c r="BA51" s="89">
        <f ca="1">+GETPIVOTDATA("XSB4",'sonbinh (2016)'!$A$3,"MA_HT","SKX","MA_QH","TIN")</f>
        <v>0</v>
      </c>
      <c r="BB51" s="50">
        <f ca="1">+GETPIVOTDATA("XSB4",'sonbinh (2016)'!$A$3,"MA_HT","SKX","MA_QH","SON")</f>
        <v>0</v>
      </c>
      <c r="BC51" s="50">
        <f ca="1">+GETPIVOTDATA("XSB4",'sonbinh (2016)'!$A$3,"MA_HT","SKX","MA_QH","MNC")</f>
        <v>0</v>
      </c>
      <c r="BD51" s="22">
        <f ca="1">+GETPIVOTDATA("XSB4",'sonbinh (2016)'!$A$3,"MA_HT","SKX","MA_QH","PNK")</f>
        <v>0</v>
      </c>
      <c r="BE51" s="71">
        <f ca="1">+GETPIVOTDATA("XSB4",'sonbinh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+GETPIVOTDATA("XSB4",'sonbinh (2016)'!$A$3,"MA_HT","DSH","MA_QH","LUC")</f>
        <v>0</v>
      </c>
      <c r="H52" s="22">
        <f ca="1">+GETPIVOTDATA("XSB4",'sonbinh (2016)'!$A$3,"MA_HT","DSH","MA_QH","LUK")</f>
        <v>0</v>
      </c>
      <c r="I52" s="22">
        <f ca="1">+GETPIVOTDATA("XSB4",'sonbinh (2016)'!$A$3,"MA_HT","DSH","MA_QH","LUN")</f>
        <v>0</v>
      </c>
      <c r="J52" s="22">
        <f ca="1">+GETPIVOTDATA("XSB4",'sonbinh (2016)'!$A$3,"MA_HT","DSH","MA_QH","HNK")</f>
        <v>0</v>
      </c>
      <c r="K52" s="22">
        <f ca="1">+GETPIVOTDATA("XSB4",'sonbinh (2016)'!$A$3,"MA_HT","DSH","MA_QH","CLN")</f>
        <v>0</v>
      </c>
      <c r="L52" s="22">
        <f ca="1">+GETPIVOTDATA("XSB4",'sonbinh (2016)'!$A$3,"MA_HT","DSH","MA_QH","RSX")</f>
        <v>0</v>
      </c>
      <c r="M52" s="22">
        <f ca="1">+GETPIVOTDATA("XSB4",'sonbinh (2016)'!$A$3,"MA_HT","DSH","MA_QH","RPH")</f>
        <v>0</v>
      </c>
      <c r="N52" s="22">
        <f ca="1">+GETPIVOTDATA("XSB4",'sonbinh (2016)'!$A$3,"MA_HT","DSH","MA_QH","RDD")</f>
        <v>0</v>
      </c>
      <c r="O52" s="22">
        <f ca="1">+GETPIVOTDATA("XSB4",'sonbinh (2016)'!$A$3,"MA_HT","DSH","MA_QH","NTS")</f>
        <v>0</v>
      </c>
      <c r="P52" s="22">
        <f ca="1">+GETPIVOTDATA("XSB4",'sonbinh (2016)'!$A$3,"MA_HT","DSH","MA_QH","LMU")</f>
        <v>0</v>
      </c>
      <c r="Q52" s="22">
        <f ca="1">+GETPIVOTDATA("XSB4",'sonbinh (2016)'!$A$3,"MA_HT","DSH","MA_QH","NKH")</f>
        <v>0</v>
      </c>
      <c r="R52" s="79">
        <f ca="1">SUM(S52:AA52,AN52:AX52,AZ52:BD52)</f>
        <v>0</v>
      </c>
      <c r="S52" s="22">
        <f ca="1">+GETPIVOTDATA("XSB4",'sonbinh (2016)'!$A$3,"MA_HT","DSH","MA_QH","CQP")</f>
        <v>0</v>
      </c>
      <c r="T52" s="22">
        <f ca="1">+GETPIVOTDATA("XSB4",'sonbinh (2016)'!$A$3,"MA_HT","DSH","MA_QH","CAN")</f>
        <v>0</v>
      </c>
      <c r="U52" s="22">
        <f ca="1">+GETPIVOTDATA("XSB4",'sonbinh (2016)'!$A$3,"MA_HT","DSH","MA_QH","SKK")</f>
        <v>0</v>
      </c>
      <c r="V52" s="22">
        <f ca="1">+GETPIVOTDATA("XSB4",'sonbinh (2016)'!$A$3,"MA_HT","DSH","MA_QH","SKT")</f>
        <v>0</v>
      </c>
      <c r="W52" s="22">
        <f ca="1">+GETPIVOTDATA("XSB4",'sonbinh (2016)'!$A$3,"MA_HT","DSH","MA_QH","SKN")</f>
        <v>0</v>
      </c>
      <c r="X52" s="22">
        <f ca="1">+GETPIVOTDATA("XSB4",'sonbinh (2016)'!$A$3,"MA_HT","DSH","MA_QH","TMD")</f>
        <v>0</v>
      </c>
      <c r="Y52" s="22">
        <f ca="1">+GETPIVOTDATA("XSB4",'sonbinh (2016)'!$A$3,"MA_HT","DSH","MA_QH","SKC")</f>
        <v>0</v>
      </c>
      <c r="Z52" s="22">
        <f ca="1">+GETPIVOTDATA("XSB4",'sonbinh (2016)'!$A$3,"MA_HT","DSH","MA_QH","SKS")</f>
        <v>0</v>
      </c>
      <c r="AA52" s="52">
        <f ca="1" t="shared" si="21"/>
        <v>0</v>
      </c>
      <c r="AB52" s="22">
        <f ca="1">+GETPIVOTDATA("XSB4",'sonbinh (2016)'!$A$3,"MA_HT","DSH","MA_QH","DGT")</f>
        <v>0</v>
      </c>
      <c r="AC52" s="22">
        <f ca="1">+GETPIVOTDATA("XSB4",'sonbinh (2016)'!$A$3,"MA_HT","DSH","MA_QH","DTL")</f>
        <v>0</v>
      </c>
      <c r="AD52" s="22">
        <f ca="1">+GETPIVOTDATA("XSB4",'sonbinh (2016)'!$A$3,"MA_HT","DSH","MA_QH","DNL")</f>
        <v>0</v>
      </c>
      <c r="AE52" s="22">
        <f ca="1">+GETPIVOTDATA("XSB4",'sonbinh (2016)'!$A$3,"MA_HT","DSH","MA_QH","DBV")</f>
        <v>0</v>
      </c>
      <c r="AF52" s="22">
        <f ca="1">+GETPIVOTDATA("XSB4",'sonbinh (2016)'!$A$3,"MA_HT","DSH","MA_QH","DVH")</f>
        <v>0</v>
      </c>
      <c r="AG52" s="22">
        <f ca="1">+GETPIVOTDATA("XSB4",'sonbinh (2016)'!$A$3,"MA_HT","DSH","MA_QH","DYT")</f>
        <v>0</v>
      </c>
      <c r="AH52" s="22">
        <f ca="1">+GETPIVOTDATA("XSB4",'sonbinh (2016)'!$A$3,"MA_HT","DSH","MA_QH","DGD")</f>
        <v>0</v>
      </c>
      <c r="AI52" s="22">
        <f ca="1">+GETPIVOTDATA("XSB4",'sonbinh (2016)'!$A$3,"MA_HT","DSH","MA_QH","DTT")</f>
        <v>0</v>
      </c>
      <c r="AJ52" s="22">
        <f ca="1">+GETPIVOTDATA("XSB4",'sonbinh (2016)'!$A$3,"MA_HT","DSH","MA_QH","NCK")</f>
        <v>0</v>
      </c>
      <c r="AK52" s="22">
        <f ca="1">+GETPIVOTDATA("XSB4",'sonbinh (2016)'!$A$3,"MA_HT","DSH","MA_QH","DXH")</f>
        <v>0</v>
      </c>
      <c r="AL52" s="22">
        <f ca="1">+GETPIVOTDATA("XSB4",'sonbinh (2016)'!$A$3,"MA_HT","DSH","MA_QH","DCH")</f>
        <v>0</v>
      </c>
      <c r="AM52" s="22">
        <f ca="1">+GETPIVOTDATA("XSB4",'sonbinh (2016)'!$A$3,"MA_HT","DSH","MA_QH","DKG")</f>
        <v>0</v>
      </c>
      <c r="AN52" s="22">
        <f ca="1">+GETPIVOTDATA("XSB4",'sonbinh (2016)'!$A$3,"MA_HT","DSH","MA_QH","DDT")</f>
        <v>0</v>
      </c>
      <c r="AO52" s="22">
        <f ca="1">+GETPIVOTDATA("XSB4",'sonbinh (2016)'!$A$3,"MA_HT","DSH","MA_QH","DDL")</f>
        <v>0</v>
      </c>
      <c r="AP52" s="22">
        <f ca="1">+GETPIVOTDATA("XSB4",'sonbinh (2016)'!$A$3,"MA_HT","DSH","MA_QH","DRA")</f>
        <v>0</v>
      </c>
      <c r="AQ52" s="22">
        <f ca="1">+GETPIVOTDATA("XSB4",'sonbinh (2016)'!$A$3,"MA_HT","DSH","MA_QH","ONT")</f>
        <v>0</v>
      </c>
      <c r="AR52" s="22">
        <f ca="1">+GETPIVOTDATA("XSB4",'sonbinh (2016)'!$A$3,"MA_HT","DSH","MA_QH","ODT")</f>
        <v>0</v>
      </c>
      <c r="AS52" s="22">
        <f ca="1">+GETPIVOTDATA("XSB4",'sonbinh (2016)'!$A$3,"MA_HT","DSH","MA_QH","TSC")</f>
        <v>0</v>
      </c>
      <c r="AT52" s="22">
        <f ca="1">+GETPIVOTDATA("XSB4",'sonbinh (2016)'!$A$3,"MA_HT","DSH","MA_QH","DTS")</f>
        <v>0</v>
      </c>
      <c r="AU52" s="22">
        <f ca="1">+GETPIVOTDATA("XSB4",'sonbinh (2016)'!$A$3,"MA_HT","DSH","MA_QH","DNG")</f>
        <v>0</v>
      </c>
      <c r="AV52" s="22">
        <f ca="1">+GETPIVOTDATA("XSB4",'sonbinh (2016)'!$A$3,"MA_HT","DSH","MA_QH","TON")</f>
        <v>0</v>
      </c>
      <c r="AW52" s="22">
        <f ca="1">+GETPIVOTDATA("XSB4",'sonbinh (2016)'!$A$3,"MA_HT","DSH","MA_QH","NTD")</f>
        <v>0</v>
      </c>
      <c r="AX52" s="22">
        <f ca="1">+GETPIVOTDATA("XSB4",'sonbinh (2016)'!$A$3,"MA_HT","DSH","MA_QH","SKX")</f>
        <v>0</v>
      </c>
      <c r="AY52" s="43" t="e">
        <f ca="1">$D52-$BF52</f>
        <v>#REF!</v>
      </c>
      <c r="AZ52" s="22">
        <f ca="1">+GETPIVOTDATA("XSB4",'sonbinh (2016)'!$A$3,"MA_HT","DSH","MA_QH","DKV")</f>
        <v>0</v>
      </c>
      <c r="BA52" s="89">
        <f ca="1">+GETPIVOTDATA("XSB4",'sonbinh (2016)'!$A$3,"MA_HT","DSH","MA_QH","TIN")</f>
        <v>0</v>
      </c>
      <c r="BB52" s="50">
        <f ca="1">+GETPIVOTDATA("XSB4",'sonbinh (2016)'!$A$3,"MA_HT","DSH","MA_QH","SON")</f>
        <v>0</v>
      </c>
      <c r="BC52" s="50">
        <f ca="1">+GETPIVOTDATA("XSB4",'sonbinh (2016)'!$A$3,"MA_HT","DSH","MA_QH","MNC")</f>
        <v>0</v>
      </c>
      <c r="BD52" s="22">
        <f ca="1">+GETPIVOTDATA("XSB4",'sonbinh (2016)'!$A$3,"MA_HT","DSH","MA_QH","PNK")</f>
        <v>0</v>
      </c>
      <c r="BE52" s="71">
        <f ca="1">+GETPIVOTDATA("XSB4",'sonbinh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+GETPIVOTDATA("XSB4",'sonbinh (2016)'!$A$3,"MA_HT","DKV","MA_QH","LUC")</f>
        <v>0</v>
      </c>
      <c r="H53" s="22">
        <f ca="1">+GETPIVOTDATA("XSB4",'sonbinh (2016)'!$A$3,"MA_HT","DKV","MA_QH","LUK")</f>
        <v>0</v>
      </c>
      <c r="I53" s="22">
        <f ca="1">+GETPIVOTDATA("XSB4",'sonbinh (2016)'!$A$3,"MA_HT","DKV","MA_QH","LUN")</f>
        <v>0</v>
      </c>
      <c r="J53" s="22">
        <f ca="1">+GETPIVOTDATA("XSB4",'sonbinh (2016)'!$A$3,"MA_HT","DKV","MA_QH","HNK")</f>
        <v>0</v>
      </c>
      <c r="K53" s="22">
        <f ca="1">+GETPIVOTDATA("XSB4",'sonbinh (2016)'!$A$3,"MA_HT","DKV","MA_QH","CLN")</f>
        <v>0</v>
      </c>
      <c r="L53" s="22">
        <f ca="1">+GETPIVOTDATA("XSB4",'sonbinh (2016)'!$A$3,"MA_HT","DKV","MA_QH","RSX")</f>
        <v>0</v>
      </c>
      <c r="M53" s="22">
        <f ca="1">+GETPIVOTDATA("XSB4",'sonbinh (2016)'!$A$3,"MA_HT","DKV","MA_QH","RPH")</f>
        <v>0</v>
      </c>
      <c r="N53" s="22">
        <f ca="1">+GETPIVOTDATA("XSB4",'sonbinh (2016)'!$A$3,"MA_HT","DKV","MA_QH","RDD")</f>
        <v>0</v>
      </c>
      <c r="O53" s="22">
        <f ca="1">+GETPIVOTDATA("XSB4",'sonbinh (2016)'!$A$3,"MA_HT","DKV","MA_QH","NTS")</f>
        <v>0</v>
      </c>
      <c r="P53" s="22">
        <f ca="1">+GETPIVOTDATA("XSB4",'sonbinh (2016)'!$A$3,"MA_HT","DKV","MA_QH","LMU")</f>
        <v>0</v>
      </c>
      <c r="Q53" s="22">
        <f ca="1">+GETPIVOTDATA("XSB4",'sonbinh (2016)'!$A$3,"MA_HT","DKV","MA_QH","NKH")</f>
        <v>0</v>
      </c>
      <c r="R53" s="79">
        <f ca="1">SUM(S53:AA53,AN53:AY53,BB53:BD53)</f>
        <v>0</v>
      </c>
      <c r="S53" s="22">
        <f ca="1">+GETPIVOTDATA("XSB4",'sonbinh (2016)'!$A$3,"MA_HT","DKV","MA_QH","CQP")</f>
        <v>0</v>
      </c>
      <c r="T53" s="22">
        <f ca="1">+GETPIVOTDATA("XSB4",'sonbinh (2016)'!$A$3,"MA_HT","DKV","MA_QH","CAN")</f>
        <v>0</v>
      </c>
      <c r="U53" s="22">
        <f ca="1">+GETPIVOTDATA("XSB4",'sonbinh (2016)'!$A$3,"MA_HT","DKV","MA_QH","SKK")</f>
        <v>0</v>
      </c>
      <c r="V53" s="22">
        <f ca="1">+GETPIVOTDATA("XSB4",'sonbinh (2016)'!$A$3,"MA_HT","DKV","MA_QH","SKT")</f>
        <v>0</v>
      </c>
      <c r="W53" s="22">
        <f ca="1">+GETPIVOTDATA("XSB4",'sonbinh (2016)'!$A$3,"MA_HT","DKV","MA_QH","SKN")</f>
        <v>0</v>
      </c>
      <c r="X53" s="22">
        <f ca="1">+GETPIVOTDATA("XSB4",'sonbinh (2016)'!$A$3,"MA_HT","DKV","MA_QH","TMD")</f>
        <v>0</v>
      </c>
      <c r="Y53" s="22">
        <f ca="1">+GETPIVOTDATA("XSB4",'sonbinh (2016)'!$A$3,"MA_HT","DKV","MA_QH","SKC")</f>
        <v>0</v>
      </c>
      <c r="Z53" s="22">
        <f ca="1">+GETPIVOTDATA("XSB4",'sonbinh (2016)'!$A$3,"MA_HT","DKV","MA_QH","SKS")</f>
        <v>0</v>
      </c>
      <c r="AA53" s="52">
        <f ca="1" t="shared" si="21"/>
        <v>0</v>
      </c>
      <c r="AB53" s="22">
        <f ca="1">+GETPIVOTDATA("XSB4",'sonbinh (2016)'!$A$3,"MA_HT","DKV","MA_QH","DGT")</f>
        <v>0</v>
      </c>
      <c r="AC53" s="22">
        <f ca="1">+GETPIVOTDATA("XSB4",'sonbinh (2016)'!$A$3,"MA_HT","DKV","MA_QH","DTL")</f>
        <v>0</v>
      </c>
      <c r="AD53" s="22">
        <f ca="1">+GETPIVOTDATA("XSB4",'sonbinh (2016)'!$A$3,"MA_HT","DKV","MA_QH","DNL")</f>
        <v>0</v>
      </c>
      <c r="AE53" s="22">
        <f ca="1">+GETPIVOTDATA("XSB4",'sonbinh (2016)'!$A$3,"MA_HT","DKV","MA_QH","DBV")</f>
        <v>0</v>
      </c>
      <c r="AF53" s="22">
        <f ca="1">+GETPIVOTDATA("XSB4",'sonbinh (2016)'!$A$3,"MA_HT","DKV","MA_QH","DVH")</f>
        <v>0</v>
      </c>
      <c r="AG53" s="22">
        <f ca="1">+GETPIVOTDATA("XSB4",'sonbinh (2016)'!$A$3,"MA_HT","DKV","MA_QH","DYT")</f>
        <v>0</v>
      </c>
      <c r="AH53" s="22">
        <f ca="1">+GETPIVOTDATA("XSB4",'sonbinh (2016)'!$A$3,"MA_HT","DKV","MA_QH","DGD")</f>
        <v>0</v>
      </c>
      <c r="AI53" s="22">
        <f ca="1">+GETPIVOTDATA("XSB4",'sonbinh (2016)'!$A$3,"MA_HT","DKV","MA_QH","DTT")</f>
        <v>0</v>
      </c>
      <c r="AJ53" s="22">
        <f ca="1">+GETPIVOTDATA("XSB4",'sonbinh (2016)'!$A$3,"MA_HT","DKV","MA_QH","NCK")</f>
        <v>0</v>
      </c>
      <c r="AK53" s="22">
        <f ca="1">+GETPIVOTDATA("XSB4",'sonbinh (2016)'!$A$3,"MA_HT","DKV","MA_QH","DXH")</f>
        <v>0</v>
      </c>
      <c r="AL53" s="22">
        <f ca="1">+GETPIVOTDATA("XSB4",'sonbinh (2016)'!$A$3,"MA_HT","DKV","MA_QH","DCH")</f>
        <v>0</v>
      </c>
      <c r="AM53" s="22">
        <f ca="1">+GETPIVOTDATA("XSB4",'sonbinh (2016)'!$A$3,"MA_HT","DKV","MA_QH","DKG")</f>
        <v>0</v>
      </c>
      <c r="AN53" s="22">
        <f ca="1">+GETPIVOTDATA("XSB4",'sonbinh (2016)'!$A$3,"MA_HT","DKV","MA_QH","DDT")</f>
        <v>0</v>
      </c>
      <c r="AO53" s="22">
        <f ca="1">+GETPIVOTDATA("XSB4",'sonbinh (2016)'!$A$3,"MA_HT","DKV","MA_QH","DDL")</f>
        <v>0</v>
      </c>
      <c r="AP53" s="22">
        <f ca="1">+GETPIVOTDATA("XSB4",'sonbinh (2016)'!$A$3,"MA_HT","DKV","MA_QH","DRA")</f>
        <v>0</v>
      </c>
      <c r="AQ53" s="22">
        <f ca="1">+GETPIVOTDATA("XSB4",'sonbinh (2016)'!$A$3,"MA_HT","DKV","MA_QH","ONT")</f>
        <v>0</v>
      </c>
      <c r="AR53" s="22">
        <f ca="1">+GETPIVOTDATA("XSB4",'sonbinh (2016)'!$A$3,"MA_HT","DKV","MA_QH","ODT")</f>
        <v>0</v>
      </c>
      <c r="AS53" s="22">
        <f ca="1">+GETPIVOTDATA("XSB4",'sonbinh (2016)'!$A$3,"MA_HT","DKV","MA_QH","TSC")</f>
        <v>0</v>
      </c>
      <c r="AT53" s="22">
        <f ca="1">+GETPIVOTDATA("XSB4",'sonbinh (2016)'!$A$3,"MA_HT","DKV","MA_QH","DTS")</f>
        <v>0</v>
      </c>
      <c r="AU53" s="22">
        <f ca="1">+GETPIVOTDATA("XSB4",'sonbinh (2016)'!$A$3,"MA_HT","DKV","MA_QH","DNG")</f>
        <v>0</v>
      </c>
      <c r="AV53" s="22">
        <f ca="1">+GETPIVOTDATA("XSB4",'sonbinh (2016)'!$A$3,"MA_HT","DKV","MA_QH","TON")</f>
        <v>0</v>
      </c>
      <c r="AW53" s="22">
        <f ca="1">+GETPIVOTDATA("XSB4",'sonbinh (2016)'!$A$3,"MA_HT","DKV","MA_QH","NTD")</f>
        <v>0</v>
      </c>
      <c r="AX53" s="22">
        <f ca="1">+GETPIVOTDATA("XSB4",'sonbinh (2016)'!$A$3,"MA_HT","DKV","MA_QH","SKX")</f>
        <v>0</v>
      </c>
      <c r="AY53" s="22">
        <f ca="1">+GETPIVOTDATA("XSB4",'sonbinh (2016)'!$A$3,"MA_HT","DKV","MA_QH","DSH")</f>
        <v>0</v>
      </c>
      <c r="AZ53" s="43" t="e">
        <f ca="1">$D53-$BF53</f>
        <v>#REF!</v>
      </c>
      <c r="BA53" s="89">
        <f ca="1">+GETPIVOTDATA("XSB4",'sonbinh (2016)'!$A$3,"MA_HT","DKV","MA_QH","TIN")</f>
        <v>0</v>
      </c>
      <c r="BB53" s="50">
        <f ca="1">+GETPIVOTDATA("XSB4",'sonbinh (2016)'!$A$3,"MA_HT","DKV","MA_QH","SON")</f>
        <v>0</v>
      </c>
      <c r="BC53" s="50">
        <f ca="1">+GETPIVOTDATA("XSB4",'sonbinh (2016)'!$A$3,"MA_HT","DKV","MA_QH","MNC")</f>
        <v>0</v>
      </c>
      <c r="BD53" s="22">
        <f ca="1">+GETPIVOTDATA("XSB4",'sonbinh (2016)'!$A$3,"MA_HT","DKV","MA_QH","PNK")</f>
        <v>0</v>
      </c>
      <c r="BE53" s="71">
        <f ca="1">+GETPIVOTDATA("XSB4",'sonbinh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+GETPIVOTDATA("XSB4",'sonbinh (2016)'!$A$3,"MA_HT","TIN","MA_QH","LUC")</f>
        <v>0</v>
      </c>
      <c r="H54" s="22">
        <f ca="1">+GETPIVOTDATA("XSB4",'sonbinh (2016)'!$A$3,"MA_HT","TIN","MA_QH","LUK")</f>
        <v>0</v>
      </c>
      <c r="I54" s="22">
        <f ca="1">+GETPIVOTDATA("XSB4",'sonbinh (2016)'!$A$3,"MA_HT","TIN","MA_QH","LUN")</f>
        <v>0</v>
      </c>
      <c r="J54" s="22">
        <f ca="1">+GETPIVOTDATA("XSB4",'sonbinh (2016)'!$A$3,"MA_HT","TIN","MA_QH","HNK")</f>
        <v>0</v>
      </c>
      <c r="K54" s="22">
        <f ca="1">+GETPIVOTDATA("XSB4",'sonbinh (2016)'!$A$3,"MA_HT","TIN","MA_QH","CLN")</f>
        <v>0</v>
      </c>
      <c r="L54" s="22">
        <f ca="1">+GETPIVOTDATA("XSB4",'sonbinh (2016)'!$A$3,"MA_HT","TIN","MA_QH","RSX")</f>
        <v>0</v>
      </c>
      <c r="M54" s="22">
        <f ca="1">+GETPIVOTDATA("XSB4",'sonbinh (2016)'!$A$3,"MA_HT","TIN","MA_QH","RPH")</f>
        <v>0</v>
      </c>
      <c r="N54" s="22">
        <f ca="1">+GETPIVOTDATA("XSB4",'sonbinh (2016)'!$A$3,"MA_HT","TIN","MA_QH","RDD")</f>
        <v>0</v>
      </c>
      <c r="O54" s="22">
        <f ca="1">+GETPIVOTDATA("XSB4",'sonbinh (2016)'!$A$3,"MA_HT","TIN","MA_QH","NTS")</f>
        <v>0</v>
      </c>
      <c r="P54" s="22">
        <f ca="1">+GETPIVOTDATA("XSB4",'sonbinh (2016)'!$A$3,"MA_HT","TIN","MA_QH","LMU")</f>
        <v>0</v>
      </c>
      <c r="Q54" s="22">
        <f ca="1">+GETPIVOTDATA("XSB4",'sonbinh (2016)'!$A$3,"MA_HT","TIN","MA_QH","NKH")</f>
        <v>0</v>
      </c>
      <c r="R54" s="79">
        <f ca="1">SUM(S54:AA54,AN54:AZ54,BB54:BD54)</f>
        <v>0</v>
      </c>
      <c r="S54" s="22">
        <f ca="1">+GETPIVOTDATA("XSB4",'sonbinh (2016)'!$A$3,"MA_HT","TIN","MA_QH","CQP")</f>
        <v>0</v>
      </c>
      <c r="T54" s="22">
        <f ca="1">+GETPIVOTDATA("XSB4",'sonbinh (2016)'!$A$3,"MA_HT","TIN","MA_QH","CAN")</f>
        <v>0</v>
      </c>
      <c r="U54" s="22">
        <f ca="1">+GETPIVOTDATA("XSB4",'sonbinh (2016)'!$A$3,"MA_HT","TIN","MA_QH","SKK")</f>
        <v>0</v>
      </c>
      <c r="V54" s="22">
        <f ca="1">+GETPIVOTDATA("XSB4",'sonbinh (2016)'!$A$3,"MA_HT","TIN","MA_QH","SKT")</f>
        <v>0</v>
      </c>
      <c r="W54" s="22">
        <f ca="1">+GETPIVOTDATA("XSB4",'sonbinh (2016)'!$A$3,"MA_HT","TIN","MA_QH","SKN")</f>
        <v>0</v>
      </c>
      <c r="X54" s="22">
        <f ca="1">+GETPIVOTDATA("XSB4",'sonbinh (2016)'!$A$3,"MA_HT","TIN","MA_QH","TMD")</f>
        <v>0</v>
      </c>
      <c r="Y54" s="22">
        <f ca="1">+GETPIVOTDATA("XSB4",'sonbinh (2016)'!$A$3,"MA_HT","TIN","MA_QH","SKC")</f>
        <v>0</v>
      </c>
      <c r="Z54" s="22">
        <f ca="1">+GETPIVOTDATA("XSB4",'sonbinh (2016)'!$A$3,"MA_HT","TIN","MA_QH","SKS")</f>
        <v>0</v>
      </c>
      <c r="AA54" s="52">
        <f ca="1" t="shared" si="21"/>
        <v>0</v>
      </c>
      <c r="AB54" s="22">
        <f ca="1">+GETPIVOTDATA("XSB4",'sonbinh (2016)'!$A$3,"MA_HT","TIN","MA_QH","DGT")</f>
        <v>0</v>
      </c>
      <c r="AC54" s="22">
        <f ca="1">+GETPIVOTDATA("XSB4",'sonbinh (2016)'!$A$3,"MA_HT","TIN","MA_QH","DTL")</f>
        <v>0</v>
      </c>
      <c r="AD54" s="22">
        <f ca="1">+GETPIVOTDATA("XSB4",'sonbinh (2016)'!$A$3,"MA_HT","TIN","MA_QH","DNL")</f>
        <v>0</v>
      </c>
      <c r="AE54" s="22">
        <f ca="1">+GETPIVOTDATA("XSB4",'sonbinh (2016)'!$A$3,"MA_HT","TIN","MA_QH","DBV")</f>
        <v>0</v>
      </c>
      <c r="AF54" s="22">
        <f ca="1">+GETPIVOTDATA("XSB4",'sonbinh (2016)'!$A$3,"MA_HT","TIN","MA_QH","DVH")</f>
        <v>0</v>
      </c>
      <c r="AG54" s="22">
        <f ca="1">+GETPIVOTDATA("XSB4",'sonbinh (2016)'!$A$3,"MA_HT","TIN","MA_QH","DYT")</f>
        <v>0</v>
      </c>
      <c r="AH54" s="22">
        <f ca="1">+GETPIVOTDATA("XSB4",'sonbinh (2016)'!$A$3,"MA_HT","TIN","MA_QH","DGD")</f>
        <v>0</v>
      </c>
      <c r="AI54" s="22">
        <f ca="1">+GETPIVOTDATA("XSB4",'sonbinh (2016)'!$A$3,"MA_HT","TIN","MA_QH","DTT")</f>
        <v>0</v>
      </c>
      <c r="AJ54" s="22">
        <f ca="1">+GETPIVOTDATA("XSB4",'sonbinh (2016)'!$A$3,"MA_HT","TIN","MA_QH","NCK")</f>
        <v>0</v>
      </c>
      <c r="AK54" s="22">
        <f ca="1">+GETPIVOTDATA("XSB4",'sonbinh (2016)'!$A$3,"MA_HT","TIN","MA_QH","DXH")</f>
        <v>0</v>
      </c>
      <c r="AL54" s="22">
        <f ca="1">+GETPIVOTDATA("XSB4",'sonbinh (2016)'!$A$3,"MA_HT","TIN","MA_QH","DCH")</f>
        <v>0</v>
      </c>
      <c r="AM54" s="22">
        <f ca="1">+GETPIVOTDATA("XSB4",'sonbinh (2016)'!$A$3,"MA_HT","TIN","MA_QH","DKG")</f>
        <v>0</v>
      </c>
      <c r="AN54" s="22">
        <f ca="1">+GETPIVOTDATA("XSB4",'sonbinh (2016)'!$A$3,"MA_HT","TIN","MA_QH","DDT")</f>
        <v>0</v>
      </c>
      <c r="AO54" s="22">
        <f ca="1">+GETPIVOTDATA("XSB4",'sonbinh (2016)'!$A$3,"MA_HT","TIN","MA_QH","DDL")</f>
        <v>0</v>
      </c>
      <c r="AP54" s="22">
        <f ca="1">+GETPIVOTDATA("XSB4",'sonbinh (2016)'!$A$3,"MA_HT","TIN","MA_QH","DRA")</f>
        <v>0</v>
      </c>
      <c r="AQ54" s="22">
        <f ca="1">+GETPIVOTDATA("XSB4",'sonbinh (2016)'!$A$3,"MA_HT","TIN","MA_QH","ONT")</f>
        <v>0</v>
      </c>
      <c r="AR54" s="22">
        <f ca="1">+GETPIVOTDATA("XSB4",'sonbinh (2016)'!$A$3,"MA_HT","TIN","MA_QH","ODT")</f>
        <v>0</v>
      </c>
      <c r="AS54" s="22">
        <f ca="1">+GETPIVOTDATA("XSB4",'sonbinh (2016)'!$A$3,"MA_HT","TIN","MA_QH","TSC")</f>
        <v>0</v>
      </c>
      <c r="AT54" s="22">
        <f ca="1">+GETPIVOTDATA("XSB4",'sonbinh (2016)'!$A$3,"MA_HT","TIN","MA_QH","DTS")</f>
        <v>0</v>
      </c>
      <c r="AU54" s="22">
        <f ca="1">+GETPIVOTDATA("XSB4",'sonbinh (2016)'!$A$3,"MA_HT","TIN","MA_QH","DNG")</f>
        <v>0</v>
      </c>
      <c r="AV54" s="22">
        <f ca="1">+GETPIVOTDATA("XSB4",'sonbinh (2016)'!$A$3,"MA_HT","TIN","MA_QH","TON")</f>
        <v>0</v>
      </c>
      <c r="AW54" s="22">
        <f ca="1">+GETPIVOTDATA("XSB4",'sonbinh (2016)'!$A$3,"MA_HT","TIN","MA_QH","NTD")</f>
        <v>0</v>
      </c>
      <c r="AX54" s="22">
        <f ca="1">+GETPIVOTDATA("XSB4",'sonbinh (2016)'!$A$3,"MA_HT","TIN","MA_QH","SKX")</f>
        <v>0</v>
      </c>
      <c r="AY54" s="22">
        <f ca="1">+GETPIVOTDATA("XSB4",'sonbinh (2016)'!$A$3,"MA_HT","TIN","MA_QH","DSH")</f>
        <v>0</v>
      </c>
      <c r="AZ54" s="22">
        <f ca="1">+GETPIVOTDATA("XSB4",'sonbinh (2016)'!$A$3,"MA_HT","TIN","MA_QH","DKV")</f>
        <v>0</v>
      </c>
      <c r="BA54" s="43" t="e">
        <f ca="1">$D54-$BF54</f>
        <v>#REF!</v>
      </c>
      <c r="BB54" s="22">
        <f ca="1">+GETPIVOTDATA("XSB4",'sonbinh (2016)'!$A$3,"MA_HT","TIN","MA_QH","SON")</f>
        <v>0</v>
      </c>
      <c r="BC54" s="22">
        <f ca="1">+GETPIVOTDATA("XSB4",'sonbinh (2016)'!$A$3,"MA_HT","TIN","MA_QH","MNC")</f>
        <v>0</v>
      </c>
      <c r="BD54" s="22">
        <f ca="1">+GETPIVOTDATA("XSB4",'sonbinh (2016)'!$A$3,"MA_HT","TIN","MA_QH","PNK")</f>
        <v>0</v>
      </c>
      <c r="BE54" s="71">
        <f ca="1">+GETPIVOTDATA("XSB4",'sonbinh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+GETPIVOTDATA("XSB4",'sonbinh (2016)'!$A$3,"MA_HT","SON","MA_QH","LUC")</f>
        <v>0</v>
      </c>
      <c r="H55" s="22">
        <f ca="1">+GETPIVOTDATA("XSB4",'sonbinh (2016)'!$A$3,"MA_HT","SON","MA_QH","LUK")</f>
        <v>0</v>
      </c>
      <c r="I55" s="22">
        <f ca="1">+GETPIVOTDATA("XSB4",'sonbinh (2016)'!$A$3,"MA_HT","SON","MA_QH","LUN")</f>
        <v>0</v>
      </c>
      <c r="J55" s="22">
        <f ca="1">+GETPIVOTDATA("XSB4",'sonbinh (2016)'!$A$3,"MA_HT","SON","MA_QH","HNK")</f>
        <v>0</v>
      </c>
      <c r="K55" s="22">
        <f ca="1">+GETPIVOTDATA("XSB4",'sonbinh (2016)'!$A$3,"MA_HT","SON","MA_QH","CLN")</f>
        <v>0</v>
      </c>
      <c r="L55" s="22">
        <f ca="1">+GETPIVOTDATA("XSB4",'sonbinh (2016)'!$A$3,"MA_HT","SON","MA_QH","RSX")</f>
        <v>0</v>
      </c>
      <c r="M55" s="22">
        <f ca="1">+GETPIVOTDATA("XSB4",'sonbinh (2016)'!$A$3,"MA_HT","SON","MA_QH","RPH")</f>
        <v>0</v>
      </c>
      <c r="N55" s="22">
        <f ca="1">+GETPIVOTDATA("XSB4",'sonbinh (2016)'!$A$3,"MA_HT","SON","MA_QH","RDD")</f>
        <v>0</v>
      </c>
      <c r="O55" s="22">
        <f ca="1">+GETPIVOTDATA("XSB4",'sonbinh (2016)'!$A$3,"MA_HT","SON","MA_QH","NTS")</f>
        <v>0</v>
      </c>
      <c r="P55" s="22">
        <f ca="1">+GETPIVOTDATA("XSB4",'sonbinh (2016)'!$A$3,"MA_HT","SON","MA_QH","LMU")</f>
        <v>0</v>
      </c>
      <c r="Q55" s="22">
        <f ca="1">+GETPIVOTDATA("XSB4",'sonbinh (2016)'!$A$3,"MA_HT","SON","MA_QH","NKH")</f>
        <v>0</v>
      </c>
      <c r="R55" s="79">
        <f ca="1">SUM(S55:AA55,AN55:AZ55,BC55:BD55)</f>
        <v>0</v>
      </c>
      <c r="S55" s="22">
        <f ca="1">+GETPIVOTDATA("XSB4",'sonbinh (2016)'!$A$3,"MA_HT","SON","MA_QH","CQP")</f>
        <v>0</v>
      </c>
      <c r="T55" s="22">
        <f ca="1">+GETPIVOTDATA("XSB4",'sonbinh (2016)'!$A$3,"MA_HT","SON","MA_QH","CAN")</f>
        <v>0</v>
      </c>
      <c r="U55" s="22">
        <f ca="1">+GETPIVOTDATA("XSB4",'sonbinh (2016)'!$A$3,"MA_HT","SON","MA_QH","SKK")</f>
        <v>0</v>
      </c>
      <c r="V55" s="22">
        <f ca="1">+GETPIVOTDATA("XSB4",'sonbinh (2016)'!$A$3,"MA_HT","SON","MA_QH","SKT")</f>
        <v>0</v>
      </c>
      <c r="W55" s="22">
        <f ca="1">+GETPIVOTDATA("XSB4",'sonbinh (2016)'!$A$3,"MA_HT","SON","MA_QH","SKN")</f>
        <v>0</v>
      </c>
      <c r="X55" s="22">
        <f ca="1">+GETPIVOTDATA("XSB4",'sonbinh (2016)'!$A$3,"MA_HT","SON","MA_QH","TMD")</f>
        <v>0</v>
      </c>
      <c r="Y55" s="22">
        <f ca="1">+GETPIVOTDATA("XSB4",'sonbinh (2016)'!$A$3,"MA_HT","SON","MA_QH","SKC")</f>
        <v>0</v>
      </c>
      <c r="Z55" s="22">
        <f ca="1">+GETPIVOTDATA("XSB4",'sonbinh (2016)'!$A$3,"MA_HT","SON","MA_QH","SKS")</f>
        <v>0</v>
      </c>
      <c r="AA55" s="52">
        <f ca="1" t="shared" si="21"/>
        <v>0</v>
      </c>
      <c r="AB55" s="22">
        <f ca="1">+GETPIVOTDATA("XSB4",'sonbinh (2016)'!$A$3,"MA_HT","SON","MA_QH","DGT")</f>
        <v>0</v>
      </c>
      <c r="AC55" s="22">
        <f ca="1">+GETPIVOTDATA("XSB4",'sonbinh (2016)'!$A$3,"MA_HT","SON","MA_QH","DTL")</f>
        <v>0</v>
      </c>
      <c r="AD55" s="22">
        <f ca="1">+GETPIVOTDATA("XSB4",'sonbinh (2016)'!$A$3,"MA_HT","SON","MA_QH","DNL")</f>
        <v>0</v>
      </c>
      <c r="AE55" s="22">
        <f ca="1">+GETPIVOTDATA("XSB4",'sonbinh (2016)'!$A$3,"MA_HT","SON","MA_QH","DBV")</f>
        <v>0</v>
      </c>
      <c r="AF55" s="22">
        <f ca="1">+GETPIVOTDATA("XSB4",'sonbinh (2016)'!$A$3,"MA_HT","SON","MA_QH","DVH")</f>
        <v>0</v>
      </c>
      <c r="AG55" s="22">
        <f ca="1">+GETPIVOTDATA("XSB4",'sonbinh (2016)'!$A$3,"MA_HT","SON","MA_QH","DYT")</f>
        <v>0</v>
      </c>
      <c r="AH55" s="22">
        <f ca="1">+GETPIVOTDATA("XSB4",'sonbinh (2016)'!$A$3,"MA_HT","SON","MA_QH","DGD")</f>
        <v>0</v>
      </c>
      <c r="AI55" s="22">
        <f ca="1">+GETPIVOTDATA("XSB4",'sonbinh (2016)'!$A$3,"MA_HT","SON","MA_QH","DTT")</f>
        <v>0</v>
      </c>
      <c r="AJ55" s="22">
        <f ca="1">+GETPIVOTDATA("XSB4",'sonbinh (2016)'!$A$3,"MA_HT","SON","MA_QH","NCK")</f>
        <v>0</v>
      </c>
      <c r="AK55" s="22">
        <f ca="1">+GETPIVOTDATA("XSB4",'sonbinh (2016)'!$A$3,"MA_HT","SON","MA_QH","DXH")</f>
        <v>0</v>
      </c>
      <c r="AL55" s="22">
        <f ca="1">+GETPIVOTDATA("XSB4",'sonbinh (2016)'!$A$3,"MA_HT","SON","MA_QH","DCH")</f>
        <v>0</v>
      </c>
      <c r="AM55" s="22">
        <f ca="1">+GETPIVOTDATA("XSB4",'sonbinh (2016)'!$A$3,"MA_HT","SON","MA_QH","DKG")</f>
        <v>0</v>
      </c>
      <c r="AN55" s="22">
        <f ca="1">+GETPIVOTDATA("XSB4",'sonbinh (2016)'!$A$3,"MA_HT","SON","MA_QH","DDT")</f>
        <v>0</v>
      </c>
      <c r="AO55" s="22">
        <f ca="1">+GETPIVOTDATA("XSB4",'sonbinh (2016)'!$A$3,"MA_HT","SON","MA_QH","DDL")</f>
        <v>0</v>
      </c>
      <c r="AP55" s="22">
        <f ca="1">+GETPIVOTDATA("XSB4",'sonbinh (2016)'!$A$3,"MA_HT","SON","MA_QH","DRA")</f>
        <v>0</v>
      </c>
      <c r="AQ55" s="22">
        <f ca="1">+GETPIVOTDATA("XSB4",'sonbinh (2016)'!$A$3,"MA_HT","SON","MA_QH","ONT")</f>
        <v>0</v>
      </c>
      <c r="AR55" s="22">
        <f ca="1">+GETPIVOTDATA("XSB4",'sonbinh (2016)'!$A$3,"MA_HT","SON","MA_QH","ODT")</f>
        <v>0</v>
      </c>
      <c r="AS55" s="22">
        <f ca="1">+GETPIVOTDATA("XSB4",'sonbinh (2016)'!$A$3,"MA_HT","SON","MA_QH","TSC")</f>
        <v>0</v>
      </c>
      <c r="AT55" s="22">
        <f ca="1">+GETPIVOTDATA("XSB4",'sonbinh (2016)'!$A$3,"MA_HT","SON","MA_QH","DTS")</f>
        <v>0</v>
      </c>
      <c r="AU55" s="22">
        <f ca="1">+GETPIVOTDATA("XSB4",'sonbinh (2016)'!$A$3,"MA_HT","SON","MA_QH","DNG")</f>
        <v>0</v>
      </c>
      <c r="AV55" s="22">
        <f ca="1">+GETPIVOTDATA("XSB4",'sonbinh (2016)'!$A$3,"MA_HT","SON","MA_QH","TON")</f>
        <v>0</v>
      </c>
      <c r="AW55" s="22">
        <f ca="1">+GETPIVOTDATA("XSB4",'sonbinh (2016)'!$A$3,"MA_HT","SON","MA_QH","NTD")</f>
        <v>0</v>
      </c>
      <c r="AX55" s="22">
        <f ca="1">+GETPIVOTDATA("XSB4",'sonbinh (2016)'!$A$3,"MA_HT","SON","MA_QH","SKX")</f>
        <v>0</v>
      </c>
      <c r="AY55" s="22">
        <f ca="1">+GETPIVOTDATA("XSB4",'sonbinh (2016)'!$A$3,"MA_HT","SON","MA_QH","DSH")</f>
        <v>0</v>
      </c>
      <c r="AZ55" s="22">
        <f ca="1">+GETPIVOTDATA("XSB4",'sonbinh (2016)'!$A$3,"MA_HT","SON","MA_QH","DKV")</f>
        <v>0</v>
      </c>
      <c r="BA55" s="89">
        <f ca="1">+GETPIVOTDATA("XSB4",'sonbinh (2016)'!$A$3,"MA_HT","SON","MA_QH","TIN")</f>
        <v>0</v>
      </c>
      <c r="BB55" s="43" t="e">
        <f ca="1">$D55-$BF55</f>
        <v>#REF!</v>
      </c>
      <c r="BC55" s="50">
        <f ca="1">+GETPIVOTDATA("XSB4",'sonbinh (2016)'!$A$3,"MA_HT","SON","MA_QH","MNC")</f>
        <v>0</v>
      </c>
      <c r="BD55" s="22">
        <f ca="1">+GETPIVOTDATA("XSB4",'sonbinh (2016)'!$A$3,"MA_HT","SON","MA_QH","PNK")</f>
        <v>0</v>
      </c>
      <c r="BE55" s="71">
        <f ca="1">+GETPIVOTDATA("XSB4",'sonbinh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+GETPIVOTDATA("XSB4",'sonbinh (2016)'!$A$3,"MA_HT","MNC","MA_QH","LUC")</f>
        <v>0</v>
      </c>
      <c r="H56" s="22">
        <f ca="1">+GETPIVOTDATA("XSB4",'sonbinh (2016)'!$A$3,"MA_HT","MNC","MA_QH","LUK")</f>
        <v>0</v>
      </c>
      <c r="I56" s="22">
        <f ca="1">+GETPIVOTDATA("XSB4",'sonbinh (2016)'!$A$3,"MA_HT","MNC","MA_QH","LUN")</f>
        <v>0</v>
      </c>
      <c r="J56" s="22">
        <f ca="1">+GETPIVOTDATA("XSB4",'sonbinh (2016)'!$A$3,"MA_HT","MNC","MA_QH","HNK")</f>
        <v>0</v>
      </c>
      <c r="K56" s="22">
        <f ca="1">+GETPIVOTDATA("XSB4",'sonbinh (2016)'!$A$3,"MA_HT","MNC","MA_QH","CLN")</f>
        <v>0</v>
      </c>
      <c r="L56" s="22">
        <f ca="1">+GETPIVOTDATA("XSB4",'sonbinh (2016)'!$A$3,"MA_HT","MNC","MA_QH","RSX")</f>
        <v>0</v>
      </c>
      <c r="M56" s="22">
        <f ca="1">+GETPIVOTDATA("XSB4",'sonbinh (2016)'!$A$3,"MA_HT","MNC","MA_QH","RPH")</f>
        <v>0</v>
      </c>
      <c r="N56" s="22">
        <f ca="1">+GETPIVOTDATA("XSB4",'sonbinh (2016)'!$A$3,"MA_HT","MNC","MA_QH","RDD")</f>
        <v>0</v>
      </c>
      <c r="O56" s="22">
        <f ca="1">+GETPIVOTDATA("XSB4",'sonbinh (2016)'!$A$3,"MA_HT","MNC","MA_QH","NTS")</f>
        <v>0</v>
      </c>
      <c r="P56" s="22">
        <f ca="1">+GETPIVOTDATA("XSB4",'sonbinh (2016)'!$A$3,"MA_HT","MNC","MA_QH","LMU")</f>
        <v>0</v>
      </c>
      <c r="Q56" s="22">
        <f ca="1">+GETPIVOTDATA("XSB4",'sonbinh (2016)'!$A$3,"MA_HT","MNC","MA_QH","NKH")</f>
        <v>0</v>
      </c>
      <c r="R56" s="79">
        <f ca="1">SUM(S56:AA56,AN56:BB56,BD56)</f>
        <v>0</v>
      </c>
      <c r="S56" s="22">
        <f ca="1">+GETPIVOTDATA("XSB4",'sonbinh (2016)'!$A$3,"MA_HT","MNC","MA_QH","CQP")</f>
        <v>0</v>
      </c>
      <c r="T56" s="22">
        <f ca="1">+GETPIVOTDATA("XSB4",'sonbinh (2016)'!$A$3,"MA_HT","MNC","MA_QH","CAN")</f>
        <v>0</v>
      </c>
      <c r="U56" s="22">
        <f ca="1">+GETPIVOTDATA("XSB4",'sonbinh (2016)'!$A$3,"MA_HT","MNC","MA_QH","SKK")</f>
        <v>0</v>
      </c>
      <c r="V56" s="22">
        <f ca="1">+GETPIVOTDATA("XSB4",'sonbinh (2016)'!$A$3,"MA_HT","MNC","MA_QH","SKT")</f>
        <v>0</v>
      </c>
      <c r="W56" s="22">
        <f ca="1">+GETPIVOTDATA("XSB4",'sonbinh (2016)'!$A$3,"MA_HT","MNC","MA_QH","SKN")</f>
        <v>0</v>
      </c>
      <c r="X56" s="22">
        <f ca="1">+GETPIVOTDATA("XSB4",'sonbinh (2016)'!$A$3,"MA_HT","MNC","MA_QH","TMD")</f>
        <v>0</v>
      </c>
      <c r="Y56" s="22">
        <f ca="1">+GETPIVOTDATA("XSB4",'sonbinh (2016)'!$A$3,"MA_HT","MNC","MA_QH","SKC")</f>
        <v>0</v>
      </c>
      <c r="Z56" s="22">
        <f ca="1">+GETPIVOTDATA("XSB4",'sonbinh (2016)'!$A$3,"MA_HT","MNC","MA_QH","SKS")</f>
        <v>0</v>
      </c>
      <c r="AA56" s="52">
        <f ca="1" t="shared" si="21"/>
        <v>0</v>
      </c>
      <c r="AB56" s="22">
        <f ca="1">+GETPIVOTDATA("XSB4",'sonbinh (2016)'!$A$3,"MA_HT","MNC","MA_QH","DGT")</f>
        <v>0</v>
      </c>
      <c r="AC56" s="22">
        <f ca="1">+GETPIVOTDATA("XSB4",'sonbinh (2016)'!$A$3,"MA_HT","MNC","MA_QH","DTL")</f>
        <v>0</v>
      </c>
      <c r="AD56" s="22">
        <f ca="1">+GETPIVOTDATA("XSB4",'sonbinh (2016)'!$A$3,"MA_HT","MNC","MA_QH","DNL")</f>
        <v>0</v>
      </c>
      <c r="AE56" s="22">
        <f ca="1">+GETPIVOTDATA("XSB4",'sonbinh (2016)'!$A$3,"MA_HT","MNC","MA_QH","DBV")</f>
        <v>0</v>
      </c>
      <c r="AF56" s="22">
        <f ca="1">+GETPIVOTDATA("XSB4",'sonbinh (2016)'!$A$3,"MA_HT","MNC","MA_QH","DVH")</f>
        <v>0</v>
      </c>
      <c r="AG56" s="22">
        <f ca="1">+GETPIVOTDATA("XSB4",'sonbinh (2016)'!$A$3,"MA_HT","MNC","MA_QH","DYT")</f>
        <v>0</v>
      </c>
      <c r="AH56" s="22">
        <f ca="1">+GETPIVOTDATA("XSB4",'sonbinh (2016)'!$A$3,"MA_HT","MNC","MA_QH","DGD")</f>
        <v>0</v>
      </c>
      <c r="AI56" s="22">
        <f ca="1">+GETPIVOTDATA("XSB4",'sonbinh (2016)'!$A$3,"MA_HT","MNC","MA_QH","DTT")</f>
        <v>0</v>
      </c>
      <c r="AJ56" s="22">
        <f ca="1">+GETPIVOTDATA("XSB4",'sonbinh (2016)'!$A$3,"MA_HT","MNC","MA_QH","NCK")</f>
        <v>0</v>
      </c>
      <c r="AK56" s="22">
        <f ca="1">+GETPIVOTDATA("XSB4",'sonbinh (2016)'!$A$3,"MA_HT","MNC","MA_QH","DXH")</f>
        <v>0</v>
      </c>
      <c r="AL56" s="22">
        <f ca="1">+GETPIVOTDATA("XSB4",'sonbinh (2016)'!$A$3,"MA_HT","MNC","MA_QH","DCH")</f>
        <v>0</v>
      </c>
      <c r="AM56" s="22">
        <f ca="1">+GETPIVOTDATA("XSB4",'sonbinh (2016)'!$A$3,"MA_HT","MNC","MA_QH","DKG")</f>
        <v>0</v>
      </c>
      <c r="AN56" s="22">
        <f ca="1">+GETPIVOTDATA("XSB4",'sonbinh (2016)'!$A$3,"MA_HT","MNC","MA_QH","DDT")</f>
        <v>0</v>
      </c>
      <c r="AO56" s="22">
        <f ca="1">+GETPIVOTDATA("XSB4",'sonbinh (2016)'!$A$3,"MA_HT","MNC","MA_QH","DDL")</f>
        <v>0</v>
      </c>
      <c r="AP56" s="22">
        <f ca="1">+GETPIVOTDATA("XSB4",'sonbinh (2016)'!$A$3,"MA_HT","MNC","MA_QH","DRA")</f>
        <v>0</v>
      </c>
      <c r="AQ56" s="22">
        <f ca="1">+GETPIVOTDATA("XSB4",'sonbinh (2016)'!$A$3,"MA_HT","MNC","MA_QH","ONT")</f>
        <v>0</v>
      </c>
      <c r="AR56" s="22">
        <f ca="1">+GETPIVOTDATA("XSB4",'sonbinh (2016)'!$A$3,"MA_HT","MNC","MA_QH","ODT")</f>
        <v>0</v>
      </c>
      <c r="AS56" s="22">
        <f ca="1">+GETPIVOTDATA("XSB4",'sonbinh (2016)'!$A$3,"MA_HT","MNC","MA_QH","TSC")</f>
        <v>0</v>
      </c>
      <c r="AT56" s="22">
        <f ca="1">+GETPIVOTDATA("XSB4",'sonbinh (2016)'!$A$3,"MA_HT","MNC","MA_QH","DTS")</f>
        <v>0</v>
      </c>
      <c r="AU56" s="22">
        <f ca="1">+GETPIVOTDATA("XSB4",'sonbinh (2016)'!$A$3,"MA_HT","MNC","MA_QH","DNG")</f>
        <v>0</v>
      </c>
      <c r="AV56" s="22">
        <f ca="1">+GETPIVOTDATA("XSB4",'sonbinh (2016)'!$A$3,"MA_HT","MNC","MA_QH","TON")</f>
        <v>0</v>
      </c>
      <c r="AW56" s="22">
        <f ca="1">+GETPIVOTDATA("XSB4",'sonbinh (2016)'!$A$3,"MA_HT","MNC","MA_QH","NTD")</f>
        <v>0</v>
      </c>
      <c r="AX56" s="22">
        <f ca="1">+GETPIVOTDATA("XSB4",'sonbinh (2016)'!$A$3,"MA_HT","MNC","MA_QH","SKX")</f>
        <v>0</v>
      </c>
      <c r="AY56" s="22">
        <f ca="1">+GETPIVOTDATA("XSB4",'sonbinh (2016)'!$A$3,"MA_HT","MNC","MA_QH","DSH")</f>
        <v>0</v>
      </c>
      <c r="AZ56" s="22">
        <f ca="1">+GETPIVOTDATA("XSB4",'sonbinh (2016)'!$A$3,"MA_HT","MNC","MA_QH","DKV")</f>
        <v>0</v>
      </c>
      <c r="BA56" s="89">
        <f ca="1">+GETPIVOTDATA("XSB4",'sonbinh (2016)'!$A$3,"MA_HT","MNC","MA_QH","TIN")</f>
        <v>0</v>
      </c>
      <c r="BB56" s="50">
        <f ca="1">+GETPIVOTDATA("XSB4",'sonbinh (2016)'!$A$3,"MA_HT","MNC","MA_QH","SON")</f>
        <v>0</v>
      </c>
      <c r="BC56" s="43" t="e">
        <f ca="1">$D56-$BF56</f>
        <v>#REF!</v>
      </c>
      <c r="BD56" s="22">
        <f ca="1">+GETPIVOTDATA("XSB4",'sonbinh (2016)'!$A$3,"MA_HT","MNC","MA_QH","PNK")</f>
        <v>0</v>
      </c>
      <c r="BE56" s="71">
        <f ca="1">+GETPIVOTDATA("XSB4",'sonbinh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+GETPIVOTDATA("XSB4",'sonbinh (2016)'!$A$3,"MA_HT","PNK","MA_QH","LUC")</f>
        <v>0</v>
      </c>
      <c r="H57" s="22">
        <f ca="1">+GETPIVOTDATA("XSB4",'sonbinh (2016)'!$A$3,"MA_HT","PNK","MA_QH","LUK")</f>
        <v>0</v>
      </c>
      <c r="I57" s="22">
        <f ca="1">+GETPIVOTDATA("XSB4",'sonbinh (2016)'!$A$3,"MA_HT","PNK","MA_QH","LUN")</f>
        <v>0</v>
      </c>
      <c r="J57" s="22">
        <f ca="1">+GETPIVOTDATA("XSB4",'sonbinh (2016)'!$A$3,"MA_HT","PNK","MA_QH","HNK")</f>
        <v>0</v>
      </c>
      <c r="K57" s="22">
        <f ca="1">+GETPIVOTDATA("XSB4",'sonbinh (2016)'!$A$3,"MA_HT","PNK","MA_QH","CLN")</f>
        <v>0</v>
      </c>
      <c r="L57" s="22">
        <f ca="1">+GETPIVOTDATA("XSB4",'sonbinh (2016)'!$A$3,"MA_HT","PNK","MA_QH","RSX")</f>
        <v>0</v>
      </c>
      <c r="M57" s="22">
        <f ca="1">+GETPIVOTDATA("XSB4",'sonbinh (2016)'!$A$3,"MA_HT","PNK","MA_QH","RPH")</f>
        <v>0</v>
      </c>
      <c r="N57" s="22">
        <f ca="1">+GETPIVOTDATA("XSB4",'sonbinh (2016)'!$A$3,"MA_HT","PNK","MA_QH","RDD")</f>
        <v>0</v>
      </c>
      <c r="O57" s="22">
        <f ca="1">+GETPIVOTDATA("XSB4",'sonbinh (2016)'!$A$3,"MA_HT","PNK","MA_QH","NTS")</f>
        <v>0</v>
      </c>
      <c r="P57" s="22">
        <f ca="1">+GETPIVOTDATA("XSB4",'sonbinh (2016)'!$A$3,"MA_HT","PNK","MA_QH","LMU")</f>
        <v>0</v>
      </c>
      <c r="Q57" s="22">
        <f ca="1">+GETPIVOTDATA("XSB4",'sonbinh (2016)'!$A$3,"MA_HT","PNK","MA_QH","NKH")</f>
        <v>0</v>
      </c>
      <c r="R57" s="79">
        <f ca="1">SUM(S57:AA57,AN57:BC57)</f>
        <v>0</v>
      </c>
      <c r="S57" s="22">
        <f ca="1">+GETPIVOTDATA("XSB4",'sonbinh (2016)'!$A$3,"MA_HT","PNK","MA_QH","CQP")</f>
        <v>0</v>
      </c>
      <c r="T57" s="22">
        <f ca="1">+GETPIVOTDATA("XSB4",'sonbinh (2016)'!$A$3,"MA_HT","PNK","MA_QH","CAN")</f>
        <v>0</v>
      </c>
      <c r="U57" s="22">
        <f ca="1">+GETPIVOTDATA("XSB4",'sonbinh (2016)'!$A$3,"MA_HT","PNK","MA_QH","SKK")</f>
        <v>0</v>
      </c>
      <c r="V57" s="22">
        <f ca="1">+GETPIVOTDATA("XSB4",'sonbinh (2016)'!$A$3,"MA_HT","PNK","MA_QH","SKT")</f>
        <v>0</v>
      </c>
      <c r="W57" s="22">
        <f ca="1">+GETPIVOTDATA("XSB4",'sonbinh (2016)'!$A$3,"MA_HT","PNK","MA_QH","SKN")</f>
        <v>0</v>
      </c>
      <c r="X57" s="22">
        <f ca="1">+GETPIVOTDATA("XSB4",'sonbinh (2016)'!$A$3,"MA_HT","PNK","MA_QH","TMD")</f>
        <v>0</v>
      </c>
      <c r="Y57" s="22">
        <f ca="1">+GETPIVOTDATA("XSB4",'sonbinh (2016)'!$A$3,"MA_HT","PNK","MA_QH","SKC")</f>
        <v>0</v>
      </c>
      <c r="Z57" s="22">
        <f ca="1">+GETPIVOTDATA("XSB4",'sonbinh (2016)'!$A$3,"MA_HT","PNK","MA_QH","SKS")</f>
        <v>0</v>
      </c>
      <c r="AA57" s="52">
        <f ca="1" t="shared" si="21"/>
        <v>0</v>
      </c>
      <c r="AB57" s="22">
        <f ca="1">+GETPIVOTDATA("XSB4",'sonbinh (2016)'!$A$3,"MA_HT","PNK","MA_QH","DGT")</f>
        <v>0</v>
      </c>
      <c r="AC57" s="22">
        <f ca="1">+GETPIVOTDATA("XSB4",'sonbinh (2016)'!$A$3,"MA_HT","PNK","MA_QH","DTL")</f>
        <v>0</v>
      </c>
      <c r="AD57" s="22">
        <f ca="1">+GETPIVOTDATA("XSB4",'sonbinh (2016)'!$A$3,"MA_HT","PNK","MA_QH","DNL")</f>
        <v>0</v>
      </c>
      <c r="AE57" s="22">
        <f ca="1">+GETPIVOTDATA("XSB4",'sonbinh (2016)'!$A$3,"MA_HT","PNK","MA_QH","DBV")</f>
        <v>0</v>
      </c>
      <c r="AF57" s="22">
        <f ca="1">+GETPIVOTDATA("XSB4",'sonbinh (2016)'!$A$3,"MA_HT","PNK","MA_QH","DVH")</f>
        <v>0</v>
      </c>
      <c r="AG57" s="22">
        <f ca="1">+GETPIVOTDATA("XSB4",'sonbinh (2016)'!$A$3,"MA_HT","PNK","MA_QH","DYT")</f>
        <v>0</v>
      </c>
      <c r="AH57" s="22">
        <f ca="1">+GETPIVOTDATA("XSB4",'sonbinh (2016)'!$A$3,"MA_HT","PNK","MA_QH","DGD")</f>
        <v>0</v>
      </c>
      <c r="AI57" s="22">
        <f ca="1">+GETPIVOTDATA("XSB4",'sonbinh (2016)'!$A$3,"MA_HT","PNK","MA_QH","DTT")</f>
        <v>0</v>
      </c>
      <c r="AJ57" s="22">
        <f ca="1">+GETPIVOTDATA("XSB4",'sonbinh (2016)'!$A$3,"MA_HT","PNK","MA_QH","NCK")</f>
        <v>0</v>
      </c>
      <c r="AK57" s="22">
        <f ca="1">+GETPIVOTDATA("XSB4",'sonbinh (2016)'!$A$3,"MA_HT","PNK","MA_QH","DXH")</f>
        <v>0</v>
      </c>
      <c r="AL57" s="22">
        <f ca="1">+GETPIVOTDATA("XSB4",'sonbinh (2016)'!$A$3,"MA_HT","PNK","MA_QH","DCH")</f>
        <v>0</v>
      </c>
      <c r="AM57" s="22">
        <f ca="1">+GETPIVOTDATA("XSB4",'sonbinh (2016)'!$A$3,"MA_HT","PNK","MA_QH","DKG")</f>
        <v>0</v>
      </c>
      <c r="AN57" s="22">
        <f ca="1">+GETPIVOTDATA("XSB4",'sonbinh (2016)'!$A$3,"MA_HT","PNK","MA_QH","DDT")</f>
        <v>0</v>
      </c>
      <c r="AO57" s="22">
        <f ca="1">+GETPIVOTDATA("XSB4",'sonbinh (2016)'!$A$3,"MA_HT","PNK","MA_QH","DDL")</f>
        <v>0</v>
      </c>
      <c r="AP57" s="22">
        <f ca="1">+GETPIVOTDATA("XSB4",'sonbinh (2016)'!$A$3,"MA_HT","PNK","MA_QH","DRA")</f>
        <v>0</v>
      </c>
      <c r="AQ57" s="22">
        <f ca="1">+GETPIVOTDATA("XSB4",'sonbinh (2016)'!$A$3,"MA_HT","PNK","MA_QH","ONT")</f>
        <v>0</v>
      </c>
      <c r="AR57" s="22">
        <f ca="1">+GETPIVOTDATA("XSB4",'sonbinh (2016)'!$A$3,"MA_HT","PNK","MA_QH","ODT")</f>
        <v>0</v>
      </c>
      <c r="AS57" s="22">
        <f ca="1">+GETPIVOTDATA("XSB4",'sonbinh (2016)'!$A$3,"MA_HT","PNK","MA_QH","TSC")</f>
        <v>0</v>
      </c>
      <c r="AT57" s="22">
        <f ca="1">+GETPIVOTDATA("XSB4",'sonbinh (2016)'!$A$3,"MA_HT","PNK","MA_QH","DTS")</f>
        <v>0</v>
      </c>
      <c r="AU57" s="22">
        <f ca="1">+GETPIVOTDATA("XSB4",'sonbinh (2016)'!$A$3,"MA_HT","PNK","MA_QH","DNG")</f>
        <v>0</v>
      </c>
      <c r="AV57" s="22">
        <f ca="1">+GETPIVOTDATA("XSB4",'sonbinh (2016)'!$A$3,"MA_HT","PNK","MA_QH","TON")</f>
        <v>0</v>
      </c>
      <c r="AW57" s="22">
        <f ca="1">+GETPIVOTDATA("XSB4",'sonbinh (2016)'!$A$3,"MA_HT","PNK","MA_QH","NTD")</f>
        <v>0</v>
      </c>
      <c r="AX57" s="22">
        <f ca="1">+GETPIVOTDATA("XSB4",'sonbinh (2016)'!$A$3,"MA_HT","PNK","MA_QH","SKX")</f>
        <v>0</v>
      </c>
      <c r="AY57" s="22">
        <f ca="1">+GETPIVOTDATA("XSB4",'sonbinh (2016)'!$A$3,"MA_HT","PNK","MA_QH","DSH")</f>
        <v>0</v>
      </c>
      <c r="AZ57" s="22">
        <f ca="1">+GETPIVOTDATA("XSB4",'sonbinh (2016)'!$A$3,"MA_HT","PNK","MA_QH","DKV")</f>
        <v>0</v>
      </c>
      <c r="BA57" s="89">
        <f ca="1">+GETPIVOTDATA("XSB4",'sonbinh (2016)'!$A$3,"MA_HT","PNK","MA_QH","TIN")</f>
        <v>0</v>
      </c>
      <c r="BB57" s="50">
        <f ca="1">+GETPIVOTDATA("XSB4",'sonbinh (2016)'!$A$3,"MA_HT","PNK","MA_QH","SON")</f>
        <v>0</v>
      </c>
      <c r="BC57" s="50">
        <f ca="1">+GETPIVOTDATA("XSB4",'sonbinh (2016)'!$A$3,"MA_HT","PNK","MA_QH","MNC")</f>
        <v>0</v>
      </c>
      <c r="BD57" s="43" t="e">
        <f ca="1">$D57-$BF57</f>
        <v>#REF!</v>
      </c>
      <c r="BE57" s="71">
        <f ca="1">+GETPIVOTDATA("XSB4",'sonbinh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+GETPIVOTDATA("XSB4",'sonbinh (2016)'!$A$3,"MA_HT","CSD","MA_QH","LUC")</f>
        <v>0</v>
      </c>
      <c r="H58" s="71">
        <f ca="1">+GETPIVOTDATA("XSB4",'sonbinh (2016)'!$A$3,"MA_HT","CSD","MA_QH","LUK")</f>
        <v>0</v>
      </c>
      <c r="I58" s="71">
        <f ca="1">+GETPIVOTDATA("XSB4",'sonbinh (2016)'!$A$3,"MA_HT","CSD","MA_QH","LUN")</f>
        <v>0</v>
      </c>
      <c r="J58" s="71">
        <f ca="1">+GETPIVOTDATA("XSB4",'sonbinh (2016)'!$A$3,"MA_HT","CSD","MA_QH","HNK")</f>
        <v>0</v>
      </c>
      <c r="K58" s="71">
        <f ca="1">+GETPIVOTDATA("XSB4",'sonbinh (2016)'!$A$3,"MA_HT","CSD","MA_QH","CLN")</f>
        <v>0</v>
      </c>
      <c r="L58" s="71">
        <f ca="1">+GETPIVOTDATA("XSB4",'sonbinh (2016)'!$A$3,"MA_HT","CSD","MA_QH","RSX")</f>
        <v>0</v>
      </c>
      <c r="M58" s="71">
        <f ca="1">+GETPIVOTDATA("XSB4",'sonbinh (2016)'!$A$3,"MA_HT","CSD","MA_QH","RPH")</f>
        <v>0</v>
      </c>
      <c r="N58" s="71">
        <f ca="1">+GETPIVOTDATA("XSB4",'sonbinh (2016)'!$A$3,"MA_HT","CSD","MA_QH","RDD")</f>
        <v>0</v>
      </c>
      <c r="O58" s="71">
        <f ca="1">+GETPIVOTDATA("XSB4",'sonbinh (2016)'!$A$3,"MA_HT","CSD","MA_QH","NTS")</f>
        <v>0</v>
      </c>
      <c r="P58" s="71">
        <f ca="1">+GETPIVOTDATA("XSB4",'sonbinh (2016)'!$A$3,"MA_HT","CSD","MA_QH","LMU")</f>
        <v>0</v>
      </c>
      <c r="Q58" s="71">
        <f ca="1">+GETPIVOTDATA("XSB4",'sonbinh (2016)'!$A$3,"MA_HT","CSD","MA_QH","NKH")</f>
        <v>0</v>
      </c>
      <c r="R58" s="79">
        <f ca="1">SUM(S58:AA58,AN58:BD58)</f>
        <v>0</v>
      </c>
      <c r="S58" s="80">
        <f ca="1">+GETPIVOTDATA("XSB4",'sonbinh (2016)'!$A$3,"MA_HT","CSD","MA_QH","CQP")</f>
        <v>0</v>
      </c>
      <c r="T58" s="80">
        <f ca="1">+GETPIVOTDATA("XSB4",'sonbinh (2016)'!$A$3,"MA_HT","CSD","MA_QH","CAN")</f>
        <v>0</v>
      </c>
      <c r="U58" s="71">
        <f ca="1">+GETPIVOTDATA("XSB4",'sonbinh (2016)'!$A$3,"MA_HT","CSD","MA_QH","SKK")</f>
        <v>0</v>
      </c>
      <c r="V58" s="71">
        <f ca="1">+GETPIVOTDATA("XSB4",'sonbinh (2016)'!$A$3,"MA_HT","CSD","MA_QH","SKT")</f>
        <v>0</v>
      </c>
      <c r="W58" s="71">
        <f ca="1">+GETPIVOTDATA("XSB4",'sonbinh (2016)'!$A$3,"MA_HT","CSD","MA_QH","SKN")</f>
        <v>0</v>
      </c>
      <c r="X58" s="71">
        <f ca="1">+GETPIVOTDATA("XSB4",'sonbinh (2016)'!$A$3,"MA_HT","CSD","MA_QH","TMD")</f>
        <v>0</v>
      </c>
      <c r="Y58" s="71">
        <f ca="1">+GETPIVOTDATA("XSB4",'sonbinh (2016)'!$A$3,"MA_HT","CSD","MA_QH","SKC")</f>
        <v>0</v>
      </c>
      <c r="Z58" s="71">
        <f ca="1">+GETPIVOTDATA("XSB4",'sonbinh (2016)'!$A$3,"MA_HT","CSD","MA_QH","SKS")</f>
        <v>0</v>
      </c>
      <c r="AA58" s="52">
        <f ca="1" t="shared" si="21"/>
        <v>0</v>
      </c>
      <c r="AB58" s="80">
        <f ca="1">+GETPIVOTDATA("XSB4",'sonbinh (2016)'!$A$3,"MA_HT","CSD","MA_QH","DGT")</f>
        <v>0</v>
      </c>
      <c r="AC58" s="80">
        <f ca="1">+GETPIVOTDATA("XSB4",'sonbinh (2016)'!$A$3,"MA_HT","CSD","MA_QH","DTL")</f>
        <v>0</v>
      </c>
      <c r="AD58" s="80">
        <f ca="1">+GETPIVOTDATA("XSB4",'sonbinh (2016)'!$A$3,"MA_HT","CSD","MA_QH","DNL")</f>
        <v>0</v>
      </c>
      <c r="AE58" s="80">
        <f ca="1">+GETPIVOTDATA("XSB4",'sonbinh (2016)'!$A$3,"MA_HT","CSD","MA_QH","DBV")</f>
        <v>0</v>
      </c>
      <c r="AF58" s="80">
        <f ca="1">+GETPIVOTDATA("XSB4",'sonbinh (2016)'!$A$3,"MA_HT","CSD","MA_QH","DVH")</f>
        <v>0</v>
      </c>
      <c r="AG58" s="80">
        <f ca="1">+GETPIVOTDATA("XSB4",'sonbinh (2016)'!$A$3,"MA_HT","CSD","MA_QH","DYT")</f>
        <v>0</v>
      </c>
      <c r="AH58" s="80">
        <f ca="1">+GETPIVOTDATA("XSB4",'sonbinh (2016)'!$A$3,"MA_HT","CSD","MA_QH","DGD")</f>
        <v>0</v>
      </c>
      <c r="AI58" s="80">
        <f ca="1">+GETPIVOTDATA("XSB4",'sonbinh (2016)'!$A$3,"MA_HT","CSD","MA_QH","DTT")</f>
        <v>0</v>
      </c>
      <c r="AJ58" s="80">
        <f ca="1">+GETPIVOTDATA("XSB4",'sonbinh (2016)'!$A$3,"MA_HT","CSD","MA_QH","NCK")</f>
        <v>0</v>
      </c>
      <c r="AK58" s="80">
        <f ca="1">+GETPIVOTDATA("XSB4",'sonbinh (2016)'!$A$3,"MA_HT","CSD","MA_QH","DXH")</f>
        <v>0</v>
      </c>
      <c r="AL58" s="80">
        <f ca="1">+GETPIVOTDATA("XSB4",'sonbinh (2016)'!$A$3,"MA_HT","CSD","MA_QH","DCH")</f>
        <v>0</v>
      </c>
      <c r="AM58" s="80">
        <f ca="1">+GETPIVOTDATA("XSB4",'sonbinh (2016)'!$A$3,"MA_HT","CSD","MA_QH","DKG")</f>
        <v>0</v>
      </c>
      <c r="AN58" s="71">
        <f ca="1">+GETPIVOTDATA("XSB4",'sonbinh (2016)'!$A$3,"MA_HT","CSD","MA_QH","DDT")</f>
        <v>0</v>
      </c>
      <c r="AO58" s="71">
        <f ca="1">+GETPIVOTDATA("XSB4",'sonbinh (2016)'!$A$3,"MA_HT","CSD","MA_QH","DDL")</f>
        <v>0</v>
      </c>
      <c r="AP58" s="71">
        <f ca="1">+GETPIVOTDATA("XSB4",'sonbinh (2016)'!$A$3,"MA_HT","CSD","MA_QH","DRA")</f>
        <v>0</v>
      </c>
      <c r="AQ58" s="71">
        <f ca="1">+GETPIVOTDATA("XSB4",'sonbinh (2016)'!$A$3,"MA_HT","CSD","MA_QH","ONT")</f>
        <v>0</v>
      </c>
      <c r="AR58" s="71">
        <f ca="1">+GETPIVOTDATA("XSB4",'sonbinh (2016)'!$A$3,"MA_HT","CSD","MA_QH","ODT")</f>
        <v>0</v>
      </c>
      <c r="AS58" s="71">
        <f ca="1">+GETPIVOTDATA("XSB4",'sonbinh (2016)'!$A$3,"MA_HT","CSD","MA_QH","TSC")</f>
        <v>0</v>
      </c>
      <c r="AT58" s="71">
        <f ca="1">+GETPIVOTDATA("XSB4",'sonbinh (2016)'!$A$3,"MA_HT","CSD","MA_QH","DTS")</f>
        <v>0</v>
      </c>
      <c r="AU58" s="71">
        <f ca="1">+GETPIVOTDATA("XSB4",'sonbinh (2016)'!$A$3,"MA_HT","CSD","MA_QH","DNG")</f>
        <v>0</v>
      </c>
      <c r="AV58" s="71">
        <f ca="1">+GETPIVOTDATA("XSB4",'sonbinh (2016)'!$A$3,"MA_HT","CSD","MA_QH","TON")</f>
        <v>0</v>
      </c>
      <c r="AW58" s="71">
        <f ca="1">+GETPIVOTDATA("XSB4",'sonbinh (2016)'!$A$3,"MA_HT","CSD","MA_QH","NTD")</f>
        <v>0</v>
      </c>
      <c r="AX58" s="71">
        <f ca="1">+GETPIVOTDATA("XSB4",'sonbinh (2016)'!$A$3,"MA_HT","CSD","MA_QH","SKX")</f>
        <v>0</v>
      </c>
      <c r="AY58" s="71">
        <f ca="1">+GETPIVOTDATA("XSB4",'sonbinh (2016)'!$A$3,"MA_HT","CSD","MA_QH","DSH")</f>
        <v>0</v>
      </c>
      <c r="AZ58" s="71">
        <f ca="1">+GETPIVOTDATA("XSB4",'sonbinh (2016)'!$A$3,"MA_HT","CSD","MA_QH","DKV")</f>
        <v>0</v>
      </c>
      <c r="BA58" s="89">
        <f ca="1">+GETPIVOTDATA("XSB4",'sonbinh (2016)'!$A$3,"MA_HT","CSD","MA_QH","TIN")</f>
        <v>0</v>
      </c>
      <c r="BB58" s="80">
        <f ca="1">+GETPIVOTDATA("XSB4",'sonbinh (2016)'!$A$3,"MA_HT","CSD","MA_QH","SON")</f>
        <v>0</v>
      </c>
      <c r="BC58" s="80">
        <f ca="1">+GETPIVOTDATA("XSB4",'sonbinh (2016)'!$A$3,"MA_HT","CSD","MA_QH","MNC")</f>
        <v>0</v>
      </c>
      <c r="BD58" s="71">
        <f ca="1">+GETPIVOTDATA("XSB4",'sonbinh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1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+GETPIVOTDATA("XSN4",'suoinghe (2016)'!$A$3,"MA_HT","LUC","MA_QH","LUK")</f>
        <v>0</v>
      </c>
      <c r="I8" s="50">
        <f ca="1">+GETPIVOTDATA("XSN4",'suoinghe (2016)'!$A$3,"MA_HT","LUC","MA_QH","LUN")</f>
        <v>0</v>
      </c>
      <c r="J8" s="50">
        <f ca="1">+GETPIVOTDATA("XSN4",'suoinghe (2016)'!$A$3,"MA_HT","LUC","MA_QH","HNK")</f>
        <v>0</v>
      </c>
      <c r="K8" s="50">
        <f ca="1">+GETPIVOTDATA("XSN4",'suoinghe (2016)'!$A$3,"MA_HT","LUC","MA_QH","CLN")</f>
        <v>0</v>
      </c>
      <c r="L8" s="50">
        <f ca="1">+GETPIVOTDATA("XSN4",'suoinghe (2016)'!$A$3,"MA_HT","LUC","MA_QH","RSX")</f>
        <v>0</v>
      </c>
      <c r="M8" s="50">
        <f ca="1">+GETPIVOTDATA("XSN4",'suoinghe (2016)'!$A$3,"MA_HT","LUC","MA_QH","RPH")</f>
        <v>0</v>
      </c>
      <c r="N8" s="50">
        <f ca="1">+GETPIVOTDATA("XSN4",'suoinghe (2016)'!$A$3,"MA_HT","LUC","MA_QH","RDD")</f>
        <v>0</v>
      </c>
      <c r="O8" s="50">
        <f ca="1">+GETPIVOTDATA("XSN4",'suoinghe (2016)'!$A$3,"MA_HT","LUC","MA_QH","NTS")</f>
        <v>0</v>
      </c>
      <c r="P8" s="50">
        <f ca="1">+GETPIVOTDATA("XSN4",'suoinghe (2016)'!$A$3,"MA_HT","LUC","MA_QH","LMU")</f>
        <v>0</v>
      </c>
      <c r="Q8" s="50">
        <f ca="1">+GETPIVOTDATA("XSN4",'suoinghe (2016)'!$A$3,"MA_HT","LUC","MA_QH","NKH")</f>
        <v>0</v>
      </c>
      <c r="R8" s="48">
        <f ca="1" t="shared" si="2"/>
        <v>0</v>
      </c>
      <c r="S8" s="50">
        <f ca="1">+GETPIVOTDATA("XSN4",'suoinghe (2016)'!$A$3,"MA_HT","LUC","MA_QH","CQP")</f>
        <v>0</v>
      </c>
      <c r="T8" s="50">
        <f ca="1">+GETPIVOTDATA("XSN4",'suoinghe (2016)'!$A$3,"MA_HT","LUC","MA_QH","CAN")</f>
        <v>0</v>
      </c>
      <c r="U8" s="50">
        <f ca="1">+GETPIVOTDATA("XSN4",'suoinghe (2016)'!$A$3,"MA_HT","LUC","MA_QH","SKK")</f>
        <v>0</v>
      </c>
      <c r="V8" s="50">
        <f ca="1">+GETPIVOTDATA("XSN4",'suoinghe (2016)'!$A$3,"MA_HT","LUC","MA_QH","SKT")</f>
        <v>0</v>
      </c>
      <c r="W8" s="50">
        <f ca="1">+GETPIVOTDATA("XSN4",'suoinghe (2016)'!$A$3,"MA_HT","LUC","MA_QH","SKN")</f>
        <v>0</v>
      </c>
      <c r="X8" s="50">
        <f ca="1">+GETPIVOTDATA("XSN4",'suoinghe (2016)'!$A$3,"MA_HT","LUC","MA_QH","TMD")</f>
        <v>0</v>
      </c>
      <c r="Y8" s="50">
        <f ca="1">+GETPIVOTDATA("XSN4",'suoinghe (2016)'!$A$3,"MA_HT","LUC","MA_QH","SKC")</f>
        <v>0</v>
      </c>
      <c r="Z8" s="50">
        <f ca="1">+GETPIVOTDATA("XSN4",'suoinghe (2016)'!$A$3,"MA_HT","LUC","MA_QH","SKS")</f>
        <v>0</v>
      </c>
      <c r="AA8" s="52">
        <f ca="1" t="shared" si="4"/>
        <v>0</v>
      </c>
      <c r="AB8" s="50">
        <f ca="1">+GETPIVOTDATA("XSN4",'suoinghe (2016)'!$A$3,"MA_HT","LUC","MA_QH","DGT")</f>
        <v>0</v>
      </c>
      <c r="AC8" s="50">
        <f ca="1">+GETPIVOTDATA("XSN4",'suoinghe (2016)'!$A$3,"MA_HT","LUC","MA_QH","DTL")</f>
        <v>0</v>
      </c>
      <c r="AD8" s="50">
        <f ca="1">+GETPIVOTDATA("XSN4",'suoinghe (2016)'!$A$3,"MA_HT","LUC","MA_QH","DNL")</f>
        <v>0</v>
      </c>
      <c r="AE8" s="50">
        <f ca="1">+GETPIVOTDATA("XSN4",'suoinghe (2016)'!$A$3,"MA_HT","LUC","MA_QH","DBV")</f>
        <v>0</v>
      </c>
      <c r="AF8" s="50">
        <f ca="1">+GETPIVOTDATA("XSN4",'suoinghe (2016)'!$A$3,"MA_HT","LUC","MA_QH","DVH")</f>
        <v>0</v>
      </c>
      <c r="AG8" s="50">
        <f ca="1">+GETPIVOTDATA("XSN4",'suoinghe (2016)'!$A$3,"MA_HT","LUC","MA_QH","DYT")</f>
        <v>0</v>
      </c>
      <c r="AH8" s="50">
        <f ca="1">+GETPIVOTDATA("XSN4",'suoinghe (2016)'!$A$3,"MA_HT","LUC","MA_QH","DGD")</f>
        <v>0</v>
      </c>
      <c r="AI8" s="50">
        <f ca="1">+GETPIVOTDATA("XSN4",'suoinghe (2016)'!$A$3,"MA_HT","LUC","MA_QH","DTT")</f>
        <v>0</v>
      </c>
      <c r="AJ8" s="50">
        <f ca="1">+GETPIVOTDATA("XSN4",'suoinghe (2016)'!$A$3,"MA_HT","LUC","MA_QH","NCK")</f>
        <v>0</v>
      </c>
      <c r="AK8" s="50">
        <f ca="1">+GETPIVOTDATA("XSN4",'suoinghe (2016)'!$A$3,"MA_HT","LUC","MA_QH","DXH")</f>
        <v>0</v>
      </c>
      <c r="AL8" s="50">
        <f ca="1">+GETPIVOTDATA("XSN4",'suoinghe (2016)'!$A$3,"MA_HT","LUC","MA_QH","DCH")</f>
        <v>0</v>
      </c>
      <c r="AM8" s="50">
        <f ca="1">+GETPIVOTDATA("XSN4",'suoinghe (2016)'!$A$3,"MA_HT","LUC","MA_QH","DKG")</f>
        <v>0</v>
      </c>
      <c r="AN8" s="50">
        <f ca="1">+GETPIVOTDATA("XSN4",'suoinghe (2016)'!$A$3,"MA_HT","LUC","MA_QH","DDT")</f>
        <v>0</v>
      </c>
      <c r="AO8" s="50">
        <f ca="1">+GETPIVOTDATA("XSN4",'suoinghe (2016)'!$A$3,"MA_HT","LUC","MA_QH","DDL")</f>
        <v>0</v>
      </c>
      <c r="AP8" s="50">
        <f ca="1">+GETPIVOTDATA("XSN4",'suoinghe (2016)'!$A$3,"MA_HT","LUC","MA_QH","DRA")</f>
        <v>0</v>
      </c>
      <c r="AQ8" s="50">
        <f ca="1">+GETPIVOTDATA("XSN4",'suoinghe (2016)'!$A$3,"MA_HT","LUC","MA_QH","ONT")</f>
        <v>0</v>
      </c>
      <c r="AR8" s="50">
        <f ca="1">+GETPIVOTDATA("XSN4",'suoinghe (2016)'!$A$3,"MA_HT","LUC","MA_QH","ODT")</f>
        <v>0</v>
      </c>
      <c r="AS8" s="50">
        <f ca="1">+GETPIVOTDATA("XSN4",'suoinghe (2016)'!$A$3,"MA_HT","LUC","MA_QH","TSC")</f>
        <v>0</v>
      </c>
      <c r="AT8" s="50">
        <f ca="1">+GETPIVOTDATA("XSN4",'suoinghe (2016)'!$A$3,"MA_HT","LUC","MA_QH","DTS")</f>
        <v>0</v>
      </c>
      <c r="AU8" s="50">
        <f ca="1">+GETPIVOTDATA("XSN4",'suoinghe (2016)'!$A$3,"MA_HT","LUC","MA_QH","DNG")</f>
        <v>0</v>
      </c>
      <c r="AV8" s="50">
        <f ca="1">+GETPIVOTDATA("XSN4",'suoinghe (2016)'!$A$3,"MA_HT","LUC","MA_QH","TON")</f>
        <v>0</v>
      </c>
      <c r="AW8" s="50">
        <f ca="1">+GETPIVOTDATA("XSN4",'suoinghe (2016)'!$A$3,"MA_HT","LUC","MA_QH","NTD")</f>
        <v>0</v>
      </c>
      <c r="AX8" s="50">
        <f ca="1">+GETPIVOTDATA("XSN4",'suoinghe (2016)'!$A$3,"MA_HT","LUC","MA_QH","SKX")</f>
        <v>0</v>
      </c>
      <c r="AY8" s="50">
        <f ca="1">+GETPIVOTDATA("XSN4",'suoinghe (2016)'!$A$3,"MA_HT","LUC","MA_QH","DSH")</f>
        <v>0</v>
      </c>
      <c r="AZ8" s="50">
        <f ca="1">+GETPIVOTDATA("XSN4",'suoinghe (2016)'!$A$3,"MA_HT","LUC","MA_QH","DKV")</f>
        <v>0</v>
      </c>
      <c r="BA8" s="88">
        <f ca="1">+GETPIVOTDATA("XSN4",'suoinghe (2016)'!$A$3,"MA_HT","LUC","MA_QH","TIN")</f>
        <v>0</v>
      </c>
      <c r="BB8" s="50">
        <f ca="1">+GETPIVOTDATA("XSN4",'suoinghe (2016)'!$A$3,"MA_HT","LUC","MA_QH","SON")</f>
        <v>0</v>
      </c>
      <c r="BC8" s="50">
        <f ca="1">+GETPIVOTDATA("XSN4",'suoinghe (2016)'!$A$3,"MA_HT","LUC","MA_QH","MNC")</f>
        <v>0</v>
      </c>
      <c r="BD8" s="50">
        <f ca="1">+GETPIVOTDATA("XSN4",'suoinghe (2016)'!$A$3,"MA_HT","LUC","MA_QH","PNK")</f>
        <v>0</v>
      </c>
      <c r="BE8" s="80">
        <f ca="1">+GETPIVOTDATA("XSN4",'suoinghe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+GETPIVOTDATA("XSN4",'suoinghe (2016)'!$A$3,"MA_HT","LUK","MA_QH","LUC")</f>
        <v>0</v>
      </c>
      <c r="H9" s="49" t="e">
        <f ca="1">$D9-$BF9</f>
        <v>#REF!</v>
      </c>
      <c r="I9" s="50">
        <f ca="1">+GETPIVOTDATA("XSN4",'suoinghe (2016)'!$A$3,"MA_HT","LUK","MA_QH","LUN")</f>
        <v>0</v>
      </c>
      <c r="J9" s="50">
        <f ca="1">+GETPIVOTDATA("XSN4",'suoinghe (2016)'!$A$3,"MA_HT","LUK","MA_QH","HNK")</f>
        <v>0</v>
      </c>
      <c r="K9" s="50">
        <f ca="1">+GETPIVOTDATA("XSN4",'suoinghe (2016)'!$A$3,"MA_HT","LUK","MA_QH","CLN")</f>
        <v>0</v>
      </c>
      <c r="L9" s="50">
        <f ca="1">+GETPIVOTDATA("XSN4",'suoinghe (2016)'!$A$3,"MA_HT","LUK","MA_QH","RSX")</f>
        <v>0</v>
      </c>
      <c r="M9" s="50">
        <f ca="1">+GETPIVOTDATA("XSN4",'suoinghe (2016)'!$A$3,"MA_HT","LUK","MA_QH","RPH")</f>
        <v>0</v>
      </c>
      <c r="N9" s="50">
        <f ca="1">+GETPIVOTDATA("XSN4",'suoinghe (2016)'!$A$3,"MA_HT","LUK","MA_QH","RDD")</f>
        <v>0</v>
      </c>
      <c r="O9" s="50">
        <f ca="1">+GETPIVOTDATA("XSN4",'suoinghe (2016)'!$A$3,"MA_HT","LUK","MA_QH","NTS")</f>
        <v>0</v>
      </c>
      <c r="P9" s="50">
        <f ca="1">+GETPIVOTDATA("XSN4",'suoinghe (2016)'!$A$3,"MA_HT","LUK","MA_QH","LMU")</f>
        <v>0</v>
      </c>
      <c r="Q9" s="50">
        <f ca="1">+GETPIVOTDATA("XSN4",'suoinghe (2016)'!$A$3,"MA_HT","LUK","MA_QH","NKH")</f>
        <v>0</v>
      </c>
      <c r="R9" s="48">
        <f ca="1" t="shared" si="2"/>
        <v>0</v>
      </c>
      <c r="S9" s="50">
        <f ca="1">+GETPIVOTDATA("XSN4",'suoinghe (2016)'!$A$3,"MA_HT","LUK","MA_QH","CQP")</f>
        <v>0</v>
      </c>
      <c r="T9" s="50">
        <f ca="1">+GETPIVOTDATA("XSN4",'suoinghe (2016)'!$A$3,"MA_HT","LUK","MA_QH","CAN")</f>
        <v>0</v>
      </c>
      <c r="U9" s="50">
        <f ca="1">+GETPIVOTDATA("XSN4",'suoinghe (2016)'!$A$3,"MA_HT","LUK","MA_QH","SKK")</f>
        <v>0</v>
      </c>
      <c r="V9" s="50">
        <f ca="1">+GETPIVOTDATA("XSN4",'suoinghe (2016)'!$A$3,"MA_HT","LUK","MA_QH","SKT")</f>
        <v>0</v>
      </c>
      <c r="W9" s="50">
        <f ca="1">+GETPIVOTDATA("XSN4",'suoinghe (2016)'!$A$3,"MA_HT","LUK","MA_QH","SKN")</f>
        <v>0</v>
      </c>
      <c r="X9" s="50">
        <f ca="1">+GETPIVOTDATA("XSN4",'suoinghe (2016)'!$A$3,"MA_HT","LUK","MA_QH","TMD")</f>
        <v>0</v>
      </c>
      <c r="Y9" s="50">
        <f ca="1">+GETPIVOTDATA("XSN4",'suoinghe (2016)'!$A$3,"MA_HT","LUK","MA_QH","SKC")</f>
        <v>0</v>
      </c>
      <c r="Z9" s="50">
        <f ca="1">+GETPIVOTDATA("XSN4",'suoinghe (2016)'!$A$3,"MA_HT","LUK","MA_QH","SKS")</f>
        <v>0</v>
      </c>
      <c r="AA9" s="52">
        <f ca="1" t="shared" si="4"/>
        <v>0</v>
      </c>
      <c r="AB9" s="50">
        <f ca="1">+GETPIVOTDATA("XSN4",'suoinghe (2016)'!$A$3,"MA_HT","LUK","MA_QH","DGT")</f>
        <v>0</v>
      </c>
      <c r="AC9" s="50">
        <f ca="1">+GETPIVOTDATA("XSN4",'suoinghe (2016)'!$A$3,"MA_HT","LUK","MA_QH","DTL")</f>
        <v>0</v>
      </c>
      <c r="AD9" s="50">
        <f ca="1">+GETPIVOTDATA("XSN4",'suoinghe (2016)'!$A$3,"MA_HT","LUK","MA_QH","DNL")</f>
        <v>0</v>
      </c>
      <c r="AE9" s="50">
        <f ca="1">+GETPIVOTDATA("XSN4",'suoinghe (2016)'!$A$3,"MA_HT","LUK","MA_QH","DBV")</f>
        <v>0</v>
      </c>
      <c r="AF9" s="50">
        <f ca="1">+GETPIVOTDATA("XSN4",'suoinghe (2016)'!$A$3,"MA_HT","LUK","MA_QH","DVH")</f>
        <v>0</v>
      </c>
      <c r="AG9" s="50">
        <f ca="1">+GETPIVOTDATA("XSN4",'suoinghe (2016)'!$A$3,"MA_HT","LUK","MA_QH","DYT")</f>
        <v>0</v>
      </c>
      <c r="AH9" s="50">
        <f ca="1">+GETPIVOTDATA("XSN4",'suoinghe (2016)'!$A$3,"MA_HT","LUK","MA_QH","DGD")</f>
        <v>0</v>
      </c>
      <c r="AI9" s="50">
        <f ca="1">+GETPIVOTDATA("XSN4",'suoinghe (2016)'!$A$3,"MA_HT","LUK","MA_QH","DTT")</f>
        <v>0</v>
      </c>
      <c r="AJ9" s="50">
        <f ca="1">+GETPIVOTDATA("XSN4",'suoinghe (2016)'!$A$3,"MA_HT","LUK","MA_QH","NCK")</f>
        <v>0</v>
      </c>
      <c r="AK9" s="50">
        <f ca="1">+GETPIVOTDATA("XSN4",'suoinghe (2016)'!$A$3,"MA_HT","LUK","MA_QH","DXH")</f>
        <v>0</v>
      </c>
      <c r="AL9" s="50">
        <f ca="1">+GETPIVOTDATA("XSN4",'suoinghe (2016)'!$A$3,"MA_HT","LUK","MA_QH","DCH")</f>
        <v>0</v>
      </c>
      <c r="AM9" s="50">
        <f ca="1">+GETPIVOTDATA("XSN4",'suoinghe (2016)'!$A$3,"MA_HT","LUK","MA_QH","DKG")</f>
        <v>0</v>
      </c>
      <c r="AN9" s="50">
        <f ca="1">+GETPIVOTDATA("XSN4",'suoinghe (2016)'!$A$3,"MA_HT","LUK","MA_QH","DDT")</f>
        <v>0</v>
      </c>
      <c r="AO9" s="50">
        <f ca="1">+GETPIVOTDATA("XSN4",'suoinghe (2016)'!$A$3,"MA_HT","LUK","MA_QH","DDL")</f>
        <v>0</v>
      </c>
      <c r="AP9" s="50">
        <f ca="1">+GETPIVOTDATA("XSN4",'suoinghe (2016)'!$A$3,"MA_HT","LUK","MA_QH","DRA")</f>
        <v>0</v>
      </c>
      <c r="AQ9" s="50">
        <f ca="1">+GETPIVOTDATA("XSN4",'suoinghe (2016)'!$A$3,"MA_HT","LUK","MA_QH","ONT")</f>
        <v>0</v>
      </c>
      <c r="AR9" s="50">
        <f ca="1">+GETPIVOTDATA("XSN4",'suoinghe (2016)'!$A$3,"MA_HT","LUK","MA_QH","ODT")</f>
        <v>0</v>
      </c>
      <c r="AS9" s="50">
        <f ca="1">+GETPIVOTDATA("XSN4",'suoinghe (2016)'!$A$3,"MA_HT","LUK","MA_QH","TSC")</f>
        <v>0</v>
      </c>
      <c r="AT9" s="50">
        <f ca="1">+GETPIVOTDATA("XSN4",'suoinghe (2016)'!$A$3,"MA_HT","LUK","MA_QH","DTS")</f>
        <v>0</v>
      </c>
      <c r="AU9" s="50">
        <f ca="1">+GETPIVOTDATA("XSN4",'suoinghe (2016)'!$A$3,"MA_HT","LUK","MA_QH","DNG")</f>
        <v>0</v>
      </c>
      <c r="AV9" s="50">
        <f ca="1">+GETPIVOTDATA("XSN4",'suoinghe (2016)'!$A$3,"MA_HT","LUK","MA_QH","TON")</f>
        <v>0</v>
      </c>
      <c r="AW9" s="50">
        <f ca="1">+GETPIVOTDATA("XSN4",'suoinghe (2016)'!$A$3,"MA_HT","LUK","MA_QH","NTD")</f>
        <v>0</v>
      </c>
      <c r="AX9" s="50">
        <f ca="1">+GETPIVOTDATA("XSN4",'suoinghe (2016)'!$A$3,"MA_HT","LUK","MA_QH","SKX")</f>
        <v>0</v>
      </c>
      <c r="AY9" s="50">
        <f ca="1">+GETPIVOTDATA("XSN4",'suoinghe (2016)'!$A$3,"MA_HT","LUK","MA_QH","DSH")</f>
        <v>0</v>
      </c>
      <c r="AZ9" s="50">
        <f ca="1">+GETPIVOTDATA("XSN4",'suoinghe (2016)'!$A$3,"MA_HT","LUK","MA_QH","DKV")</f>
        <v>0</v>
      </c>
      <c r="BA9" s="88">
        <f ca="1">+GETPIVOTDATA("XSN4",'suoinghe (2016)'!$A$3,"MA_HT","LUK","MA_QH","TIN")</f>
        <v>0</v>
      </c>
      <c r="BB9" s="50">
        <f ca="1">+GETPIVOTDATA("XSN4",'suoinghe (2016)'!$A$3,"MA_HT","LUK","MA_QH","SON")</f>
        <v>0</v>
      </c>
      <c r="BC9" s="50">
        <f ca="1">+GETPIVOTDATA("XSN4",'suoinghe (2016)'!$A$3,"MA_HT","LUK","MA_QH","MNC")</f>
        <v>0</v>
      </c>
      <c r="BD9" s="50">
        <f ca="1">+GETPIVOTDATA("XSN4",'suoinghe (2016)'!$A$3,"MA_HT","LUK","MA_QH","PNK")</f>
        <v>0</v>
      </c>
      <c r="BE9" s="80">
        <f ca="1">+GETPIVOTDATA("XSN4",'suoinghe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+GETPIVOTDATA("XSN4",'suoinghe (2016)'!$A$3,"MA_HT","LUN","MA_QH","LUC")</f>
        <v>0</v>
      </c>
      <c r="H10" s="50">
        <f ca="1">+GETPIVOTDATA("XSN4",'suoinghe (2016)'!$A$3,"MA_HT","LUN","MA_QH","LUK")</f>
        <v>0</v>
      </c>
      <c r="I10" s="49" t="e">
        <f ca="1">$D10-$BF10</f>
        <v>#REF!</v>
      </c>
      <c r="J10" s="50">
        <f ca="1">+GETPIVOTDATA("XSN4",'suoinghe (2016)'!$A$3,"MA_HT","LUN","MA_QH","HNK")</f>
        <v>0</v>
      </c>
      <c r="K10" s="50">
        <f ca="1">+GETPIVOTDATA("XSN4",'suoinghe (2016)'!$A$3,"MA_HT","LUN","MA_QH","CLN")</f>
        <v>0</v>
      </c>
      <c r="L10" s="50">
        <f ca="1">+GETPIVOTDATA("XSN4",'suoinghe (2016)'!$A$3,"MA_HT","LUN","MA_QH","RSX")</f>
        <v>0</v>
      </c>
      <c r="M10" s="50">
        <f ca="1">+GETPIVOTDATA("XSN4",'suoinghe (2016)'!$A$3,"MA_HT","LUN","MA_QH","RPH")</f>
        <v>0</v>
      </c>
      <c r="N10" s="50">
        <f ca="1">+GETPIVOTDATA("XSN4",'suoinghe (2016)'!$A$3,"MA_HT","LUN","MA_QH","RDD")</f>
        <v>0</v>
      </c>
      <c r="O10" s="50">
        <f ca="1">+GETPIVOTDATA("XSN4",'suoinghe (2016)'!$A$3,"MA_HT","LUN","MA_QH","NTS")</f>
        <v>0</v>
      </c>
      <c r="P10" s="50">
        <f ca="1">+GETPIVOTDATA("XSN4",'suoinghe (2016)'!$A$3,"MA_HT","LUN","MA_QH","LMU")</f>
        <v>0</v>
      </c>
      <c r="Q10" s="50">
        <f ca="1">+GETPIVOTDATA("XSN4",'suoinghe (2016)'!$A$3,"MA_HT","LUN","MA_QH","NKH")</f>
        <v>0</v>
      </c>
      <c r="R10" s="48">
        <f ca="1" t="shared" si="2"/>
        <v>0</v>
      </c>
      <c r="S10" s="50">
        <f ca="1">+GETPIVOTDATA("XSN4",'suoinghe (2016)'!$A$3,"MA_HT","LUN","MA_QH","CQP")</f>
        <v>0</v>
      </c>
      <c r="T10" s="50">
        <f ca="1">+GETPIVOTDATA("XSN4",'suoinghe (2016)'!$A$3,"MA_HT","LUN","MA_QH","CAN")</f>
        <v>0</v>
      </c>
      <c r="U10" s="50">
        <f ca="1">+GETPIVOTDATA("XSN4",'suoinghe (2016)'!$A$3,"MA_HT","LUN","MA_QH","SKK")</f>
        <v>0</v>
      </c>
      <c r="V10" s="50">
        <f ca="1">+GETPIVOTDATA("XSN4",'suoinghe (2016)'!$A$3,"MA_HT","LUN","MA_QH","SKT")</f>
        <v>0</v>
      </c>
      <c r="W10" s="50">
        <f ca="1">+GETPIVOTDATA("XSN4",'suoinghe (2016)'!$A$3,"MA_HT","LUN","MA_QH","SKN")</f>
        <v>0</v>
      </c>
      <c r="X10" s="50">
        <f ca="1">+GETPIVOTDATA("XSN4",'suoinghe (2016)'!$A$3,"MA_HT","LUN","MA_QH","TMD")</f>
        <v>0</v>
      </c>
      <c r="Y10" s="50">
        <f ca="1">+GETPIVOTDATA("XSN4",'suoinghe (2016)'!$A$3,"MA_HT","LUN","MA_QH","SKC")</f>
        <v>0</v>
      </c>
      <c r="Z10" s="50">
        <f ca="1">+GETPIVOTDATA("XSN4",'suoinghe (2016)'!$A$3,"MA_HT","LUN","MA_QH","SKS")</f>
        <v>0</v>
      </c>
      <c r="AA10" s="52">
        <f ca="1" t="shared" si="4"/>
        <v>0</v>
      </c>
      <c r="AB10" s="50">
        <f ca="1">+GETPIVOTDATA("XSN4",'suoinghe (2016)'!$A$3,"MA_HT","LUN","MA_QH","DGT")</f>
        <v>0</v>
      </c>
      <c r="AC10" s="50">
        <f ca="1">+GETPIVOTDATA("XSN4",'suoinghe (2016)'!$A$3,"MA_HT","LUN","MA_QH","DTL")</f>
        <v>0</v>
      </c>
      <c r="AD10" s="50">
        <f ca="1">+GETPIVOTDATA("XSN4",'suoinghe (2016)'!$A$3,"MA_HT","LUN","MA_QH","DNL")</f>
        <v>0</v>
      </c>
      <c r="AE10" s="50">
        <f ca="1">+GETPIVOTDATA("XSN4",'suoinghe (2016)'!$A$3,"MA_HT","LUN","MA_QH","DBV")</f>
        <v>0</v>
      </c>
      <c r="AF10" s="50">
        <f ca="1">+GETPIVOTDATA("XSN4",'suoinghe (2016)'!$A$3,"MA_HT","LUN","MA_QH","DVH")</f>
        <v>0</v>
      </c>
      <c r="AG10" s="50">
        <f ca="1">+GETPIVOTDATA("XSN4",'suoinghe (2016)'!$A$3,"MA_HT","LUN","MA_QH","DYT")</f>
        <v>0</v>
      </c>
      <c r="AH10" s="50">
        <f ca="1">+GETPIVOTDATA("XSN4",'suoinghe (2016)'!$A$3,"MA_HT","LUN","MA_QH","DGD")</f>
        <v>0</v>
      </c>
      <c r="AI10" s="50">
        <f ca="1">+GETPIVOTDATA("XSN4",'suoinghe (2016)'!$A$3,"MA_HT","LUN","MA_QH","DTT")</f>
        <v>0</v>
      </c>
      <c r="AJ10" s="50">
        <f ca="1">+GETPIVOTDATA("XSN4",'suoinghe (2016)'!$A$3,"MA_HT","LUN","MA_QH","NCK")</f>
        <v>0</v>
      </c>
      <c r="AK10" s="50">
        <f ca="1">+GETPIVOTDATA("XSN4",'suoinghe (2016)'!$A$3,"MA_HT","LUN","MA_QH","DXH")</f>
        <v>0</v>
      </c>
      <c r="AL10" s="50">
        <f ca="1">+GETPIVOTDATA("XSN4",'suoinghe (2016)'!$A$3,"MA_HT","LUN","MA_QH","DCH")</f>
        <v>0</v>
      </c>
      <c r="AM10" s="50">
        <f ca="1">+GETPIVOTDATA("XSN4",'suoinghe (2016)'!$A$3,"MA_HT","LUN","MA_QH","DKG")</f>
        <v>0</v>
      </c>
      <c r="AN10" s="50">
        <f ca="1">+GETPIVOTDATA("XSN4",'suoinghe (2016)'!$A$3,"MA_HT","LUN","MA_QH","DDT")</f>
        <v>0</v>
      </c>
      <c r="AO10" s="50">
        <f ca="1">+GETPIVOTDATA("XSN4",'suoinghe (2016)'!$A$3,"MA_HT","LUN","MA_QH","DDL")</f>
        <v>0</v>
      </c>
      <c r="AP10" s="50">
        <f ca="1">+GETPIVOTDATA("XSN4",'suoinghe (2016)'!$A$3,"MA_HT","LUN","MA_QH","DRA")</f>
        <v>0</v>
      </c>
      <c r="AQ10" s="50">
        <f ca="1">+GETPIVOTDATA("XSN4",'suoinghe (2016)'!$A$3,"MA_HT","LUN","MA_QH","ONT")</f>
        <v>0</v>
      </c>
      <c r="AR10" s="50">
        <f ca="1">+GETPIVOTDATA("XSN4",'suoinghe (2016)'!$A$3,"MA_HT","LUN","MA_QH","ODT")</f>
        <v>0</v>
      </c>
      <c r="AS10" s="50">
        <f ca="1">+GETPIVOTDATA("XSN4",'suoinghe (2016)'!$A$3,"MA_HT","LUN","MA_QH","TSC")</f>
        <v>0</v>
      </c>
      <c r="AT10" s="50">
        <f ca="1">+GETPIVOTDATA("XSN4",'suoinghe (2016)'!$A$3,"MA_HT","LUN","MA_QH","DTS")</f>
        <v>0</v>
      </c>
      <c r="AU10" s="50">
        <f ca="1">+GETPIVOTDATA("XSN4",'suoinghe (2016)'!$A$3,"MA_HT","LUN","MA_QH","DNG")</f>
        <v>0</v>
      </c>
      <c r="AV10" s="50">
        <f ca="1">+GETPIVOTDATA("XSN4",'suoinghe (2016)'!$A$3,"MA_HT","LUN","MA_QH","TON")</f>
        <v>0</v>
      </c>
      <c r="AW10" s="50">
        <f ca="1">+GETPIVOTDATA("XSN4",'suoinghe (2016)'!$A$3,"MA_HT","LUN","MA_QH","NTD")</f>
        <v>0</v>
      </c>
      <c r="AX10" s="50">
        <f ca="1">+GETPIVOTDATA("XSN4",'suoinghe (2016)'!$A$3,"MA_HT","LUN","MA_QH","SKX")</f>
        <v>0</v>
      </c>
      <c r="AY10" s="50">
        <f ca="1">+GETPIVOTDATA("XSN4",'suoinghe (2016)'!$A$3,"MA_HT","LUN","MA_QH","DSH")</f>
        <v>0</v>
      </c>
      <c r="AZ10" s="50">
        <f ca="1">+GETPIVOTDATA("XSN4",'suoinghe (2016)'!$A$3,"MA_HT","LUN","MA_QH","DKV")</f>
        <v>0</v>
      </c>
      <c r="BA10" s="88">
        <f ca="1">+GETPIVOTDATA("XSN4",'suoinghe (2016)'!$A$3,"MA_HT","LUN","MA_QH","TIN")</f>
        <v>0</v>
      </c>
      <c r="BB10" s="50">
        <f ca="1">+GETPIVOTDATA("XSN4",'suoinghe (2016)'!$A$3,"MA_HT","LUN","MA_QH","SON")</f>
        <v>0</v>
      </c>
      <c r="BC10" s="50">
        <f ca="1">+GETPIVOTDATA("XSN4",'suoinghe (2016)'!$A$3,"MA_HT","LUN","MA_QH","MNC")</f>
        <v>0</v>
      </c>
      <c r="BD10" s="50">
        <f ca="1">+GETPIVOTDATA("XSN4",'suoinghe (2016)'!$A$3,"MA_HT","LUN","MA_QH","PNK")</f>
        <v>0</v>
      </c>
      <c r="BE10" s="80">
        <f ca="1">+GETPIVOTDATA("XSN4",'suoinghe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+GETPIVOTDATA("XSN4",'suoinghe (2016)'!$A$3,"MA_HT","HNK","MA_QH","LUC")</f>
        <v>0</v>
      </c>
      <c r="H11" s="22">
        <f ca="1">+GETPIVOTDATA("XSN4",'suoinghe (2016)'!$A$3,"MA_HT","HNK","MA_QH","LUK")</f>
        <v>0</v>
      </c>
      <c r="I11" s="22">
        <f ca="1">+GETPIVOTDATA("XSN4",'suoinghe (2016)'!$A$3,"MA_HT","HNK","MA_QH","LUN")</f>
        <v>0</v>
      </c>
      <c r="J11" s="43" t="e">
        <f ca="1">$D11-$BF11</f>
        <v>#REF!</v>
      </c>
      <c r="K11" s="22">
        <f ca="1">+GETPIVOTDATA("XSN4",'suoinghe (2016)'!$A$3,"MA_HT","HNK","MA_QH","CLN")</f>
        <v>0</v>
      </c>
      <c r="L11" s="22">
        <f ca="1">+GETPIVOTDATA("XSN4",'suoinghe (2016)'!$A$3,"MA_HT","HNK","MA_QH","RSX")</f>
        <v>0</v>
      </c>
      <c r="M11" s="22">
        <f ca="1">+GETPIVOTDATA("XSN4",'suoinghe (2016)'!$A$3,"MA_HT","HNK","MA_QH","RPH")</f>
        <v>0</v>
      </c>
      <c r="N11" s="22">
        <f ca="1">+GETPIVOTDATA("XSN4",'suoinghe (2016)'!$A$3,"MA_HT","HNK","MA_QH","RDD")</f>
        <v>0</v>
      </c>
      <c r="O11" s="22">
        <f ca="1">+GETPIVOTDATA("XSN4",'suoinghe (2016)'!$A$3,"MA_HT","HNK","MA_QH","NTS")</f>
        <v>0</v>
      </c>
      <c r="P11" s="22">
        <f ca="1">+GETPIVOTDATA("XSN4",'suoinghe (2016)'!$A$3,"MA_HT","HNK","MA_QH","LMU")</f>
        <v>0</v>
      </c>
      <c r="Q11" s="22">
        <f ca="1">+GETPIVOTDATA("XSN4",'suoinghe (2016)'!$A$3,"MA_HT","HNK","MA_QH","NKH")</f>
        <v>0</v>
      </c>
      <c r="R11" s="42">
        <f ca="1" t="shared" si="2"/>
        <v>0</v>
      </c>
      <c r="S11" s="22">
        <f ca="1">+GETPIVOTDATA("XSN4",'suoinghe (2016)'!$A$3,"MA_HT","HNK","MA_QH","CQP")</f>
        <v>0</v>
      </c>
      <c r="T11" s="22">
        <f ca="1">+GETPIVOTDATA("XSN4",'suoinghe (2016)'!$A$3,"MA_HT","HNK","MA_QH","CAN")</f>
        <v>0</v>
      </c>
      <c r="U11" s="22">
        <f ca="1">+GETPIVOTDATA("XSN4",'suoinghe (2016)'!$A$3,"MA_HT","HNK","MA_QH","SKK")</f>
        <v>0</v>
      </c>
      <c r="V11" s="22">
        <f ca="1">+GETPIVOTDATA("XSN4",'suoinghe (2016)'!$A$3,"MA_HT","HNK","MA_QH","SKT")</f>
        <v>0</v>
      </c>
      <c r="W11" s="22">
        <f ca="1">+GETPIVOTDATA("XSN4",'suoinghe (2016)'!$A$3,"MA_HT","HNK","MA_QH","SKN")</f>
        <v>0</v>
      </c>
      <c r="X11" s="22">
        <f ca="1">+GETPIVOTDATA("XSN4",'suoinghe (2016)'!$A$3,"MA_HT","HNK","MA_QH","TMD")</f>
        <v>0</v>
      </c>
      <c r="Y11" s="22">
        <f ca="1">+GETPIVOTDATA("XSN4",'suoinghe (2016)'!$A$3,"MA_HT","HNK","MA_QH","SKC")</f>
        <v>0</v>
      </c>
      <c r="Z11" s="22">
        <f ca="1">+GETPIVOTDATA("XSN4",'suoinghe (2016)'!$A$3,"MA_HT","HNK","MA_QH","SKS")</f>
        <v>0</v>
      </c>
      <c r="AA11" s="52">
        <f ca="1" t="shared" si="4"/>
        <v>0</v>
      </c>
      <c r="AB11" s="22">
        <f ca="1">+GETPIVOTDATA("XSN4",'suoinghe (2016)'!$A$3,"MA_HT","HNK","MA_QH","DGT")</f>
        <v>0</v>
      </c>
      <c r="AC11" s="22">
        <f ca="1">+GETPIVOTDATA("XSN4",'suoinghe (2016)'!$A$3,"MA_HT","HNK","MA_QH","DTL")</f>
        <v>0</v>
      </c>
      <c r="AD11" s="22">
        <f ca="1">+GETPIVOTDATA("XSN4",'suoinghe (2016)'!$A$3,"MA_HT","HNK","MA_QH","DNL")</f>
        <v>0</v>
      </c>
      <c r="AE11" s="22">
        <f ca="1">+GETPIVOTDATA("XSN4",'suoinghe (2016)'!$A$3,"MA_HT","HNK","MA_QH","DBV")</f>
        <v>0</v>
      </c>
      <c r="AF11" s="22">
        <f ca="1">+GETPIVOTDATA("XSN4",'suoinghe (2016)'!$A$3,"MA_HT","HNK","MA_QH","DVH")</f>
        <v>0</v>
      </c>
      <c r="AG11" s="22">
        <f ca="1">+GETPIVOTDATA("XSN4",'suoinghe (2016)'!$A$3,"MA_HT","HNK","MA_QH","DYT")</f>
        <v>0</v>
      </c>
      <c r="AH11" s="22">
        <f ca="1">+GETPIVOTDATA("XSN4",'suoinghe (2016)'!$A$3,"MA_HT","HNK","MA_QH","DGD")</f>
        <v>0</v>
      </c>
      <c r="AI11" s="22">
        <f ca="1">+GETPIVOTDATA("XSN4",'suoinghe (2016)'!$A$3,"MA_HT","HNK","MA_QH","DTT")</f>
        <v>0</v>
      </c>
      <c r="AJ11" s="22">
        <f ca="1">+GETPIVOTDATA("XSN4",'suoinghe (2016)'!$A$3,"MA_HT","HNK","MA_QH","NCK")</f>
        <v>0</v>
      </c>
      <c r="AK11" s="22">
        <f ca="1">+GETPIVOTDATA("XSN4",'suoinghe (2016)'!$A$3,"MA_HT","HNK","MA_QH","DXH")</f>
        <v>0</v>
      </c>
      <c r="AL11" s="22">
        <f ca="1">+GETPIVOTDATA("XSN4",'suoinghe (2016)'!$A$3,"MA_HT","HNK","MA_QH","DCH")</f>
        <v>0</v>
      </c>
      <c r="AM11" s="22">
        <f ca="1">+GETPIVOTDATA("XSN4",'suoinghe (2016)'!$A$3,"MA_HT","HNK","MA_QH","DKG")</f>
        <v>0</v>
      </c>
      <c r="AN11" s="22">
        <f ca="1">+GETPIVOTDATA("XSN4",'suoinghe (2016)'!$A$3,"MA_HT","HNK","MA_QH","DDT")</f>
        <v>0</v>
      </c>
      <c r="AO11" s="22">
        <f ca="1">+GETPIVOTDATA("XSN4",'suoinghe (2016)'!$A$3,"MA_HT","HNK","MA_QH","DDL")</f>
        <v>0</v>
      </c>
      <c r="AP11" s="22">
        <f ca="1">+GETPIVOTDATA("XSN4",'suoinghe (2016)'!$A$3,"MA_HT","HNK","MA_QH","DRA")</f>
        <v>0</v>
      </c>
      <c r="AQ11" s="22">
        <f ca="1">+GETPIVOTDATA("XSN4",'suoinghe (2016)'!$A$3,"MA_HT","HNK","MA_QH","ONT")</f>
        <v>0</v>
      </c>
      <c r="AR11" s="22">
        <f ca="1">+GETPIVOTDATA("XSN4",'suoinghe (2016)'!$A$3,"MA_HT","HNK","MA_QH","ODT")</f>
        <v>0</v>
      </c>
      <c r="AS11" s="22">
        <f ca="1">+GETPIVOTDATA("XSN4",'suoinghe (2016)'!$A$3,"MA_HT","HNK","MA_QH","TSC")</f>
        <v>0</v>
      </c>
      <c r="AT11" s="22">
        <f ca="1">+GETPIVOTDATA("XSN4",'suoinghe (2016)'!$A$3,"MA_HT","HNK","MA_QH","DTS")</f>
        <v>0</v>
      </c>
      <c r="AU11" s="22">
        <f ca="1">+GETPIVOTDATA("XSN4",'suoinghe (2016)'!$A$3,"MA_HT","HNK","MA_QH","DNG")</f>
        <v>0</v>
      </c>
      <c r="AV11" s="22">
        <f ca="1">+GETPIVOTDATA("XSN4",'suoinghe (2016)'!$A$3,"MA_HT","HNK","MA_QH","TON")</f>
        <v>0</v>
      </c>
      <c r="AW11" s="22">
        <f ca="1">+GETPIVOTDATA("XSN4",'suoinghe (2016)'!$A$3,"MA_HT","HNK","MA_QH","NTD")</f>
        <v>0</v>
      </c>
      <c r="AX11" s="22">
        <f ca="1">+GETPIVOTDATA("XSN4",'suoinghe (2016)'!$A$3,"MA_HT","HNK","MA_QH","SKX")</f>
        <v>0</v>
      </c>
      <c r="AY11" s="22">
        <f ca="1">+GETPIVOTDATA("XSN4",'suoinghe (2016)'!$A$3,"MA_HT","HNK","MA_QH","DSH")</f>
        <v>0</v>
      </c>
      <c r="AZ11" s="22">
        <f ca="1">+GETPIVOTDATA("XSN4",'suoinghe (2016)'!$A$3,"MA_HT","HNK","MA_QH","DKV")</f>
        <v>0</v>
      </c>
      <c r="BA11" s="89">
        <f ca="1">+GETPIVOTDATA("XSN4",'suoinghe (2016)'!$A$3,"MA_HT","HNK","MA_QH","TIN")</f>
        <v>0</v>
      </c>
      <c r="BB11" s="50">
        <f ca="1">+GETPIVOTDATA("XSN4",'suoinghe (2016)'!$A$3,"MA_HT","HNK","MA_QH","SON")</f>
        <v>0</v>
      </c>
      <c r="BC11" s="50">
        <f ca="1">+GETPIVOTDATA("XSN4",'suoinghe (2016)'!$A$3,"MA_HT","HNK","MA_QH","MNC")</f>
        <v>0</v>
      </c>
      <c r="BD11" s="22">
        <f ca="1">+GETPIVOTDATA("XSN4",'suoinghe (2016)'!$A$3,"MA_HT","HNK","MA_QH","PNK")</f>
        <v>0</v>
      </c>
      <c r="BE11" s="71">
        <f ca="1">+GETPIVOTDATA("XSN4",'suoinghe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+GETPIVOTDATA("XSN4",'suoinghe (2016)'!$A$3,"MA_HT","CLN","MA_QH","LUC")</f>
        <v>0</v>
      </c>
      <c r="H12" s="22">
        <f ca="1">+GETPIVOTDATA("XSN4",'suoinghe (2016)'!$A$3,"MA_HT","CLN","MA_QH","LUK")</f>
        <v>0</v>
      </c>
      <c r="I12" s="22">
        <f ca="1">+GETPIVOTDATA("XSN4",'suoinghe (2016)'!$A$3,"MA_HT","CLN","MA_QH","LUN")</f>
        <v>0</v>
      </c>
      <c r="J12" s="22">
        <f ca="1">+GETPIVOTDATA("XSN4",'suoinghe (2016)'!$A$3,"MA_HT","CLN","MA_QH","HNK")</f>
        <v>0</v>
      </c>
      <c r="K12" s="43" t="e">
        <f ca="1">$D12-$BF12</f>
        <v>#REF!</v>
      </c>
      <c r="L12" s="22">
        <f ca="1">+GETPIVOTDATA("XSN4",'suoinghe (2016)'!$A$3,"MA_HT","CLN","MA_QH","RSX")</f>
        <v>0</v>
      </c>
      <c r="M12" s="22">
        <f ca="1">+GETPIVOTDATA("XSN4",'suoinghe (2016)'!$A$3,"MA_HT","CLN","MA_QH","RPH")</f>
        <v>0</v>
      </c>
      <c r="N12" s="22">
        <f ca="1">+GETPIVOTDATA("XSN4",'suoinghe (2016)'!$A$3,"MA_HT","CLN","MA_QH","RDD")</f>
        <v>0</v>
      </c>
      <c r="O12" s="22">
        <f ca="1">+GETPIVOTDATA("XSN4",'suoinghe (2016)'!$A$3,"MA_HT","CLN","MA_QH","NTS")</f>
        <v>0</v>
      </c>
      <c r="P12" s="22">
        <f ca="1">+GETPIVOTDATA("XSN4",'suoinghe (2016)'!$A$3,"MA_HT","CLN","MA_QH","LMU")</f>
        <v>0</v>
      </c>
      <c r="Q12" s="22">
        <f ca="1">+GETPIVOTDATA("XSN4",'suoinghe (2016)'!$A$3,"MA_HT","CLN","MA_QH","NKH")</f>
        <v>0</v>
      </c>
      <c r="R12" s="42">
        <f ca="1" t="shared" si="2"/>
        <v>0</v>
      </c>
      <c r="S12" s="22">
        <f ca="1">+GETPIVOTDATA("XSN4",'suoinghe (2016)'!$A$3,"MA_HT","CLN","MA_QH","CQP")</f>
        <v>0</v>
      </c>
      <c r="T12" s="22">
        <f ca="1">+GETPIVOTDATA("XSN4",'suoinghe (2016)'!$A$3,"MA_HT","CLN","MA_QH","CAN")</f>
        <v>0</v>
      </c>
      <c r="U12" s="22">
        <f ca="1">+GETPIVOTDATA("XSN4",'suoinghe (2016)'!$A$3,"MA_HT","CLN","MA_QH","SKK")</f>
        <v>0</v>
      </c>
      <c r="V12" s="22">
        <f ca="1">+GETPIVOTDATA("XSN4",'suoinghe (2016)'!$A$3,"MA_HT","CLN","MA_QH","SKT")</f>
        <v>0</v>
      </c>
      <c r="W12" s="22">
        <f ca="1">+GETPIVOTDATA("XSN4",'suoinghe (2016)'!$A$3,"MA_HT","CLN","MA_QH","SKN")</f>
        <v>0</v>
      </c>
      <c r="X12" s="22">
        <f ca="1">+GETPIVOTDATA("XSN4",'suoinghe (2016)'!$A$3,"MA_HT","CLN","MA_QH","TMD")</f>
        <v>0</v>
      </c>
      <c r="Y12" s="22">
        <f ca="1">+GETPIVOTDATA("XSN4",'suoinghe (2016)'!$A$3,"MA_HT","CLN","MA_QH","SKC")</f>
        <v>0</v>
      </c>
      <c r="Z12" s="22">
        <f ca="1">+GETPIVOTDATA("XSN4",'suoinghe (2016)'!$A$3,"MA_HT","CLN","MA_QH","SKS")</f>
        <v>0</v>
      </c>
      <c r="AA12" s="52">
        <f ca="1" t="shared" si="4"/>
        <v>0</v>
      </c>
      <c r="AB12" s="22">
        <f ca="1">+GETPIVOTDATA("XSN4",'suoinghe (2016)'!$A$3,"MA_HT","CLN","MA_QH","DGT")</f>
        <v>0</v>
      </c>
      <c r="AC12" s="22">
        <f ca="1">+GETPIVOTDATA("XSN4",'suoinghe (2016)'!$A$3,"MA_HT","CLN","MA_QH","DTL")</f>
        <v>0</v>
      </c>
      <c r="AD12" s="22">
        <f ca="1">+GETPIVOTDATA("XSN4",'suoinghe (2016)'!$A$3,"MA_HT","CLN","MA_QH","DNL")</f>
        <v>0</v>
      </c>
      <c r="AE12" s="22">
        <f ca="1">+GETPIVOTDATA("XSN4",'suoinghe (2016)'!$A$3,"MA_HT","CLN","MA_QH","DBV")</f>
        <v>0</v>
      </c>
      <c r="AF12" s="22">
        <f ca="1">+GETPIVOTDATA("XSN4",'suoinghe (2016)'!$A$3,"MA_HT","CLN","MA_QH","DVH")</f>
        <v>0</v>
      </c>
      <c r="AG12" s="22">
        <f ca="1">+GETPIVOTDATA("XSN4",'suoinghe (2016)'!$A$3,"MA_HT","CLN","MA_QH","DYT")</f>
        <v>0</v>
      </c>
      <c r="AH12" s="22">
        <f ca="1">+GETPIVOTDATA("XSN4",'suoinghe (2016)'!$A$3,"MA_HT","CLN","MA_QH","DGD")</f>
        <v>0</v>
      </c>
      <c r="AI12" s="22">
        <f ca="1">+GETPIVOTDATA("XSN4",'suoinghe (2016)'!$A$3,"MA_HT","CLN","MA_QH","DTT")</f>
        <v>0</v>
      </c>
      <c r="AJ12" s="22">
        <f ca="1">+GETPIVOTDATA("XSN4",'suoinghe (2016)'!$A$3,"MA_HT","CLN","MA_QH","NCK")</f>
        <v>0</v>
      </c>
      <c r="AK12" s="22">
        <f ca="1">+GETPIVOTDATA("XSN4",'suoinghe (2016)'!$A$3,"MA_HT","CLN","MA_QH","DXH")</f>
        <v>0</v>
      </c>
      <c r="AL12" s="22">
        <f ca="1">+GETPIVOTDATA("XSN4",'suoinghe (2016)'!$A$3,"MA_HT","CLN","MA_QH","DCH")</f>
        <v>0</v>
      </c>
      <c r="AM12" s="22">
        <f ca="1">+GETPIVOTDATA("XSN4",'suoinghe (2016)'!$A$3,"MA_HT","CLN","MA_QH","DKG")</f>
        <v>0</v>
      </c>
      <c r="AN12" s="22">
        <f ca="1">+GETPIVOTDATA("XSN4",'suoinghe (2016)'!$A$3,"MA_HT","CLN","MA_QH","DDT")</f>
        <v>0</v>
      </c>
      <c r="AO12" s="22">
        <f ca="1">+GETPIVOTDATA("XSN4",'suoinghe (2016)'!$A$3,"MA_HT","CLN","MA_QH","DDL")</f>
        <v>0</v>
      </c>
      <c r="AP12" s="22">
        <f ca="1">+GETPIVOTDATA("XSN4",'suoinghe (2016)'!$A$3,"MA_HT","CLN","MA_QH","DRA")</f>
        <v>0</v>
      </c>
      <c r="AQ12" s="22">
        <f ca="1">+GETPIVOTDATA("XSN4",'suoinghe (2016)'!$A$3,"MA_HT","CLN","MA_QH","ONT")</f>
        <v>0</v>
      </c>
      <c r="AR12" s="22">
        <f ca="1">+GETPIVOTDATA("XSN4",'suoinghe (2016)'!$A$3,"MA_HT","CLN","MA_QH","ODT")</f>
        <v>0</v>
      </c>
      <c r="AS12" s="22">
        <f ca="1">+GETPIVOTDATA("XSN4",'suoinghe (2016)'!$A$3,"MA_HT","CLN","MA_QH","TSC")</f>
        <v>0</v>
      </c>
      <c r="AT12" s="22">
        <f ca="1">+GETPIVOTDATA("XSN4",'suoinghe (2016)'!$A$3,"MA_HT","CLN","MA_QH","DTS")</f>
        <v>0</v>
      </c>
      <c r="AU12" s="22">
        <f ca="1">+GETPIVOTDATA("XSN4",'suoinghe (2016)'!$A$3,"MA_HT","CLN","MA_QH","DNG")</f>
        <v>0</v>
      </c>
      <c r="AV12" s="22">
        <f ca="1">+GETPIVOTDATA("XSN4",'suoinghe (2016)'!$A$3,"MA_HT","CLN","MA_QH","TON")</f>
        <v>0</v>
      </c>
      <c r="AW12" s="22">
        <f ca="1">+GETPIVOTDATA("XSN4",'suoinghe (2016)'!$A$3,"MA_HT","CLN","MA_QH","NTD")</f>
        <v>0</v>
      </c>
      <c r="AX12" s="22">
        <f ca="1">+GETPIVOTDATA("XSN4",'suoinghe (2016)'!$A$3,"MA_HT","CLN","MA_QH","SKX")</f>
        <v>0</v>
      </c>
      <c r="AY12" s="22">
        <f ca="1">+GETPIVOTDATA("XSN4",'suoinghe (2016)'!$A$3,"MA_HT","CLN","MA_QH","DSH")</f>
        <v>0</v>
      </c>
      <c r="AZ12" s="22">
        <f ca="1">+GETPIVOTDATA("XSN4",'suoinghe (2016)'!$A$3,"MA_HT","CLN","MA_QH","DKV")</f>
        <v>0</v>
      </c>
      <c r="BA12" s="89">
        <f ca="1">+GETPIVOTDATA("XSN4",'suoinghe (2016)'!$A$3,"MA_HT","CLN","MA_QH","TIN")</f>
        <v>0</v>
      </c>
      <c r="BB12" s="50">
        <f ca="1">+GETPIVOTDATA("XSN4",'suoinghe (2016)'!$A$3,"MA_HT","CLN","MA_QH","SON")</f>
        <v>0</v>
      </c>
      <c r="BC12" s="50">
        <f ca="1">+GETPIVOTDATA("XSN4",'suoinghe (2016)'!$A$3,"MA_HT","CLN","MA_QH","MNC")</f>
        <v>0</v>
      </c>
      <c r="BD12" s="22">
        <f ca="1">+GETPIVOTDATA("XSN4",'suoinghe (2016)'!$A$3,"MA_HT","CLN","MA_QH","PNK")</f>
        <v>0</v>
      </c>
      <c r="BE12" s="71">
        <f ca="1">+GETPIVOTDATA("XSN4",'suoinghe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+GETPIVOTDATA("XSN4",'suoinghe (2016)'!$A$3,"MA_HT","RSX","MA_QH","LUC")</f>
        <v>0</v>
      </c>
      <c r="H13" s="22">
        <f ca="1">+GETPIVOTDATA("XSN4",'suoinghe (2016)'!$A$3,"MA_HT","RSX","MA_QH","LUK")</f>
        <v>0</v>
      </c>
      <c r="I13" s="22">
        <f ca="1">+GETPIVOTDATA("XSN4",'suoinghe (2016)'!$A$3,"MA_HT","RSX","MA_QH","LUN")</f>
        <v>0</v>
      </c>
      <c r="J13" s="22">
        <f ca="1">+GETPIVOTDATA("XSN4",'suoinghe (2016)'!$A$3,"MA_HT","RSX","MA_QH","HNK")</f>
        <v>0</v>
      </c>
      <c r="K13" s="22">
        <f ca="1">+GETPIVOTDATA("XSN4",'suoinghe (2016)'!$A$3,"MA_HT","RSX","MA_QH","CLN")</f>
        <v>0</v>
      </c>
      <c r="L13" s="43" t="e">
        <f ca="1">$D13-$BF13</f>
        <v>#REF!</v>
      </c>
      <c r="M13" s="22">
        <f ca="1">+GETPIVOTDATA("XSN4",'suoinghe (2016)'!$A$3,"MA_HT","RSX","MA_QH","RPH")</f>
        <v>0</v>
      </c>
      <c r="N13" s="22">
        <f ca="1">+GETPIVOTDATA("XSN4",'suoinghe (2016)'!$A$3,"MA_HT","RSX","MA_QH","RDD")</f>
        <v>0</v>
      </c>
      <c r="O13" s="22">
        <f ca="1">+GETPIVOTDATA("XSN4",'suoinghe (2016)'!$A$3,"MA_HT","RSX","MA_QH","NTS")</f>
        <v>0</v>
      </c>
      <c r="P13" s="22">
        <f ca="1">+GETPIVOTDATA("XSN4",'suoinghe (2016)'!$A$3,"MA_HT","RSX","MA_QH","LMU")</f>
        <v>0</v>
      </c>
      <c r="Q13" s="22">
        <f ca="1">+GETPIVOTDATA("XSN4",'suoinghe (2016)'!$A$3,"MA_HT","RSX","MA_QH","NKH")</f>
        <v>0</v>
      </c>
      <c r="R13" s="42">
        <f ca="1" t="shared" si="2"/>
        <v>0</v>
      </c>
      <c r="S13" s="22">
        <f ca="1">+GETPIVOTDATA("XSN4",'suoinghe (2016)'!$A$3,"MA_HT","RSX","MA_QH","CQP")</f>
        <v>0</v>
      </c>
      <c r="T13" s="22">
        <f ca="1">+GETPIVOTDATA("XSN4",'suoinghe (2016)'!$A$3,"MA_HT","RSX","MA_QH","CAN")</f>
        <v>0</v>
      </c>
      <c r="U13" s="22">
        <f ca="1">+GETPIVOTDATA("XSN4",'suoinghe (2016)'!$A$3,"MA_HT","RSX","MA_QH","SKK")</f>
        <v>0</v>
      </c>
      <c r="V13" s="22">
        <f ca="1">+GETPIVOTDATA("XSN4",'suoinghe (2016)'!$A$3,"MA_HT","RSX","MA_QH","SKT")</f>
        <v>0</v>
      </c>
      <c r="W13" s="22">
        <f ca="1">+GETPIVOTDATA("XSN4",'suoinghe (2016)'!$A$3,"MA_HT","RSX","MA_QH","SKN")</f>
        <v>0</v>
      </c>
      <c r="X13" s="22">
        <f ca="1">+GETPIVOTDATA("XSN4",'suoinghe (2016)'!$A$3,"MA_HT","RSX","MA_QH","TMD")</f>
        <v>0</v>
      </c>
      <c r="Y13" s="22">
        <f ca="1">+GETPIVOTDATA("XSN4",'suoinghe (2016)'!$A$3,"MA_HT","RSX","MA_QH","SKC")</f>
        <v>0</v>
      </c>
      <c r="Z13" s="22">
        <f ca="1">+GETPIVOTDATA("XSN4",'suoinghe (2016)'!$A$3,"MA_HT","RSX","MA_QH","SKS")</f>
        <v>0</v>
      </c>
      <c r="AA13" s="52">
        <f ca="1" t="shared" si="4"/>
        <v>0</v>
      </c>
      <c r="AB13" s="22">
        <f ca="1">+GETPIVOTDATA("XSN4",'suoinghe (2016)'!$A$3,"MA_HT","RSX","MA_QH","DGT")</f>
        <v>0</v>
      </c>
      <c r="AC13" s="22">
        <f ca="1">+GETPIVOTDATA("XSN4",'suoinghe (2016)'!$A$3,"MA_HT","RSX","MA_QH","DTL")</f>
        <v>0</v>
      </c>
      <c r="AD13" s="22">
        <f ca="1">+GETPIVOTDATA("XSN4",'suoinghe (2016)'!$A$3,"MA_HT","RSX","MA_QH","DNL")</f>
        <v>0</v>
      </c>
      <c r="AE13" s="22">
        <f ca="1">+GETPIVOTDATA("XSN4",'suoinghe (2016)'!$A$3,"MA_HT","RSX","MA_QH","DBV")</f>
        <v>0</v>
      </c>
      <c r="AF13" s="22">
        <f ca="1">+GETPIVOTDATA("XSN4",'suoinghe (2016)'!$A$3,"MA_HT","RSX","MA_QH","DVH")</f>
        <v>0</v>
      </c>
      <c r="AG13" s="22">
        <f ca="1">+GETPIVOTDATA("XSN4",'suoinghe (2016)'!$A$3,"MA_HT","RSX","MA_QH","DYT")</f>
        <v>0</v>
      </c>
      <c r="AH13" s="22">
        <f ca="1">+GETPIVOTDATA("XSN4",'suoinghe (2016)'!$A$3,"MA_HT","RSX","MA_QH","DGD")</f>
        <v>0</v>
      </c>
      <c r="AI13" s="22">
        <f ca="1">+GETPIVOTDATA("XSN4",'suoinghe (2016)'!$A$3,"MA_HT","RSX","MA_QH","DTT")</f>
        <v>0</v>
      </c>
      <c r="AJ13" s="22">
        <f ca="1">+GETPIVOTDATA("XSN4",'suoinghe (2016)'!$A$3,"MA_HT","RSX","MA_QH","NCK")</f>
        <v>0</v>
      </c>
      <c r="AK13" s="22">
        <f ca="1">+GETPIVOTDATA("XSN4",'suoinghe (2016)'!$A$3,"MA_HT","RSX","MA_QH","DXH")</f>
        <v>0</v>
      </c>
      <c r="AL13" s="22">
        <f ca="1">+GETPIVOTDATA("XSN4",'suoinghe (2016)'!$A$3,"MA_HT","RSX","MA_QH","DCH")</f>
        <v>0</v>
      </c>
      <c r="AM13" s="22">
        <f ca="1">+GETPIVOTDATA("XSN4",'suoinghe (2016)'!$A$3,"MA_HT","RSX","MA_QH","DKG")</f>
        <v>0</v>
      </c>
      <c r="AN13" s="22">
        <f ca="1">+GETPIVOTDATA("XSN4",'suoinghe (2016)'!$A$3,"MA_HT","RSX","MA_QH","DDT")</f>
        <v>0</v>
      </c>
      <c r="AO13" s="22">
        <f ca="1">+GETPIVOTDATA("XSN4",'suoinghe (2016)'!$A$3,"MA_HT","RSX","MA_QH","DDL")</f>
        <v>0</v>
      </c>
      <c r="AP13" s="22">
        <f ca="1">+GETPIVOTDATA("XSN4",'suoinghe (2016)'!$A$3,"MA_HT","RSX","MA_QH","DRA")</f>
        <v>0</v>
      </c>
      <c r="AQ13" s="22">
        <f ca="1">+GETPIVOTDATA("XSN4",'suoinghe (2016)'!$A$3,"MA_HT","RSX","MA_QH","ONT")</f>
        <v>0</v>
      </c>
      <c r="AR13" s="22">
        <f ca="1">+GETPIVOTDATA("XSN4",'suoinghe (2016)'!$A$3,"MA_HT","RSX","MA_QH","ODT")</f>
        <v>0</v>
      </c>
      <c r="AS13" s="22">
        <f ca="1">+GETPIVOTDATA("XSN4",'suoinghe (2016)'!$A$3,"MA_HT","RSX","MA_QH","TSC")</f>
        <v>0</v>
      </c>
      <c r="AT13" s="22">
        <f ca="1">+GETPIVOTDATA("XSN4",'suoinghe (2016)'!$A$3,"MA_HT","RSX","MA_QH","DTS")</f>
        <v>0</v>
      </c>
      <c r="AU13" s="22">
        <f ca="1">+GETPIVOTDATA("XSN4",'suoinghe (2016)'!$A$3,"MA_HT","RSX","MA_QH","DNG")</f>
        <v>0</v>
      </c>
      <c r="AV13" s="22">
        <f ca="1">+GETPIVOTDATA("XSN4",'suoinghe (2016)'!$A$3,"MA_HT","RSX","MA_QH","TON")</f>
        <v>0</v>
      </c>
      <c r="AW13" s="22">
        <f ca="1">+GETPIVOTDATA("XSN4",'suoinghe (2016)'!$A$3,"MA_HT","RSX","MA_QH","NTD")</f>
        <v>0</v>
      </c>
      <c r="AX13" s="22">
        <f ca="1">+GETPIVOTDATA("XSN4",'suoinghe (2016)'!$A$3,"MA_HT","RSX","MA_QH","SKX")</f>
        <v>0</v>
      </c>
      <c r="AY13" s="22">
        <f ca="1">+GETPIVOTDATA("XSN4",'suoinghe (2016)'!$A$3,"MA_HT","RSX","MA_QH","DSH")</f>
        <v>0</v>
      </c>
      <c r="AZ13" s="22">
        <f ca="1">+GETPIVOTDATA("XSN4",'suoinghe (2016)'!$A$3,"MA_HT","RSX","MA_QH","DKV")</f>
        <v>0</v>
      </c>
      <c r="BA13" s="89">
        <f ca="1">+GETPIVOTDATA("XSN4",'suoinghe (2016)'!$A$3,"MA_HT","RSX","MA_QH","TIN")</f>
        <v>0</v>
      </c>
      <c r="BB13" s="50">
        <f ca="1">+GETPIVOTDATA("XSN4",'suoinghe (2016)'!$A$3,"MA_HT","RSX","MA_QH","SON")</f>
        <v>0</v>
      </c>
      <c r="BC13" s="50">
        <f ca="1">+GETPIVOTDATA("XSN4",'suoinghe (2016)'!$A$3,"MA_HT","RSX","MA_QH","MNC")</f>
        <v>0</v>
      </c>
      <c r="BD13" s="22">
        <f ca="1">+GETPIVOTDATA("XSN4",'suoinghe (2016)'!$A$3,"MA_HT","RSX","MA_QH","PNK")</f>
        <v>0</v>
      </c>
      <c r="BE13" s="71">
        <f ca="1">+GETPIVOTDATA("XSN4",'suoinghe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+GETPIVOTDATA("XSN4",'suoinghe (2016)'!$A$3,"MA_HT","RPH","MA_QH","LUC")</f>
        <v>0</v>
      </c>
      <c r="H14" s="22">
        <f ca="1">+GETPIVOTDATA("XSN4",'suoinghe (2016)'!$A$3,"MA_HT","RPH","MA_QH","LUK")</f>
        <v>0</v>
      </c>
      <c r="I14" s="22">
        <f ca="1">+GETPIVOTDATA("XSN4",'suoinghe (2016)'!$A$3,"MA_HT","RPH","MA_QH","LUN")</f>
        <v>0</v>
      </c>
      <c r="J14" s="22">
        <f ca="1">+GETPIVOTDATA("XSN4",'suoinghe (2016)'!$A$3,"MA_HT","RPH","MA_QH","HNK")</f>
        <v>0</v>
      </c>
      <c r="K14" s="22">
        <f ca="1">+GETPIVOTDATA("XSN4",'suoinghe (2016)'!$A$3,"MA_HT","RPH","MA_QH","CLN")</f>
        <v>0</v>
      </c>
      <c r="L14" s="22">
        <f ca="1">+GETPIVOTDATA("XSN4",'suoinghe (2016)'!$A$3,"MA_HT","RPH","MA_QH","RSX")</f>
        <v>0</v>
      </c>
      <c r="M14" s="43" t="e">
        <f ca="1">$D14-$BF14</f>
        <v>#REF!</v>
      </c>
      <c r="N14" s="22">
        <f ca="1">+GETPIVOTDATA("XSN4",'suoinghe (2016)'!$A$3,"MA_HT","RPH","MA_QH","RDD")</f>
        <v>0</v>
      </c>
      <c r="O14" s="22">
        <f ca="1">+GETPIVOTDATA("XSN4",'suoinghe (2016)'!$A$3,"MA_HT","RPH","MA_QH","NTS")</f>
        <v>0</v>
      </c>
      <c r="P14" s="22">
        <f ca="1">+GETPIVOTDATA("XSN4",'suoinghe (2016)'!$A$3,"MA_HT","RPH","MA_QH","LMU")</f>
        <v>0</v>
      </c>
      <c r="Q14" s="22">
        <f ca="1">+GETPIVOTDATA("XSN4",'suoinghe (2016)'!$A$3,"MA_HT","RPH","MA_QH","NKH")</f>
        <v>0</v>
      </c>
      <c r="R14" s="42">
        <f ca="1" t="shared" si="2"/>
        <v>0</v>
      </c>
      <c r="S14" s="22">
        <f ca="1">+GETPIVOTDATA("XSN4",'suoinghe (2016)'!$A$3,"MA_HT","RPH","MA_QH","CQP")</f>
        <v>0</v>
      </c>
      <c r="T14" s="22">
        <f ca="1">+GETPIVOTDATA("XSN4",'suoinghe (2016)'!$A$3,"MA_HT","RPH","MA_QH","CAN")</f>
        <v>0</v>
      </c>
      <c r="U14" s="22">
        <f ca="1">+GETPIVOTDATA("XSN4",'suoinghe (2016)'!$A$3,"MA_HT","RPH","MA_QH","SKK")</f>
        <v>0</v>
      </c>
      <c r="V14" s="22">
        <f ca="1">+GETPIVOTDATA("XSN4",'suoinghe (2016)'!$A$3,"MA_HT","RPH","MA_QH","SKT")</f>
        <v>0</v>
      </c>
      <c r="W14" s="22">
        <f ca="1">+GETPIVOTDATA("XSN4",'suoinghe (2016)'!$A$3,"MA_HT","RPH","MA_QH","SKN")</f>
        <v>0</v>
      </c>
      <c r="X14" s="22">
        <f ca="1">+GETPIVOTDATA("XSN4",'suoinghe (2016)'!$A$3,"MA_HT","RPH","MA_QH","TMD")</f>
        <v>0</v>
      </c>
      <c r="Y14" s="22">
        <f ca="1">+GETPIVOTDATA("XSN4",'suoinghe (2016)'!$A$3,"MA_HT","RPH","MA_QH","SKC")</f>
        <v>0</v>
      </c>
      <c r="Z14" s="22">
        <f ca="1">+GETPIVOTDATA("XSN4",'suoinghe (2016)'!$A$3,"MA_HT","RPH","MA_QH","SKS")</f>
        <v>0</v>
      </c>
      <c r="AA14" s="52">
        <f ca="1" t="shared" si="4"/>
        <v>0</v>
      </c>
      <c r="AB14" s="22">
        <f ca="1">+GETPIVOTDATA("XSN4",'suoinghe (2016)'!$A$3,"MA_HT","RPH","MA_QH","DGT")</f>
        <v>0</v>
      </c>
      <c r="AC14" s="22">
        <f ca="1">+GETPIVOTDATA("XSN4",'suoinghe (2016)'!$A$3,"MA_HT","RPH","MA_QH","DTL")</f>
        <v>0</v>
      </c>
      <c r="AD14" s="22">
        <f ca="1">+GETPIVOTDATA("XSN4",'suoinghe (2016)'!$A$3,"MA_HT","RPH","MA_QH","DNL")</f>
        <v>0</v>
      </c>
      <c r="AE14" s="22">
        <f ca="1">+GETPIVOTDATA("XSN4",'suoinghe (2016)'!$A$3,"MA_HT","RPH","MA_QH","DBV")</f>
        <v>0</v>
      </c>
      <c r="AF14" s="22">
        <f ca="1">+GETPIVOTDATA("XSN4",'suoinghe (2016)'!$A$3,"MA_HT","RPH","MA_QH","DVH")</f>
        <v>0</v>
      </c>
      <c r="AG14" s="22">
        <f ca="1">+GETPIVOTDATA("XSN4",'suoinghe (2016)'!$A$3,"MA_HT","RPH","MA_QH","DYT")</f>
        <v>0</v>
      </c>
      <c r="AH14" s="22">
        <f ca="1">+GETPIVOTDATA("XSN4",'suoinghe (2016)'!$A$3,"MA_HT","RPH","MA_QH","DGD")</f>
        <v>0</v>
      </c>
      <c r="AI14" s="22">
        <f ca="1">+GETPIVOTDATA("XSN4",'suoinghe (2016)'!$A$3,"MA_HT","RPH","MA_QH","DTT")</f>
        <v>0</v>
      </c>
      <c r="AJ14" s="22">
        <f ca="1">+GETPIVOTDATA("XSN4",'suoinghe (2016)'!$A$3,"MA_HT","RPH","MA_QH","NCK")</f>
        <v>0</v>
      </c>
      <c r="AK14" s="22">
        <f ca="1">+GETPIVOTDATA("XSN4",'suoinghe (2016)'!$A$3,"MA_HT","RPH","MA_QH","DXH")</f>
        <v>0</v>
      </c>
      <c r="AL14" s="22">
        <f ca="1">+GETPIVOTDATA("XSN4",'suoinghe (2016)'!$A$3,"MA_HT","RPH","MA_QH","DCH")</f>
        <v>0</v>
      </c>
      <c r="AM14" s="22">
        <f ca="1">+GETPIVOTDATA("XSN4",'suoinghe (2016)'!$A$3,"MA_HT","RPH","MA_QH","DKG")</f>
        <v>0</v>
      </c>
      <c r="AN14" s="22">
        <f ca="1">+GETPIVOTDATA("XSN4",'suoinghe (2016)'!$A$3,"MA_HT","RPH","MA_QH","DDT")</f>
        <v>0</v>
      </c>
      <c r="AO14" s="22">
        <f ca="1">+GETPIVOTDATA("XSN4",'suoinghe (2016)'!$A$3,"MA_HT","RPH","MA_QH","DDL")</f>
        <v>0</v>
      </c>
      <c r="AP14" s="22">
        <f ca="1">+GETPIVOTDATA("XSN4",'suoinghe (2016)'!$A$3,"MA_HT","RPH","MA_QH","DRA")</f>
        <v>0</v>
      </c>
      <c r="AQ14" s="22">
        <f ca="1">+GETPIVOTDATA("XSN4",'suoinghe (2016)'!$A$3,"MA_HT","RPH","MA_QH","ONT")</f>
        <v>0</v>
      </c>
      <c r="AR14" s="22">
        <f ca="1">+GETPIVOTDATA("XSN4",'suoinghe (2016)'!$A$3,"MA_HT","RPH","MA_QH","ODT")</f>
        <v>0</v>
      </c>
      <c r="AS14" s="22">
        <f ca="1">+GETPIVOTDATA("XSN4",'suoinghe (2016)'!$A$3,"MA_HT","RPH","MA_QH","TSC")</f>
        <v>0</v>
      </c>
      <c r="AT14" s="22">
        <f ca="1">+GETPIVOTDATA("XSN4",'suoinghe (2016)'!$A$3,"MA_HT","RPH","MA_QH","DTS")</f>
        <v>0</v>
      </c>
      <c r="AU14" s="22">
        <f ca="1">+GETPIVOTDATA("XSN4",'suoinghe (2016)'!$A$3,"MA_HT","RPH","MA_QH","DNG")</f>
        <v>0</v>
      </c>
      <c r="AV14" s="22">
        <f ca="1">+GETPIVOTDATA("XSN4",'suoinghe (2016)'!$A$3,"MA_HT","RPH","MA_QH","TON")</f>
        <v>0</v>
      </c>
      <c r="AW14" s="22">
        <f ca="1">+GETPIVOTDATA("XSN4",'suoinghe (2016)'!$A$3,"MA_HT","RPH","MA_QH","NTD")</f>
        <v>0</v>
      </c>
      <c r="AX14" s="22">
        <f ca="1">+GETPIVOTDATA("XSN4",'suoinghe (2016)'!$A$3,"MA_HT","RPH","MA_QH","SKX")</f>
        <v>0</v>
      </c>
      <c r="AY14" s="22">
        <f ca="1">+GETPIVOTDATA("XSN4",'suoinghe (2016)'!$A$3,"MA_HT","RPH","MA_QH","DSH")</f>
        <v>0</v>
      </c>
      <c r="AZ14" s="22">
        <f ca="1">+GETPIVOTDATA("XSN4",'suoinghe (2016)'!$A$3,"MA_HT","RPH","MA_QH","DKV")</f>
        <v>0</v>
      </c>
      <c r="BA14" s="89">
        <f ca="1">+GETPIVOTDATA("XSN4",'suoinghe (2016)'!$A$3,"MA_HT","RPH","MA_QH","TIN")</f>
        <v>0</v>
      </c>
      <c r="BB14" s="50">
        <f ca="1">+GETPIVOTDATA("XSN4",'suoinghe (2016)'!$A$3,"MA_HT","RPH","MA_QH","SON")</f>
        <v>0</v>
      </c>
      <c r="BC14" s="50">
        <f ca="1">+GETPIVOTDATA("XSN4",'suoinghe (2016)'!$A$3,"MA_HT","RPH","MA_QH","MNC")</f>
        <v>0</v>
      </c>
      <c r="BD14" s="22">
        <f ca="1">+GETPIVOTDATA("XSN4",'suoinghe (2016)'!$A$3,"MA_HT","RPH","MA_QH","PNK")</f>
        <v>0</v>
      </c>
      <c r="BE14" s="71">
        <f ca="1">+GETPIVOTDATA("XSN4",'suoinghe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+GETPIVOTDATA("XSN4",'suoinghe (2016)'!$A$3,"MA_HT","RDD","MA_QH","LUC")</f>
        <v>0</v>
      </c>
      <c r="H15" s="22">
        <f ca="1">+GETPIVOTDATA("XSN4",'suoinghe (2016)'!$A$3,"MA_HT","RDD","MA_QH","LUK")</f>
        <v>0</v>
      </c>
      <c r="I15" s="22">
        <f ca="1">+GETPIVOTDATA("XSN4",'suoinghe (2016)'!$A$3,"MA_HT","RDD","MA_QH","LUN")</f>
        <v>0</v>
      </c>
      <c r="J15" s="22">
        <f ca="1">+GETPIVOTDATA("XSN4",'suoinghe (2016)'!$A$3,"MA_HT","RDD","MA_QH","HNK")</f>
        <v>0</v>
      </c>
      <c r="K15" s="22">
        <f ca="1">+GETPIVOTDATA("XSN4",'suoinghe (2016)'!$A$3,"MA_HT","RDD","MA_QH","CLN")</f>
        <v>0</v>
      </c>
      <c r="L15" s="22">
        <f ca="1">+GETPIVOTDATA("XSN4",'suoinghe (2016)'!$A$3,"MA_HT","RDD","MA_QH","RSX")</f>
        <v>0</v>
      </c>
      <c r="M15" s="22">
        <f ca="1">+GETPIVOTDATA("XSN4",'suoinghe (2016)'!$A$3,"MA_HT","RDD","MA_QH","RPH")</f>
        <v>0</v>
      </c>
      <c r="N15" s="43" t="e">
        <f ca="1">$D15-$BF15</f>
        <v>#REF!</v>
      </c>
      <c r="O15" s="22">
        <f ca="1">+GETPIVOTDATA("XSN4",'suoinghe (2016)'!$A$3,"MA_HT","RDD","MA_QH","NTS")</f>
        <v>0</v>
      </c>
      <c r="P15" s="22">
        <f ca="1">+GETPIVOTDATA("XSN4",'suoinghe (2016)'!$A$3,"MA_HT","RDD","MA_QH","LMU")</f>
        <v>0</v>
      </c>
      <c r="Q15" s="22">
        <f ca="1">+GETPIVOTDATA("XSN4",'suoinghe (2016)'!$A$3,"MA_HT","RDD","MA_QH","NKH")</f>
        <v>0</v>
      </c>
      <c r="R15" s="42">
        <f ca="1" t="shared" si="2"/>
        <v>0</v>
      </c>
      <c r="S15" s="22">
        <f ca="1">+GETPIVOTDATA("XSN4",'suoinghe (2016)'!$A$3,"MA_HT","RDD","MA_QH","CQP")</f>
        <v>0</v>
      </c>
      <c r="T15" s="22">
        <f ca="1">+GETPIVOTDATA("XSN4",'suoinghe (2016)'!$A$3,"MA_HT","RDD","MA_QH","CAN")</f>
        <v>0</v>
      </c>
      <c r="U15" s="22">
        <f ca="1">+GETPIVOTDATA("XSN4",'suoinghe (2016)'!$A$3,"MA_HT","RDD","MA_QH","SKK")</f>
        <v>0</v>
      </c>
      <c r="V15" s="22">
        <f ca="1">+GETPIVOTDATA("XSN4",'suoinghe (2016)'!$A$3,"MA_HT","RDD","MA_QH","SKT")</f>
        <v>0</v>
      </c>
      <c r="W15" s="22">
        <f ca="1">+GETPIVOTDATA("XSN4",'suoinghe (2016)'!$A$3,"MA_HT","RDD","MA_QH","SKN")</f>
        <v>0</v>
      </c>
      <c r="X15" s="22">
        <f ca="1">+GETPIVOTDATA("XSN4",'suoinghe (2016)'!$A$3,"MA_HT","RDD","MA_QH","TMD")</f>
        <v>0</v>
      </c>
      <c r="Y15" s="22">
        <f ca="1">+GETPIVOTDATA("XSN4",'suoinghe (2016)'!$A$3,"MA_HT","RDD","MA_QH","SKC")</f>
        <v>0</v>
      </c>
      <c r="Z15" s="22">
        <f ca="1">+GETPIVOTDATA("XSN4",'suoinghe (2016)'!$A$3,"MA_HT","RDD","MA_QH","SKS")</f>
        <v>0</v>
      </c>
      <c r="AA15" s="52">
        <f ca="1" t="shared" si="4"/>
        <v>0</v>
      </c>
      <c r="AB15" s="22">
        <f ca="1">+GETPIVOTDATA("XSN4",'suoinghe (2016)'!$A$3,"MA_HT","RDD","MA_QH","DGT")</f>
        <v>0</v>
      </c>
      <c r="AC15" s="22">
        <f ca="1">+GETPIVOTDATA("XSN4",'suoinghe (2016)'!$A$3,"MA_HT","RDD","MA_QH","DTL")</f>
        <v>0</v>
      </c>
      <c r="AD15" s="22">
        <f ca="1">+GETPIVOTDATA("XSN4",'suoinghe (2016)'!$A$3,"MA_HT","RDD","MA_QH","DNL")</f>
        <v>0</v>
      </c>
      <c r="AE15" s="22">
        <f ca="1">+GETPIVOTDATA("XSN4",'suoinghe (2016)'!$A$3,"MA_HT","RDD","MA_QH","DBV")</f>
        <v>0</v>
      </c>
      <c r="AF15" s="22">
        <f ca="1">+GETPIVOTDATA("XSN4",'suoinghe (2016)'!$A$3,"MA_HT","RDD","MA_QH","DVH")</f>
        <v>0</v>
      </c>
      <c r="AG15" s="22">
        <f ca="1">+GETPIVOTDATA("XSN4",'suoinghe (2016)'!$A$3,"MA_HT","RDD","MA_QH","DYT")</f>
        <v>0</v>
      </c>
      <c r="AH15" s="22">
        <f ca="1">+GETPIVOTDATA("XSN4",'suoinghe (2016)'!$A$3,"MA_HT","RDD","MA_QH","DGD")</f>
        <v>0</v>
      </c>
      <c r="AI15" s="22">
        <f ca="1">+GETPIVOTDATA("XSN4",'suoinghe (2016)'!$A$3,"MA_HT","RDD","MA_QH","DTT")</f>
        <v>0</v>
      </c>
      <c r="AJ15" s="22">
        <f ca="1">+GETPIVOTDATA("XSN4",'suoinghe (2016)'!$A$3,"MA_HT","RDD","MA_QH","NCK")</f>
        <v>0</v>
      </c>
      <c r="AK15" s="22">
        <f ca="1">+GETPIVOTDATA("XSN4",'suoinghe (2016)'!$A$3,"MA_HT","RDD","MA_QH","DXH")</f>
        <v>0</v>
      </c>
      <c r="AL15" s="22">
        <f ca="1">+GETPIVOTDATA("XSN4",'suoinghe (2016)'!$A$3,"MA_HT","RDD","MA_QH","DCH")</f>
        <v>0</v>
      </c>
      <c r="AM15" s="22">
        <f ca="1">+GETPIVOTDATA("XSN4",'suoinghe (2016)'!$A$3,"MA_HT","RDD","MA_QH","DKG")</f>
        <v>0</v>
      </c>
      <c r="AN15" s="22">
        <f ca="1">+GETPIVOTDATA("XSN4",'suoinghe (2016)'!$A$3,"MA_HT","RDD","MA_QH","DDT")</f>
        <v>0</v>
      </c>
      <c r="AO15" s="22">
        <f ca="1">+GETPIVOTDATA("XSN4",'suoinghe (2016)'!$A$3,"MA_HT","RDD","MA_QH","DDL")</f>
        <v>0</v>
      </c>
      <c r="AP15" s="22">
        <f ca="1">+GETPIVOTDATA("XSN4",'suoinghe (2016)'!$A$3,"MA_HT","RDD","MA_QH","DRA")</f>
        <v>0</v>
      </c>
      <c r="AQ15" s="22">
        <f ca="1">+GETPIVOTDATA("XSN4",'suoinghe (2016)'!$A$3,"MA_HT","RDD","MA_QH","ONT")</f>
        <v>0</v>
      </c>
      <c r="AR15" s="22">
        <f ca="1">+GETPIVOTDATA("XSN4",'suoinghe (2016)'!$A$3,"MA_HT","RDD","MA_QH","ODT")</f>
        <v>0</v>
      </c>
      <c r="AS15" s="22">
        <f ca="1">+GETPIVOTDATA("XSN4",'suoinghe (2016)'!$A$3,"MA_HT","RDD","MA_QH","TSC")</f>
        <v>0</v>
      </c>
      <c r="AT15" s="22">
        <f ca="1">+GETPIVOTDATA("XSN4",'suoinghe (2016)'!$A$3,"MA_HT","RDD","MA_QH","DTS")</f>
        <v>0</v>
      </c>
      <c r="AU15" s="22">
        <f ca="1">+GETPIVOTDATA("XSN4",'suoinghe (2016)'!$A$3,"MA_HT","RDD","MA_QH","DNG")</f>
        <v>0</v>
      </c>
      <c r="AV15" s="22">
        <f ca="1">+GETPIVOTDATA("XSN4",'suoinghe (2016)'!$A$3,"MA_HT","RDD","MA_QH","TON")</f>
        <v>0</v>
      </c>
      <c r="AW15" s="22">
        <f ca="1">+GETPIVOTDATA("XSN4",'suoinghe (2016)'!$A$3,"MA_HT","RDD","MA_QH","NTD")</f>
        <v>0</v>
      </c>
      <c r="AX15" s="22">
        <f ca="1">+GETPIVOTDATA("XSN4",'suoinghe (2016)'!$A$3,"MA_HT","RDD","MA_QH","SKX")</f>
        <v>0</v>
      </c>
      <c r="AY15" s="22">
        <f ca="1">+GETPIVOTDATA("XSN4",'suoinghe (2016)'!$A$3,"MA_HT","RDD","MA_QH","DSH")</f>
        <v>0</v>
      </c>
      <c r="AZ15" s="22">
        <f ca="1">+GETPIVOTDATA("XSN4",'suoinghe (2016)'!$A$3,"MA_HT","RDD","MA_QH","DKV")</f>
        <v>0</v>
      </c>
      <c r="BA15" s="89">
        <f ca="1">+GETPIVOTDATA("XSN4",'suoinghe (2016)'!$A$3,"MA_HT","RDD","MA_QH","TIN")</f>
        <v>0</v>
      </c>
      <c r="BB15" s="50">
        <f ca="1">+GETPIVOTDATA("XSN4",'suoinghe (2016)'!$A$3,"MA_HT","RDD","MA_QH","SON")</f>
        <v>0</v>
      </c>
      <c r="BC15" s="50">
        <f ca="1">+GETPIVOTDATA("XSN4",'suoinghe (2016)'!$A$3,"MA_HT","RDD","MA_QH","MNC")</f>
        <v>0</v>
      </c>
      <c r="BD15" s="22">
        <f ca="1">+GETPIVOTDATA("XSN4",'suoinghe (2016)'!$A$3,"MA_HT","RDD","MA_QH","PNK")</f>
        <v>0</v>
      </c>
      <c r="BE15" s="71">
        <f ca="1">+GETPIVOTDATA("XSN4",'suoinghe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+GETPIVOTDATA("XSN4",'suoinghe (2016)'!$A$3,"MA_HT","NTS","MA_QH","LUC")</f>
        <v>0</v>
      </c>
      <c r="H16" s="22">
        <f ca="1">+GETPIVOTDATA("XSN4",'suoinghe (2016)'!$A$3,"MA_HT","NTS","MA_QH","LUK")</f>
        <v>0</v>
      </c>
      <c r="I16" s="22">
        <f ca="1">+GETPIVOTDATA("XSN4",'suoinghe (2016)'!$A$3,"MA_HT","NTS","MA_QH","LUN")</f>
        <v>0</v>
      </c>
      <c r="J16" s="22">
        <f ca="1">+GETPIVOTDATA("XSN4",'suoinghe (2016)'!$A$3,"MA_HT","NTS","MA_QH","HNK")</f>
        <v>0</v>
      </c>
      <c r="K16" s="22">
        <f ca="1">+GETPIVOTDATA("XSN4",'suoinghe (2016)'!$A$3,"MA_HT","NTS","MA_QH","CLN")</f>
        <v>0</v>
      </c>
      <c r="L16" s="22">
        <f ca="1">+GETPIVOTDATA("XSN4",'suoinghe (2016)'!$A$3,"MA_HT","NTS","MA_QH","RSX")</f>
        <v>0</v>
      </c>
      <c r="M16" s="22">
        <f ca="1">+GETPIVOTDATA("XSN4",'suoinghe (2016)'!$A$3,"MA_HT","NTS","MA_QH","RPH")</f>
        <v>0</v>
      </c>
      <c r="N16" s="22">
        <f ca="1">+GETPIVOTDATA("XSN4",'suoinghe (2016)'!$A$3,"MA_HT","NTS","MA_QH","RDD")</f>
        <v>0</v>
      </c>
      <c r="O16" s="43" t="e">
        <f ca="1">$D16-$BF16</f>
        <v>#REF!</v>
      </c>
      <c r="P16" s="22">
        <f ca="1">+GETPIVOTDATA("XSN4",'suoinghe (2016)'!$A$3,"MA_HT","NTS","MA_QH","LMU")</f>
        <v>0</v>
      </c>
      <c r="Q16" s="22">
        <f ca="1">+GETPIVOTDATA("XSN4",'suoinghe (2016)'!$A$3,"MA_HT","NTS","MA_QH","NKH")</f>
        <v>0</v>
      </c>
      <c r="R16" s="42">
        <f ca="1" t="shared" si="2"/>
        <v>0</v>
      </c>
      <c r="S16" s="22">
        <f ca="1">+GETPIVOTDATA("XSN4",'suoinghe (2016)'!$A$3,"MA_HT","NTS","MA_QH","CQP")</f>
        <v>0</v>
      </c>
      <c r="T16" s="22">
        <f ca="1">+GETPIVOTDATA("XSN4",'suoinghe (2016)'!$A$3,"MA_HT","NTS","MA_QH","CAN")</f>
        <v>0</v>
      </c>
      <c r="U16" s="22">
        <f ca="1">+GETPIVOTDATA("XSN4",'suoinghe (2016)'!$A$3,"MA_HT","NTS","MA_QH","SKK")</f>
        <v>0</v>
      </c>
      <c r="V16" s="22">
        <f ca="1">+GETPIVOTDATA("XSN4",'suoinghe (2016)'!$A$3,"MA_HT","NTS","MA_QH","SKT")</f>
        <v>0</v>
      </c>
      <c r="W16" s="22">
        <f ca="1">+GETPIVOTDATA("XSN4",'suoinghe (2016)'!$A$3,"MA_HT","NTS","MA_QH","SKN")</f>
        <v>0</v>
      </c>
      <c r="X16" s="22">
        <f ca="1">+GETPIVOTDATA("XSN4",'suoinghe (2016)'!$A$3,"MA_HT","NTS","MA_QH","TMD")</f>
        <v>0</v>
      </c>
      <c r="Y16" s="22">
        <f ca="1">+GETPIVOTDATA("XSN4",'suoinghe (2016)'!$A$3,"MA_HT","NTS","MA_QH","SKC")</f>
        <v>0</v>
      </c>
      <c r="Z16" s="22">
        <f ca="1">+GETPIVOTDATA("XSN4",'suoinghe (2016)'!$A$3,"MA_HT","NTS","MA_QH","SKS")</f>
        <v>0</v>
      </c>
      <c r="AA16" s="52">
        <f ca="1" t="shared" si="4"/>
        <v>0</v>
      </c>
      <c r="AB16" s="22">
        <f ca="1">+GETPIVOTDATA("XSN4",'suoinghe (2016)'!$A$3,"MA_HT","NTS","MA_QH","DGT")</f>
        <v>0</v>
      </c>
      <c r="AC16" s="22">
        <f ca="1">+GETPIVOTDATA("XSN4",'suoinghe (2016)'!$A$3,"MA_HT","NTS","MA_QH","DTL")</f>
        <v>0</v>
      </c>
      <c r="AD16" s="22">
        <f ca="1">+GETPIVOTDATA("XSN4",'suoinghe (2016)'!$A$3,"MA_HT","NTS","MA_QH","DNL")</f>
        <v>0</v>
      </c>
      <c r="AE16" s="22">
        <f ca="1">+GETPIVOTDATA("XSN4",'suoinghe (2016)'!$A$3,"MA_HT","NTS","MA_QH","DBV")</f>
        <v>0</v>
      </c>
      <c r="AF16" s="22">
        <f ca="1">+GETPIVOTDATA("XSN4",'suoinghe (2016)'!$A$3,"MA_HT","NTS","MA_QH","DVH")</f>
        <v>0</v>
      </c>
      <c r="AG16" s="22">
        <f ca="1">+GETPIVOTDATA("XSN4",'suoinghe (2016)'!$A$3,"MA_HT","NTS","MA_QH","DYT")</f>
        <v>0</v>
      </c>
      <c r="AH16" s="22">
        <f ca="1">+GETPIVOTDATA("XSN4",'suoinghe (2016)'!$A$3,"MA_HT","NTS","MA_QH","DGD")</f>
        <v>0</v>
      </c>
      <c r="AI16" s="22">
        <f ca="1">+GETPIVOTDATA("XSN4",'suoinghe (2016)'!$A$3,"MA_HT","NTS","MA_QH","DTT")</f>
        <v>0</v>
      </c>
      <c r="AJ16" s="22">
        <f ca="1">+GETPIVOTDATA("XSN4",'suoinghe (2016)'!$A$3,"MA_HT","NTS","MA_QH","NCK")</f>
        <v>0</v>
      </c>
      <c r="AK16" s="22">
        <f ca="1">+GETPIVOTDATA("XSN4",'suoinghe (2016)'!$A$3,"MA_HT","NTS","MA_QH","DXH")</f>
        <v>0</v>
      </c>
      <c r="AL16" s="22">
        <f ca="1">+GETPIVOTDATA("XSN4",'suoinghe (2016)'!$A$3,"MA_HT","NTS","MA_QH","DCH")</f>
        <v>0</v>
      </c>
      <c r="AM16" s="22">
        <f ca="1">+GETPIVOTDATA("XSN4",'suoinghe (2016)'!$A$3,"MA_HT","NTS","MA_QH","DKG")</f>
        <v>0</v>
      </c>
      <c r="AN16" s="22">
        <f ca="1">+GETPIVOTDATA("XSN4",'suoinghe (2016)'!$A$3,"MA_HT","NTS","MA_QH","DDT")</f>
        <v>0</v>
      </c>
      <c r="AO16" s="22">
        <f ca="1">+GETPIVOTDATA("XSN4",'suoinghe (2016)'!$A$3,"MA_HT","NTS","MA_QH","DDL")</f>
        <v>0</v>
      </c>
      <c r="AP16" s="22">
        <f ca="1">+GETPIVOTDATA("XSN4",'suoinghe (2016)'!$A$3,"MA_HT","NTS","MA_QH","DRA")</f>
        <v>0</v>
      </c>
      <c r="AQ16" s="22">
        <f ca="1">+GETPIVOTDATA("XSN4",'suoinghe (2016)'!$A$3,"MA_HT","NTS","MA_QH","ONT")</f>
        <v>0</v>
      </c>
      <c r="AR16" s="22">
        <f ca="1">+GETPIVOTDATA("XSN4",'suoinghe (2016)'!$A$3,"MA_HT","NTS","MA_QH","ODT")</f>
        <v>0</v>
      </c>
      <c r="AS16" s="22">
        <f ca="1">+GETPIVOTDATA("XSN4",'suoinghe (2016)'!$A$3,"MA_HT","NTS","MA_QH","TSC")</f>
        <v>0</v>
      </c>
      <c r="AT16" s="22">
        <f ca="1">+GETPIVOTDATA("XSN4",'suoinghe (2016)'!$A$3,"MA_HT","NTS","MA_QH","DTS")</f>
        <v>0</v>
      </c>
      <c r="AU16" s="22">
        <f ca="1">+GETPIVOTDATA("XSN4",'suoinghe (2016)'!$A$3,"MA_HT","NTS","MA_QH","DNG")</f>
        <v>0</v>
      </c>
      <c r="AV16" s="22">
        <f ca="1">+GETPIVOTDATA("XSN4",'suoinghe (2016)'!$A$3,"MA_HT","NTS","MA_QH","TON")</f>
        <v>0</v>
      </c>
      <c r="AW16" s="22">
        <f ca="1">+GETPIVOTDATA("XSN4",'suoinghe (2016)'!$A$3,"MA_HT","NTS","MA_QH","NTD")</f>
        <v>0</v>
      </c>
      <c r="AX16" s="22">
        <f ca="1">+GETPIVOTDATA("XSN4",'suoinghe (2016)'!$A$3,"MA_HT","NTS","MA_QH","SKX")</f>
        <v>0</v>
      </c>
      <c r="AY16" s="22">
        <f ca="1">+GETPIVOTDATA("XSN4",'suoinghe (2016)'!$A$3,"MA_HT","NTS","MA_QH","DSH")</f>
        <v>0</v>
      </c>
      <c r="AZ16" s="22">
        <f ca="1">+GETPIVOTDATA("XSN4",'suoinghe (2016)'!$A$3,"MA_HT","NTS","MA_QH","DKV")</f>
        <v>0</v>
      </c>
      <c r="BA16" s="89">
        <f ca="1">+GETPIVOTDATA("XSN4",'suoinghe (2016)'!$A$3,"MA_HT","NTS","MA_QH","TIN")</f>
        <v>0</v>
      </c>
      <c r="BB16" s="50">
        <f ca="1">+GETPIVOTDATA("XSN4",'suoinghe (2016)'!$A$3,"MA_HT","NTS","MA_QH","SON")</f>
        <v>0</v>
      </c>
      <c r="BC16" s="50">
        <f ca="1">+GETPIVOTDATA("XSN4",'suoinghe (2016)'!$A$3,"MA_HT","NTS","MA_QH","MNC")</f>
        <v>0</v>
      </c>
      <c r="BD16" s="22">
        <f ca="1">+GETPIVOTDATA("XSN4",'suoinghe (2016)'!$A$3,"MA_HT","NTS","MA_QH","PNK")</f>
        <v>0</v>
      </c>
      <c r="BE16" s="71">
        <f ca="1">+GETPIVOTDATA("XSN4",'suoinghe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+GETPIVOTDATA("XSN4",'suoinghe (2016)'!$A$3,"MA_HT","LMU","MA_QH","LUC")</f>
        <v>0</v>
      </c>
      <c r="H17" s="22">
        <f ca="1">+GETPIVOTDATA("XSN4",'suoinghe (2016)'!$A$3,"MA_HT","LMU","MA_QH","LUK")</f>
        <v>0</v>
      </c>
      <c r="I17" s="22">
        <f ca="1">+GETPIVOTDATA("XSN4",'suoinghe (2016)'!$A$3,"MA_HT","LMU","MA_QH","LUN")</f>
        <v>0</v>
      </c>
      <c r="J17" s="22">
        <f ca="1">+GETPIVOTDATA("XSN4",'suoinghe (2016)'!$A$3,"MA_HT","LMU","MA_QH","HNK")</f>
        <v>0</v>
      </c>
      <c r="K17" s="22">
        <f ca="1">+GETPIVOTDATA("XSN4",'suoinghe (2016)'!$A$3,"MA_HT","LMU","MA_QH","CLN")</f>
        <v>0</v>
      </c>
      <c r="L17" s="22">
        <f ca="1">+GETPIVOTDATA("XSN4",'suoinghe (2016)'!$A$3,"MA_HT","LMU","MA_QH","RSX")</f>
        <v>0</v>
      </c>
      <c r="M17" s="22">
        <f ca="1">+GETPIVOTDATA("XSN4",'suoinghe (2016)'!$A$3,"MA_HT","LMU","MA_QH","RPH")</f>
        <v>0</v>
      </c>
      <c r="N17" s="22">
        <f ca="1">+GETPIVOTDATA("XSN4",'suoinghe (2016)'!$A$3,"MA_HT","LMU","MA_QH","RDD")</f>
        <v>0</v>
      </c>
      <c r="O17" s="22">
        <f ca="1">+GETPIVOTDATA("XSN4",'suoinghe (2016)'!$A$3,"MA_HT","LMU","MA_QH","NTS")</f>
        <v>0</v>
      </c>
      <c r="P17" s="43" t="e">
        <f ca="1">$D17-$BF17</f>
        <v>#REF!</v>
      </c>
      <c r="Q17" s="22">
        <f ca="1">+GETPIVOTDATA("XSN4",'suoinghe (2016)'!$A$3,"MA_HT","LMU","MA_QH","NKH")</f>
        <v>0</v>
      </c>
      <c r="R17" s="42">
        <f ca="1" t="shared" si="2"/>
        <v>0</v>
      </c>
      <c r="S17" s="22">
        <f ca="1">+GETPIVOTDATA("XSN4",'suoinghe (2016)'!$A$3,"MA_HT","LMU","MA_QH","CQP")</f>
        <v>0</v>
      </c>
      <c r="T17" s="22">
        <f ca="1">+GETPIVOTDATA("XSN4",'suoinghe (2016)'!$A$3,"MA_HT","LMU","MA_QH","CAN")</f>
        <v>0</v>
      </c>
      <c r="U17" s="22">
        <f ca="1">+GETPIVOTDATA("XSN4",'suoinghe (2016)'!$A$3,"MA_HT","LMU","MA_QH","SKK")</f>
        <v>0</v>
      </c>
      <c r="V17" s="22">
        <f ca="1">+GETPIVOTDATA("XSN4",'suoinghe (2016)'!$A$3,"MA_HT","LMU","MA_QH","SKT")</f>
        <v>0</v>
      </c>
      <c r="W17" s="22">
        <f ca="1">+GETPIVOTDATA("XSN4",'suoinghe (2016)'!$A$3,"MA_HT","LMU","MA_QH","SKN")</f>
        <v>0</v>
      </c>
      <c r="X17" s="22">
        <f ca="1">+GETPIVOTDATA("XSN4",'suoinghe (2016)'!$A$3,"MA_HT","LMU","MA_QH","TMD")</f>
        <v>0</v>
      </c>
      <c r="Y17" s="22">
        <f ca="1">+GETPIVOTDATA("XSN4",'suoinghe (2016)'!$A$3,"MA_HT","LMU","MA_QH","SKC")</f>
        <v>0</v>
      </c>
      <c r="Z17" s="22">
        <f ca="1">+GETPIVOTDATA("XSN4",'suoinghe (2016)'!$A$3,"MA_HT","LMU","MA_QH","SKS")</f>
        <v>0</v>
      </c>
      <c r="AA17" s="52">
        <f ca="1" t="shared" si="4"/>
        <v>0</v>
      </c>
      <c r="AB17" s="22">
        <f ca="1">+GETPIVOTDATA("XSN4",'suoinghe (2016)'!$A$3,"MA_HT","LMU","MA_QH","DGT")</f>
        <v>0</v>
      </c>
      <c r="AC17" s="22">
        <f ca="1">+GETPIVOTDATA("XSN4",'suoinghe (2016)'!$A$3,"MA_HT","LMU","MA_QH","DTL")</f>
        <v>0</v>
      </c>
      <c r="AD17" s="22">
        <f ca="1">+GETPIVOTDATA("XSN4",'suoinghe (2016)'!$A$3,"MA_HT","LMU","MA_QH","DNL")</f>
        <v>0</v>
      </c>
      <c r="AE17" s="22">
        <f ca="1">+GETPIVOTDATA("XSN4",'suoinghe (2016)'!$A$3,"MA_HT","LMU","MA_QH","DBV")</f>
        <v>0</v>
      </c>
      <c r="AF17" s="22">
        <f ca="1">+GETPIVOTDATA("XSN4",'suoinghe (2016)'!$A$3,"MA_HT","LMU","MA_QH","DVH")</f>
        <v>0</v>
      </c>
      <c r="AG17" s="22">
        <f ca="1">+GETPIVOTDATA("XSN4",'suoinghe (2016)'!$A$3,"MA_HT","LMU","MA_QH","DYT")</f>
        <v>0</v>
      </c>
      <c r="AH17" s="22">
        <f ca="1">+GETPIVOTDATA("XSN4",'suoinghe (2016)'!$A$3,"MA_HT","LMU","MA_QH","DGD")</f>
        <v>0</v>
      </c>
      <c r="AI17" s="22">
        <f ca="1">+GETPIVOTDATA("XSN4",'suoinghe (2016)'!$A$3,"MA_HT","LMU","MA_QH","DTT")</f>
        <v>0</v>
      </c>
      <c r="AJ17" s="22">
        <f ca="1">+GETPIVOTDATA("XSN4",'suoinghe (2016)'!$A$3,"MA_HT","LMU","MA_QH","NCK")</f>
        <v>0</v>
      </c>
      <c r="AK17" s="22">
        <f ca="1">+GETPIVOTDATA("XSN4",'suoinghe (2016)'!$A$3,"MA_HT","LMU","MA_QH","DXH")</f>
        <v>0</v>
      </c>
      <c r="AL17" s="22">
        <f ca="1">+GETPIVOTDATA("XSN4",'suoinghe (2016)'!$A$3,"MA_HT","LMU","MA_QH","DCH")</f>
        <v>0</v>
      </c>
      <c r="AM17" s="22">
        <f ca="1">+GETPIVOTDATA("XSN4",'suoinghe (2016)'!$A$3,"MA_HT","LMU","MA_QH","DKG")</f>
        <v>0</v>
      </c>
      <c r="AN17" s="22">
        <f ca="1">+GETPIVOTDATA("XSN4",'suoinghe (2016)'!$A$3,"MA_HT","LMU","MA_QH","DDT")</f>
        <v>0</v>
      </c>
      <c r="AO17" s="22">
        <f ca="1">+GETPIVOTDATA("XSN4",'suoinghe (2016)'!$A$3,"MA_HT","LMU","MA_QH","DDL")</f>
        <v>0</v>
      </c>
      <c r="AP17" s="22">
        <f ca="1">+GETPIVOTDATA("XSN4",'suoinghe (2016)'!$A$3,"MA_HT","LMU","MA_QH","DRA")</f>
        <v>0</v>
      </c>
      <c r="AQ17" s="22">
        <f ca="1">+GETPIVOTDATA("XSN4",'suoinghe (2016)'!$A$3,"MA_HT","LMU","MA_QH","ONT")</f>
        <v>0</v>
      </c>
      <c r="AR17" s="22">
        <f ca="1">+GETPIVOTDATA("XSN4",'suoinghe (2016)'!$A$3,"MA_HT","LMU","MA_QH","ODT")</f>
        <v>0</v>
      </c>
      <c r="AS17" s="22">
        <f ca="1">+GETPIVOTDATA("XSN4",'suoinghe (2016)'!$A$3,"MA_HT","LMU","MA_QH","TSC")</f>
        <v>0</v>
      </c>
      <c r="AT17" s="22">
        <f ca="1">+GETPIVOTDATA("XSN4",'suoinghe (2016)'!$A$3,"MA_HT","LMU","MA_QH","DTS")</f>
        <v>0</v>
      </c>
      <c r="AU17" s="22">
        <f ca="1">+GETPIVOTDATA("XSN4",'suoinghe (2016)'!$A$3,"MA_HT","LMU","MA_QH","DNG")</f>
        <v>0</v>
      </c>
      <c r="AV17" s="22">
        <f ca="1">+GETPIVOTDATA("XSN4",'suoinghe (2016)'!$A$3,"MA_HT","LMU","MA_QH","TON")</f>
        <v>0</v>
      </c>
      <c r="AW17" s="22">
        <f ca="1">+GETPIVOTDATA("XSN4",'suoinghe (2016)'!$A$3,"MA_HT","LMU","MA_QH","NTD")</f>
        <v>0</v>
      </c>
      <c r="AX17" s="22">
        <f ca="1">+GETPIVOTDATA("XSN4",'suoinghe (2016)'!$A$3,"MA_HT","LMU","MA_QH","SKX")</f>
        <v>0</v>
      </c>
      <c r="AY17" s="22">
        <f ca="1">+GETPIVOTDATA("XSN4",'suoinghe (2016)'!$A$3,"MA_HT","LMU","MA_QH","DSH")</f>
        <v>0</v>
      </c>
      <c r="AZ17" s="22">
        <f ca="1">+GETPIVOTDATA("XSN4",'suoinghe (2016)'!$A$3,"MA_HT","LMU","MA_QH","DKV")</f>
        <v>0</v>
      </c>
      <c r="BA17" s="89">
        <f ca="1">+GETPIVOTDATA("XSN4",'suoinghe (2016)'!$A$3,"MA_HT","LMU","MA_QH","TIN")</f>
        <v>0</v>
      </c>
      <c r="BB17" s="50">
        <f ca="1">+GETPIVOTDATA("XSN4",'suoinghe (2016)'!$A$3,"MA_HT","LMU","MA_QH","SON")</f>
        <v>0</v>
      </c>
      <c r="BC17" s="50">
        <f ca="1">+GETPIVOTDATA("XSN4",'suoinghe (2016)'!$A$3,"MA_HT","LMU","MA_QH","MNC")</f>
        <v>0</v>
      </c>
      <c r="BD17" s="22">
        <f ca="1">+GETPIVOTDATA("XSN4",'suoinghe (2016)'!$A$3,"MA_HT","LMU","MA_QH","PNK")</f>
        <v>0</v>
      </c>
      <c r="BE17" s="71">
        <f ca="1">+GETPIVOTDATA("XSN4",'suoinghe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+GETPIVOTDATA("XSN4",'suoinghe (2016)'!$A$3,"MA_HT","NKH","MA_QH","LUC")</f>
        <v>0</v>
      </c>
      <c r="H18" s="22">
        <f ca="1">+GETPIVOTDATA("XSN4",'suoinghe (2016)'!$A$3,"MA_HT","NKH","MA_QH","LUK")</f>
        <v>0</v>
      </c>
      <c r="I18" s="22">
        <f ca="1">+GETPIVOTDATA("XSN4",'suoinghe (2016)'!$A$3,"MA_HT","NKH","MA_QH","LUN")</f>
        <v>0</v>
      </c>
      <c r="J18" s="22">
        <f ca="1">+GETPIVOTDATA("XSN4",'suoinghe (2016)'!$A$3,"MA_HT","NKH","MA_QH","HNK")</f>
        <v>0</v>
      </c>
      <c r="K18" s="22">
        <f ca="1">+GETPIVOTDATA("XSN4",'suoinghe (2016)'!$A$3,"MA_HT","NKH","MA_QH","CLN")</f>
        <v>0</v>
      </c>
      <c r="L18" s="22">
        <f ca="1">+GETPIVOTDATA("XSN4",'suoinghe (2016)'!$A$3,"MA_HT","NKH","MA_QH","RSX")</f>
        <v>0</v>
      </c>
      <c r="M18" s="22">
        <f ca="1">+GETPIVOTDATA("XSN4",'suoinghe (2016)'!$A$3,"MA_HT","NKH","MA_QH","RPH")</f>
        <v>0</v>
      </c>
      <c r="N18" s="22">
        <f ca="1">+GETPIVOTDATA("XSN4",'suoinghe (2016)'!$A$3,"MA_HT","NKH","MA_QH","RDD")</f>
        <v>0</v>
      </c>
      <c r="O18" s="22">
        <f ca="1">+GETPIVOTDATA("XSN4",'suoinghe (2016)'!$A$3,"MA_HT","NKH","MA_QH","NTS")</f>
        <v>0</v>
      </c>
      <c r="P18" s="22">
        <f ca="1">+GETPIVOTDATA("XSN4",'suoinghe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+GETPIVOTDATA("XSN4",'suoinghe (2016)'!$A$3,"MA_HT","NKH","MA_QH","CQP")</f>
        <v>0</v>
      </c>
      <c r="T18" s="22">
        <f ca="1">+GETPIVOTDATA("XSN4",'suoinghe (2016)'!$A$3,"MA_HT","NKH","MA_QH","CAN")</f>
        <v>0</v>
      </c>
      <c r="U18" s="22">
        <f ca="1">+GETPIVOTDATA("XSN4",'suoinghe (2016)'!$A$3,"MA_HT","NKH","MA_QH","SKK")</f>
        <v>0</v>
      </c>
      <c r="V18" s="22">
        <f ca="1">+GETPIVOTDATA("XSN4",'suoinghe (2016)'!$A$3,"MA_HT","NKH","MA_QH","SKT")</f>
        <v>0</v>
      </c>
      <c r="W18" s="22">
        <f ca="1">+GETPIVOTDATA("XSN4",'suoinghe (2016)'!$A$3,"MA_HT","NKH","MA_QH","SKN")</f>
        <v>0</v>
      </c>
      <c r="X18" s="22">
        <f ca="1">+GETPIVOTDATA("XSN4",'suoinghe (2016)'!$A$3,"MA_HT","NKH","MA_QH","TMD")</f>
        <v>0</v>
      </c>
      <c r="Y18" s="22">
        <f ca="1">+GETPIVOTDATA("XSN4",'suoinghe (2016)'!$A$3,"MA_HT","NKH","MA_QH","SKC")</f>
        <v>0</v>
      </c>
      <c r="Z18" s="22">
        <f ca="1">+GETPIVOTDATA("XSN4",'suoinghe (2016)'!$A$3,"MA_HT","NKH","MA_QH","SKS")</f>
        <v>0</v>
      </c>
      <c r="AA18" s="52">
        <f ca="1" t="shared" si="4"/>
        <v>0</v>
      </c>
      <c r="AB18" s="22">
        <f ca="1">+GETPIVOTDATA("XSN4",'suoinghe (2016)'!$A$3,"MA_HT","NKH","MA_QH","DGT")</f>
        <v>0</v>
      </c>
      <c r="AC18" s="22">
        <f ca="1">+GETPIVOTDATA("XSN4",'suoinghe (2016)'!$A$3,"MA_HT","NKH","MA_QH","DTL")</f>
        <v>0</v>
      </c>
      <c r="AD18" s="22">
        <f ca="1">+GETPIVOTDATA("XSN4",'suoinghe (2016)'!$A$3,"MA_HT","NKH","MA_QH","DNL")</f>
        <v>0</v>
      </c>
      <c r="AE18" s="22">
        <f ca="1">+GETPIVOTDATA("XSN4",'suoinghe (2016)'!$A$3,"MA_HT","NKH","MA_QH","DBV")</f>
        <v>0</v>
      </c>
      <c r="AF18" s="22">
        <f ca="1">+GETPIVOTDATA("XSN4",'suoinghe (2016)'!$A$3,"MA_HT","NKH","MA_QH","DVH")</f>
        <v>0</v>
      </c>
      <c r="AG18" s="22">
        <f ca="1">+GETPIVOTDATA("XSN4",'suoinghe (2016)'!$A$3,"MA_HT","NKH","MA_QH","DYT")</f>
        <v>0</v>
      </c>
      <c r="AH18" s="22">
        <f ca="1">+GETPIVOTDATA("XSN4",'suoinghe (2016)'!$A$3,"MA_HT","NKH","MA_QH","DGD")</f>
        <v>0</v>
      </c>
      <c r="AI18" s="22">
        <f ca="1">+GETPIVOTDATA("XSN4",'suoinghe (2016)'!$A$3,"MA_HT","NKH","MA_QH","DTT")</f>
        <v>0</v>
      </c>
      <c r="AJ18" s="22">
        <f ca="1">+GETPIVOTDATA("XSN4",'suoinghe (2016)'!$A$3,"MA_HT","NKH","MA_QH","NCK")</f>
        <v>0</v>
      </c>
      <c r="AK18" s="22">
        <f ca="1">+GETPIVOTDATA("XSN4",'suoinghe (2016)'!$A$3,"MA_HT","NKH","MA_QH","DXH")</f>
        <v>0</v>
      </c>
      <c r="AL18" s="22">
        <f ca="1">+GETPIVOTDATA("XSN4",'suoinghe (2016)'!$A$3,"MA_HT","NKH","MA_QH","DCH")</f>
        <v>0</v>
      </c>
      <c r="AM18" s="22">
        <f ca="1">+GETPIVOTDATA("XSN4",'suoinghe (2016)'!$A$3,"MA_HT","NKH","MA_QH","DKG")</f>
        <v>0</v>
      </c>
      <c r="AN18" s="22">
        <f ca="1">+GETPIVOTDATA("XSN4",'suoinghe (2016)'!$A$3,"MA_HT","NKH","MA_QH","DDT")</f>
        <v>0</v>
      </c>
      <c r="AO18" s="22">
        <f ca="1">+GETPIVOTDATA("XSN4",'suoinghe (2016)'!$A$3,"MA_HT","NKH","MA_QH","DDL")</f>
        <v>0</v>
      </c>
      <c r="AP18" s="22">
        <f ca="1">+GETPIVOTDATA("XSN4",'suoinghe (2016)'!$A$3,"MA_HT","NKH","MA_QH","DRA")</f>
        <v>0</v>
      </c>
      <c r="AQ18" s="22">
        <f ca="1">+GETPIVOTDATA("XSN4",'suoinghe (2016)'!$A$3,"MA_HT","NKH","MA_QH","ONT")</f>
        <v>0</v>
      </c>
      <c r="AR18" s="22">
        <f ca="1">+GETPIVOTDATA("XSN4",'suoinghe (2016)'!$A$3,"MA_HT","NKH","MA_QH","ODT")</f>
        <v>0</v>
      </c>
      <c r="AS18" s="22">
        <f ca="1">+GETPIVOTDATA("XSN4",'suoinghe (2016)'!$A$3,"MA_HT","NKH","MA_QH","TSC")</f>
        <v>0</v>
      </c>
      <c r="AT18" s="22">
        <f ca="1">+GETPIVOTDATA("XSN4",'suoinghe (2016)'!$A$3,"MA_HT","NKH","MA_QH","DTS")</f>
        <v>0</v>
      </c>
      <c r="AU18" s="22">
        <f ca="1">+GETPIVOTDATA("XSN4",'suoinghe (2016)'!$A$3,"MA_HT","NKH","MA_QH","DNG")</f>
        <v>0</v>
      </c>
      <c r="AV18" s="22">
        <f ca="1">+GETPIVOTDATA("XSN4",'suoinghe (2016)'!$A$3,"MA_HT","NKH","MA_QH","TON")</f>
        <v>0</v>
      </c>
      <c r="AW18" s="22">
        <f ca="1">+GETPIVOTDATA("XSN4",'suoinghe (2016)'!$A$3,"MA_HT","NKH","MA_QH","NTD")</f>
        <v>0</v>
      </c>
      <c r="AX18" s="22">
        <f ca="1">+GETPIVOTDATA("XSN4",'suoinghe (2016)'!$A$3,"MA_HT","NKH","MA_QH","SKX")</f>
        <v>0</v>
      </c>
      <c r="AY18" s="22">
        <f ca="1">+GETPIVOTDATA("XSN4",'suoinghe (2016)'!$A$3,"MA_HT","NKH","MA_QH","DSH")</f>
        <v>0</v>
      </c>
      <c r="AZ18" s="22">
        <f ca="1">+GETPIVOTDATA("XSN4",'suoinghe (2016)'!$A$3,"MA_HT","NKH","MA_QH","DKV")</f>
        <v>0</v>
      </c>
      <c r="BA18" s="89">
        <f ca="1">+GETPIVOTDATA("XSN4",'suoinghe (2016)'!$A$3,"MA_HT","NKH","MA_QH","TIN")</f>
        <v>0</v>
      </c>
      <c r="BB18" s="50">
        <f ca="1">+GETPIVOTDATA("XSN4",'suoinghe (2016)'!$A$3,"MA_HT","NKH","MA_QH","SON")</f>
        <v>0</v>
      </c>
      <c r="BC18" s="50">
        <f ca="1">+GETPIVOTDATA("XSN4",'suoinghe (2016)'!$A$3,"MA_HT","NKH","MA_QH","MNC")</f>
        <v>0</v>
      </c>
      <c r="BD18" s="22">
        <f ca="1">+GETPIVOTDATA("XSN4",'suoinghe (2016)'!$A$3,"MA_HT","NKH","MA_QH","PNK")</f>
        <v>0</v>
      </c>
      <c r="BE18" s="71">
        <f ca="1">+GETPIVOTDATA("XSN4",'suoinghe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+GETPIVOTDATA("XSN4",'suoinghe (2016)'!$A$3,"MA_HT","CQP","MA_QH","LUC")</f>
        <v>0</v>
      </c>
      <c r="H20" s="22">
        <f ca="1">+GETPIVOTDATA("XSN4",'suoinghe (2016)'!$A$3,"MA_HT","CQP","MA_QH","LUK")</f>
        <v>0</v>
      </c>
      <c r="I20" s="22">
        <f ca="1">+GETPIVOTDATA("XSN4",'suoinghe (2016)'!$A$3,"MA_HT","CQP","MA_QH","LUN")</f>
        <v>0</v>
      </c>
      <c r="J20" s="22">
        <f ca="1">+GETPIVOTDATA("XSN4",'suoinghe (2016)'!$A$3,"MA_HT","CQP","MA_QH","HNK")</f>
        <v>0</v>
      </c>
      <c r="K20" s="22">
        <f ca="1">+GETPIVOTDATA("XSN4",'suoinghe (2016)'!$A$3,"MA_HT","CQP","MA_QH","CLN")</f>
        <v>0</v>
      </c>
      <c r="L20" s="22">
        <f ca="1">+GETPIVOTDATA("XSN4",'suoinghe (2016)'!$A$3,"MA_HT","CQP","MA_QH","RSX")</f>
        <v>0</v>
      </c>
      <c r="M20" s="22">
        <f ca="1">+GETPIVOTDATA("XSN4",'suoinghe (2016)'!$A$3,"MA_HT","CQP","MA_QH","RPH")</f>
        <v>0</v>
      </c>
      <c r="N20" s="22">
        <f ca="1">+GETPIVOTDATA("XSN4",'suoinghe (2016)'!$A$3,"MA_HT","CQP","MA_QH","RDD")</f>
        <v>0</v>
      </c>
      <c r="O20" s="22">
        <f ca="1">+GETPIVOTDATA("XSN4",'suoinghe (2016)'!$A$3,"MA_HT","CQP","MA_QH","NTS")</f>
        <v>0</v>
      </c>
      <c r="P20" s="22">
        <f ca="1">+GETPIVOTDATA("XSN4",'suoinghe (2016)'!$A$3,"MA_HT","CQP","MA_QH","LMU")</f>
        <v>0</v>
      </c>
      <c r="Q20" s="22">
        <f ca="1">+GETPIVOTDATA("XSN4",'suoinghe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+GETPIVOTDATA("XSN4",'suoinghe (2016)'!$A$3,"MA_HT","CQP","MA_QH","CAN")</f>
        <v>0</v>
      </c>
      <c r="U20" s="22">
        <f ca="1">+GETPIVOTDATA("XSN4",'suoinghe (2016)'!$A$3,"MA_HT","CQP","MA_QH","SKK")</f>
        <v>0</v>
      </c>
      <c r="V20" s="22">
        <f ca="1">+GETPIVOTDATA("XSN4",'suoinghe (2016)'!$A$3,"MA_HT","CQP","MA_QH","SKT")</f>
        <v>0</v>
      </c>
      <c r="W20" s="22">
        <f ca="1">+GETPIVOTDATA("XSN4",'suoinghe (2016)'!$A$3,"MA_HT","CQP","MA_QH","SKN")</f>
        <v>0</v>
      </c>
      <c r="X20" s="22">
        <f ca="1">+GETPIVOTDATA("XSN4",'suoinghe (2016)'!$A$3,"MA_HT","CQP","MA_QH","TMD")</f>
        <v>0</v>
      </c>
      <c r="Y20" s="22">
        <f ca="1">+GETPIVOTDATA("XSN4",'suoinghe (2016)'!$A$3,"MA_HT","CQP","MA_QH","SKC")</f>
        <v>0</v>
      </c>
      <c r="Z20" s="22">
        <f ca="1">+GETPIVOTDATA("XSN4",'suoinghe (2016)'!$A$3,"MA_HT","CQP","MA_QH","SKS")</f>
        <v>0</v>
      </c>
      <c r="AA20" s="52">
        <f ca="1" t="shared" ref="AA20:AA27" si="12">+SUM(AB20:AM20)</f>
        <v>0</v>
      </c>
      <c r="AB20" s="22">
        <f ca="1">+GETPIVOTDATA("XSN4",'suoinghe (2016)'!$A$3,"MA_HT","CQP","MA_QH","DGT")</f>
        <v>0</v>
      </c>
      <c r="AC20" s="22">
        <f ca="1">+GETPIVOTDATA("XSN4",'suoinghe (2016)'!$A$3,"MA_HT","CQP","MA_QH","DTL")</f>
        <v>0</v>
      </c>
      <c r="AD20" s="22">
        <f ca="1">+GETPIVOTDATA("XSN4",'suoinghe (2016)'!$A$3,"MA_HT","CQP","MA_QH","DNL")</f>
        <v>0</v>
      </c>
      <c r="AE20" s="22">
        <f ca="1">+GETPIVOTDATA("XSN4",'suoinghe (2016)'!$A$3,"MA_HT","CQP","MA_QH","DBV")</f>
        <v>0</v>
      </c>
      <c r="AF20" s="22">
        <f ca="1">+GETPIVOTDATA("XSN4",'suoinghe (2016)'!$A$3,"MA_HT","CQP","MA_QH","DVH")</f>
        <v>0</v>
      </c>
      <c r="AG20" s="22">
        <f ca="1">+GETPIVOTDATA("XSN4",'suoinghe (2016)'!$A$3,"MA_HT","CQP","MA_QH","DYT")</f>
        <v>0</v>
      </c>
      <c r="AH20" s="22">
        <f ca="1">+GETPIVOTDATA("XSN4",'suoinghe (2016)'!$A$3,"MA_HT","CQP","MA_QH","DGD")</f>
        <v>0</v>
      </c>
      <c r="AI20" s="22">
        <f ca="1">+GETPIVOTDATA("XSN4",'suoinghe (2016)'!$A$3,"MA_HT","CQP","MA_QH","DTT")</f>
        <v>0</v>
      </c>
      <c r="AJ20" s="22">
        <f ca="1">+GETPIVOTDATA("XSN4",'suoinghe (2016)'!$A$3,"MA_HT","CQP","MA_QH","NCK")</f>
        <v>0</v>
      </c>
      <c r="AK20" s="22">
        <f ca="1">+GETPIVOTDATA("XSN4",'suoinghe (2016)'!$A$3,"MA_HT","CQP","MA_QH","DXH")</f>
        <v>0</v>
      </c>
      <c r="AL20" s="22">
        <f ca="1">+GETPIVOTDATA("XSN4",'suoinghe (2016)'!$A$3,"MA_HT","CQP","MA_QH","DCH")</f>
        <v>0</v>
      </c>
      <c r="AM20" s="22">
        <f ca="1">+GETPIVOTDATA("XSN4",'suoinghe (2016)'!$A$3,"MA_HT","CQP","MA_QH","DKG")</f>
        <v>0</v>
      </c>
      <c r="AN20" s="22">
        <f ca="1">+GETPIVOTDATA("XSN4",'suoinghe (2016)'!$A$3,"MA_HT","CQP","MA_QH","DDT")</f>
        <v>0</v>
      </c>
      <c r="AO20" s="22">
        <f ca="1">+GETPIVOTDATA("XSN4",'suoinghe (2016)'!$A$3,"MA_HT","CQP","MA_QH","DDL")</f>
        <v>0</v>
      </c>
      <c r="AP20" s="22">
        <f ca="1">+GETPIVOTDATA("XSN4",'suoinghe (2016)'!$A$3,"MA_HT","CQP","MA_QH","DRA")</f>
        <v>0</v>
      </c>
      <c r="AQ20" s="22">
        <f ca="1">+GETPIVOTDATA("XSN4",'suoinghe (2016)'!$A$3,"MA_HT","CQP","MA_QH","ONT")</f>
        <v>0</v>
      </c>
      <c r="AR20" s="22">
        <f ca="1">+GETPIVOTDATA("XSN4",'suoinghe (2016)'!$A$3,"MA_HT","CQP","MA_QH","ODT")</f>
        <v>0</v>
      </c>
      <c r="AS20" s="22">
        <f ca="1">+GETPIVOTDATA("XSN4",'suoinghe (2016)'!$A$3,"MA_HT","CQP","MA_QH","TSC")</f>
        <v>0</v>
      </c>
      <c r="AT20" s="22">
        <f ca="1">+GETPIVOTDATA("XSN4",'suoinghe (2016)'!$A$3,"MA_HT","CQP","MA_QH","DTS")</f>
        <v>0</v>
      </c>
      <c r="AU20" s="22">
        <f ca="1">+GETPIVOTDATA("XSN4",'suoinghe (2016)'!$A$3,"MA_HT","CQP","MA_QH","DNG")</f>
        <v>0</v>
      </c>
      <c r="AV20" s="22">
        <f ca="1">+GETPIVOTDATA("XSN4",'suoinghe (2016)'!$A$3,"MA_HT","CQP","MA_QH","TON")</f>
        <v>0</v>
      </c>
      <c r="AW20" s="22">
        <f ca="1">+GETPIVOTDATA("XSN4",'suoinghe (2016)'!$A$3,"MA_HT","CQP","MA_QH","NTD")</f>
        <v>0</v>
      </c>
      <c r="AX20" s="22">
        <f ca="1">+GETPIVOTDATA("XSN4",'suoinghe (2016)'!$A$3,"MA_HT","CQP","MA_QH","SKX")</f>
        <v>0</v>
      </c>
      <c r="AY20" s="22">
        <f ca="1">+GETPIVOTDATA("XSN4",'suoinghe (2016)'!$A$3,"MA_HT","CQP","MA_QH","DSH")</f>
        <v>0</v>
      </c>
      <c r="AZ20" s="22">
        <f ca="1">+GETPIVOTDATA("XSN4",'suoinghe (2016)'!$A$3,"MA_HT","CQP","MA_QH","DKV")</f>
        <v>0</v>
      </c>
      <c r="BA20" s="89">
        <f ca="1">+GETPIVOTDATA("XSN4",'suoinghe (2016)'!$A$3,"MA_HT","CQP","MA_QH","TIN")</f>
        <v>0</v>
      </c>
      <c r="BB20" s="50">
        <f ca="1">+GETPIVOTDATA("XSN4",'suoinghe (2016)'!$A$3,"MA_HT","CQP","MA_QH","SON")</f>
        <v>0</v>
      </c>
      <c r="BC20" s="50">
        <f ca="1">+GETPIVOTDATA("XSN4",'suoinghe (2016)'!$A$3,"MA_HT","CQP","MA_QH","MNC")</f>
        <v>0</v>
      </c>
      <c r="BD20" s="22">
        <f ca="1">+GETPIVOTDATA("XSN4",'suoinghe (2016)'!$A$3,"MA_HT","CQP","MA_QH","PNK")</f>
        <v>0</v>
      </c>
      <c r="BE20" s="71">
        <f ca="1">+GETPIVOTDATA("XSN4",'suoinghe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+GETPIVOTDATA("XSN4",'suoinghe (2016)'!$A$3,"MA_HT","CAN","MA_QH","LUC")</f>
        <v>0</v>
      </c>
      <c r="H21" s="22">
        <f ca="1">+GETPIVOTDATA("XSN4",'suoinghe (2016)'!$A$3,"MA_HT","CAN","MA_QH","LUK")</f>
        <v>0</v>
      </c>
      <c r="I21" s="22">
        <f ca="1">+GETPIVOTDATA("XSN4",'suoinghe (2016)'!$A$3,"MA_HT","CAN","MA_QH","LUN")</f>
        <v>0</v>
      </c>
      <c r="J21" s="22">
        <f ca="1">+GETPIVOTDATA("XSN4",'suoinghe (2016)'!$A$3,"MA_HT","CAN","MA_QH","HNK")</f>
        <v>0</v>
      </c>
      <c r="K21" s="22">
        <f ca="1">+GETPIVOTDATA("XSN4",'suoinghe (2016)'!$A$3,"MA_HT","CAN","MA_QH","CLN")</f>
        <v>0</v>
      </c>
      <c r="L21" s="22">
        <f ca="1">+GETPIVOTDATA("XSN4",'suoinghe (2016)'!$A$3,"MA_HT","CAN","MA_QH","RSX")</f>
        <v>0</v>
      </c>
      <c r="M21" s="22">
        <f ca="1">+GETPIVOTDATA("XSN4",'suoinghe (2016)'!$A$3,"MA_HT","CAN","MA_QH","RPH")</f>
        <v>0</v>
      </c>
      <c r="N21" s="22">
        <f ca="1">+GETPIVOTDATA("XSN4",'suoinghe (2016)'!$A$3,"MA_HT","CAN","MA_QH","RDD")</f>
        <v>0</v>
      </c>
      <c r="O21" s="22">
        <f ca="1">+GETPIVOTDATA("XSN4",'suoinghe (2016)'!$A$3,"MA_HT","CAN","MA_QH","NTS")</f>
        <v>0</v>
      </c>
      <c r="P21" s="22">
        <f ca="1">+GETPIVOTDATA("XSN4",'suoinghe (2016)'!$A$3,"MA_HT","CAN","MA_QH","LMU")</f>
        <v>0</v>
      </c>
      <c r="Q21" s="22">
        <f ca="1">+GETPIVOTDATA("XSN4",'suoinghe (2016)'!$A$3,"MA_HT","CAN","MA_QH","NKH")</f>
        <v>0</v>
      </c>
      <c r="R21" s="42">
        <f ca="1">SUM(S21,U21:AA21,AN21:BD21)</f>
        <v>0</v>
      </c>
      <c r="S21" s="22">
        <f ca="1">+GETPIVOTDATA("XSN4",'suoinghe (2016)'!$A$3,"MA_HT","CAN","MA_QH","CQP")</f>
        <v>0</v>
      </c>
      <c r="T21" s="43" t="e">
        <f ca="1">$D21-$BF21</f>
        <v>#REF!</v>
      </c>
      <c r="U21" s="22">
        <f ca="1">+GETPIVOTDATA("XSN4",'suoinghe (2016)'!$A$3,"MA_HT","CAN","MA_QH","SKK")</f>
        <v>0</v>
      </c>
      <c r="V21" s="22">
        <f ca="1">+GETPIVOTDATA("XSN4",'suoinghe (2016)'!$A$3,"MA_HT","CAN","MA_QH","SKT")</f>
        <v>0</v>
      </c>
      <c r="W21" s="22">
        <f ca="1">+GETPIVOTDATA("XSN4",'suoinghe (2016)'!$A$3,"MA_HT","CAN","MA_QH","SKN")</f>
        <v>0</v>
      </c>
      <c r="X21" s="22">
        <f ca="1">+GETPIVOTDATA("XSN4",'suoinghe (2016)'!$A$3,"MA_HT","CAN","MA_QH","TMD")</f>
        <v>0</v>
      </c>
      <c r="Y21" s="22">
        <f ca="1">+GETPIVOTDATA("XSN4",'suoinghe (2016)'!$A$3,"MA_HT","CAN","MA_QH","SKC")</f>
        <v>0</v>
      </c>
      <c r="Z21" s="22">
        <f ca="1">+GETPIVOTDATA("XSN4",'suoinghe (2016)'!$A$3,"MA_HT","CAN","MA_QH","SKS")</f>
        <v>0</v>
      </c>
      <c r="AA21" s="52">
        <f ca="1" t="shared" si="12"/>
        <v>0</v>
      </c>
      <c r="AB21" s="22">
        <f ca="1">+GETPIVOTDATA("XSN4",'suoinghe (2016)'!$A$3,"MA_HT","CAN","MA_QH","DGT")</f>
        <v>0</v>
      </c>
      <c r="AC21" s="22">
        <f ca="1">+GETPIVOTDATA("XSN4",'suoinghe (2016)'!$A$3,"MA_HT","CAN","MA_QH","DTL")</f>
        <v>0</v>
      </c>
      <c r="AD21" s="22">
        <f ca="1">+GETPIVOTDATA("XSN4",'suoinghe (2016)'!$A$3,"MA_HT","CAN","MA_QH","DNL")</f>
        <v>0</v>
      </c>
      <c r="AE21" s="22">
        <f ca="1">+GETPIVOTDATA("XSN4",'suoinghe (2016)'!$A$3,"MA_HT","CAN","MA_QH","DBV")</f>
        <v>0</v>
      </c>
      <c r="AF21" s="22">
        <f ca="1">+GETPIVOTDATA("XSN4",'suoinghe (2016)'!$A$3,"MA_HT","CAN","MA_QH","DVH")</f>
        <v>0</v>
      </c>
      <c r="AG21" s="22">
        <f ca="1">+GETPIVOTDATA("XSN4",'suoinghe (2016)'!$A$3,"MA_HT","CAN","MA_QH","DYT")</f>
        <v>0</v>
      </c>
      <c r="AH21" s="22">
        <f ca="1">+GETPIVOTDATA("XSN4",'suoinghe (2016)'!$A$3,"MA_HT","CAN","MA_QH","DGD")</f>
        <v>0</v>
      </c>
      <c r="AI21" s="22">
        <f ca="1">+GETPIVOTDATA("XSN4",'suoinghe (2016)'!$A$3,"MA_HT","CAN","MA_QH","DTT")</f>
        <v>0</v>
      </c>
      <c r="AJ21" s="22">
        <f ca="1">+GETPIVOTDATA("XSN4",'suoinghe (2016)'!$A$3,"MA_HT","CAN","MA_QH","NCK")</f>
        <v>0</v>
      </c>
      <c r="AK21" s="22">
        <f ca="1">+GETPIVOTDATA("XSN4",'suoinghe (2016)'!$A$3,"MA_HT","CAN","MA_QH","DXH")</f>
        <v>0</v>
      </c>
      <c r="AL21" s="22">
        <f ca="1">+GETPIVOTDATA("XSN4",'suoinghe (2016)'!$A$3,"MA_HT","CAN","MA_QH","DCH")</f>
        <v>0</v>
      </c>
      <c r="AM21" s="22">
        <f ca="1">+GETPIVOTDATA("XSN4",'suoinghe (2016)'!$A$3,"MA_HT","CAN","MA_QH","DKG")</f>
        <v>0</v>
      </c>
      <c r="AN21" s="22">
        <f ca="1">+GETPIVOTDATA("XSN4",'suoinghe (2016)'!$A$3,"MA_HT","CAN","MA_QH","DDT")</f>
        <v>0</v>
      </c>
      <c r="AO21" s="22">
        <f ca="1">+GETPIVOTDATA("XSN4",'suoinghe (2016)'!$A$3,"MA_HT","CAN","MA_QH","DDL")</f>
        <v>0</v>
      </c>
      <c r="AP21" s="22">
        <f ca="1">+GETPIVOTDATA("XSN4",'suoinghe (2016)'!$A$3,"MA_HT","CAN","MA_QH","DRA")</f>
        <v>0</v>
      </c>
      <c r="AQ21" s="22">
        <f ca="1">+GETPIVOTDATA("XSN4",'suoinghe (2016)'!$A$3,"MA_HT","CAN","MA_QH","ONT")</f>
        <v>0</v>
      </c>
      <c r="AR21" s="22">
        <f ca="1">+GETPIVOTDATA("XSN4",'suoinghe (2016)'!$A$3,"MA_HT","CAN","MA_QH","ODT")</f>
        <v>0</v>
      </c>
      <c r="AS21" s="22">
        <f ca="1">+GETPIVOTDATA("XSN4",'suoinghe (2016)'!$A$3,"MA_HT","CAN","MA_QH","TSC")</f>
        <v>0</v>
      </c>
      <c r="AT21" s="22">
        <f ca="1">+GETPIVOTDATA("XSN4",'suoinghe (2016)'!$A$3,"MA_HT","CAN","MA_QH","DTS")</f>
        <v>0</v>
      </c>
      <c r="AU21" s="22">
        <f ca="1">+GETPIVOTDATA("XSN4",'suoinghe (2016)'!$A$3,"MA_HT","CAN","MA_QH","DNG")</f>
        <v>0</v>
      </c>
      <c r="AV21" s="22">
        <f ca="1">+GETPIVOTDATA("XSN4",'suoinghe (2016)'!$A$3,"MA_HT","CAN","MA_QH","TON")</f>
        <v>0</v>
      </c>
      <c r="AW21" s="22">
        <f ca="1">+GETPIVOTDATA("XSN4",'suoinghe (2016)'!$A$3,"MA_HT","CAN","MA_QH","NTD")</f>
        <v>0</v>
      </c>
      <c r="AX21" s="22">
        <f ca="1">+GETPIVOTDATA("XSN4",'suoinghe (2016)'!$A$3,"MA_HT","CAN","MA_QH","SKX")</f>
        <v>0</v>
      </c>
      <c r="AY21" s="22">
        <f ca="1">+GETPIVOTDATA("XSN4",'suoinghe (2016)'!$A$3,"MA_HT","CAN","MA_QH","DSH")</f>
        <v>0</v>
      </c>
      <c r="AZ21" s="22">
        <f ca="1">+GETPIVOTDATA("XSN4",'suoinghe (2016)'!$A$3,"MA_HT","CAN","MA_QH","DKV")</f>
        <v>0</v>
      </c>
      <c r="BA21" s="89">
        <f ca="1">+GETPIVOTDATA("XSN4",'suoinghe (2016)'!$A$3,"MA_HT","CAN","MA_QH","TIN")</f>
        <v>0</v>
      </c>
      <c r="BB21" s="50">
        <f ca="1">+GETPIVOTDATA("XSN4",'suoinghe (2016)'!$A$3,"MA_HT","CAN","MA_QH","SON")</f>
        <v>0</v>
      </c>
      <c r="BC21" s="50">
        <f ca="1">+GETPIVOTDATA("XSN4",'suoinghe (2016)'!$A$3,"MA_HT","CAN","MA_QH","MNC")</f>
        <v>0</v>
      </c>
      <c r="BD21" s="22">
        <f ca="1">+GETPIVOTDATA("XSN4",'suoinghe (2016)'!$A$3,"MA_HT","CAN","MA_QH","PNK")</f>
        <v>0</v>
      </c>
      <c r="BE21" s="71">
        <f ca="1">+GETPIVOTDATA("XSN4",'suoinghe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+GETPIVOTDATA("XSN4",'suoinghe (2016)'!$A$3,"MA_HT","SKK","MA_QH","LUC")</f>
        <v>0</v>
      </c>
      <c r="H22" s="22">
        <f ca="1">+GETPIVOTDATA("XSN4",'suoinghe (2016)'!$A$3,"MA_HT","SKK","MA_QH","LUK")</f>
        <v>0</v>
      </c>
      <c r="I22" s="22">
        <f ca="1">+GETPIVOTDATA("XSN4",'suoinghe (2016)'!$A$3,"MA_HT","SKK","MA_QH","LUN")</f>
        <v>0</v>
      </c>
      <c r="J22" s="22">
        <f ca="1">+GETPIVOTDATA("XSN4",'suoinghe (2016)'!$A$3,"MA_HT","SKK","MA_QH","HNK")</f>
        <v>0</v>
      </c>
      <c r="K22" s="22">
        <f ca="1">+GETPIVOTDATA("XSN4",'suoinghe (2016)'!$A$3,"MA_HT","SKK","MA_QH","CLN")</f>
        <v>0</v>
      </c>
      <c r="L22" s="22">
        <f ca="1">+GETPIVOTDATA("XSN4",'suoinghe (2016)'!$A$3,"MA_HT","SKK","MA_QH","RSX")</f>
        <v>0</v>
      </c>
      <c r="M22" s="22">
        <f ca="1">+GETPIVOTDATA("XSN4",'suoinghe (2016)'!$A$3,"MA_HT","SKK","MA_QH","RPH")</f>
        <v>0</v>
      </c>
      <c r="N22" s="22">
        <f ca="1">+GETPIVOTDATA("XSN4",'suoinghe (2016)'!$A$3,"MA_HT","SKK","MA_QH","RDD")</f>
        <v>0</v>
      </c>
      <c r="O22" s="22">
        <f ca="1">+GETPIVOTDATA("XSN4",'suoinghe (2016)'!$A$3,"MA_HT","SKK","MA_QH","NTS")</f>
        <v>0</v>
      </c>
      <c r="P22" s="22">
        <f ca="1">+GETPIVOTDATA("XSN4",'suoinghe (2016)'!$A$3,"MA_HT","SKK","MA_QH","LMU")</f>
        <v>0</v>
      </c>
      <c r="Q22" s="22">
        <f ca="1">+GETPIVOTDATA("XSN4",'suoinghe (2016)'!$A$3,"MA_HT","SKK","MA_QH","NKH")</f>
        <v>0</v>
      </c>
      <c r="R22" s="42">
        <f ca="1">SUM(S22:T22,V22:AA22,AN22:BD22)</f>
        <v>0</v>
      </c>
      <c r="S22" s="22">
        <f ca="1">+GETPIVOTDATA("XSN4",'suoinghe (2016)'!$A$3,"MA_HT","SKK","MA_QH","CQP")</f>
        <v>0</v>
      </c>
      <c r="T22" s="22">
        <f ca="1">+GETPIVOTDATA("XSN4",'suoinghe (2016)'!$A$3,"MA_HT","SKK","MA_QH","CAN")</f>
        <v>0</v>
      </c>
      <c r="U22" s="43" t="e">
        <f ca="1">$D22-$BF22</f>
        <v>#REF!</v>
      </c>
      <c r="V22" s="22">
        <f ca="1">+GETPIVOTDATA("XSN4",'suoinghe (2016)'!$A$3,"MA_HT","SKK","MA_QH","SKT")</f>
        <v>0</v>
      </c>
      <c r="W22" s="22">
        <f ca="1">+GETPIVOTDATA("XSN4",'suoinghe (2016)'!$A$3,"MA_HT","SKK","MA_QH","SKN")</f>
        <v>0</v>
      </c>
      <c r="X22" s="22">
        <f ca="1">+GETPIVOTDATA("XSN4",'suoinghe (2016)'!$A$3,"MA_HT","SKK","MA_QH","TMD")</f>
        <v>0</v>
      </c>
      <c r="Y22" s="22">
        <f ca="1">+GETPIVOTDATA("XSN4",'suoinghe (2016)'!$A$3,"MA_HT","SKK","MA_QH","SKC")</f>
        <v>0</v>
      </c>
      <c r="Z22" s="22">
        <f ca="1">+GETPIVOTDATA("XSN4",'suoinghe (2016)'!$A$3,"MA_HT","SKK","MA_QH","SKS")</f>
        <v>0</v>
      </c>
      <c r="AA22" s="52">
        <f ca="1" t="shared" si="12"/>
        <v>0</v>
      </c>
      <c r="AB22" s="22">
        <f ca="1">+GETPIVOTDATA("XSN4",'suoinghe (2016)'!$A$3,"MA_HT","SKK","MA_QH","DGT")</f>
        <v>0</v>
      </c>
      <c r="AC22" s="22">
        <f ca="1">+GETPIVOTDATA("XSN4",'suoinghe (2016)'!$A$3,"MA_HT","SKK","MA_QH","DTL")</f>
        <v>0</v>
      </c>
      <c r="AD22" s="22">
        <f ca="1">+GETPIVOTDATA("XSN4",'suoinghe (2016)'!$A$3,"MA_HT","SKK","MA_QH","DNL")</f>
        <v>0</v>
      </c>
      <c r="AE22" s="22">
        <f ca="1">+GETPIVOTDATA("XSN4",'suoinghe (2016)'!$A$3,"MA_HT","SKK","MA_QH","DBV")</f>
        <v>0</v>
      </c>
      <c r="AF22" s="22">
        <f ca="1">+GETPIVOTDATA("XSN4",'suoinghe (2016)'!$A$3,"MA_HT","SKK","MA_QH","DVH")</f>
        <v>0</v>
      </c>
      <c r="AG22" s="22">
        <f ca="1">+GETPIVOTDATA("XSN4",'suoinghe (2016)'!$A$3,"MA_HT","SKK","MA_QH","DYT")</f>
        <v>0</v>
      </c>
      <c r="AH22" s="22">
        <f ca="1">+GETPIVOTDATA("XSN4",'suoinghe (2016)'!$A$3,"MA_HT","SKK","MA_QH","DGD")</f>
        <v>0</v>
      </c>
      <c r="AI22" s="22">
        <f ca="1">+GETPIVOTDATA("XSN4",'suoinghe (2016)'!$A$3,"MA_HT","SKK","MA_QH","DTT")</f>
        <v>0</v>
      </c>
      <c r="AJ22" s="22">
        <f ca="1">+GETPIVOTDATA("XSN4",'suoinghe (2016)'!$A$3,"MA_HT","SKK","MA_QH","NCK")</f>
        <v>0</v>
      </c>
      <c r="AK22" s="22">
        <f ca="1">+GETPIVOTDATA("XSN4",'suoinghe (2016)'!$A$3,"MA_HT","SKK","MA_QH","DXH")</f>
        <v>0</v>
      </c>
      <c r="AL22" s="22">
        <f ca="1">+GETPIVOTDATA("XSN4",'suoinghe (2016)'!$A$3,"MA_HT","SKK","MA_QH","DCH")</f>
        <v>0</v>
      </c>
      <c r="AM22" s="22">
        <f ca="1">+GETPIVOTDATA("XSN4",'suoinghe (2016)'!$A$3,"MA_HT","SKK","MA_QH","DKG")</f>
        <v>0</v>
      </c>
      <c r="AN22" s="22">
        <f ca="1">+GETPIVOTDATA("XSN4",'suoinghe (2016)'!$A$3,"MA_HT","SKK","MA_QH","DDT")</f>
        <v>0</v>
      </c>
      <c r="AO22" s="22">
        <f ca="1">+GETPIVOTDATA("XSN4",'suoinghe (2016)'!$A$3,"MA_HT","SKK","MA_QH","DDL")</f>
        <v>0</v>
      </c>
      <c r="AP22" s="22">
        <f ca="1">+GETPIVOTDATA("XSN4",'suoinghe (2016)'!$A$3,"MA_HT","SKK","MA_QH","DRA")</f>
        <v>0</v>
      </c>
      <c r="AQ22" s="22">
        <f ca="1">+GETPIVOTDATA("XSN4",'suoinghe (2016)'!$A$3,"MA_HT","SKK","MA_QH","ONT")</f>
        <v>0</v>
      </c>
      <c r="AR22" s="22">
        <f ca="1">+GETPIVOTDATA("XSN4",'suoinghe (2016)'!$A$3,"MA_HT","SKK","MA_QH","ODT")</f>
        <v>0</v>
      </c>
      <c r="AS22" s="22">
        <f ca="1">+GETPIVOTDATA("XSN4",'suoinghe (2016)'!$A$3,"MA_HT","SKK","MA_QH","TSC")</f>
        <v>0</v>
      </c>
      <c r="AT22" s="22">
        <f ca="1">+GETPIVOTDATA("XSN4",'suoinghe (2016)'!$A$3,"MA_HT","SKK","MA_QH","DTS")</f>
        <v>0</v>
      </c>
      <c r="AU22" s="22">
        <f ca="1">+GETPIVOTDATA("XSN4",'suoinghe (2016)'!$A$3,"MA_HT","SKK","MA_QH","DNG")</f>
        <v>0</v>
      </c>
      <c r="AV22" s="22">
        <f ca="1">+GETPIVOTDATA("XSN4",'suoinghe (2016)'!$A$3,"MA_HT","SKK","MA_QH","TON")</f>
        <v>0</v>
      </c>
      <c r="AW22" s="22">
        <f ca="1">+GETPIVOTDATA("XSN4",'suoinghe (2016)'!$A$3,"MA_HT","SKK","MA_QH","NTD")</f>
        <v>0</v>
      </c>
      <c r="AX22" s="22">
        <f ca="1">+GETPIVOTDATA("XSN4",'suoinghe (2016)'!$A$3,"MA_HT","SKK","MA_QH","SKX")</f>
        <v>0</v>
      </c>
      <c r="AY22" s="22">
        <f ca="1">+GETPIVOTDATA("XSN4",'suoinghe (2016)'!$A$3,"MA_HT","SKK","MA_QH","DSH")</f>
        <v>0</v>
      </c>
      <c r="AZ22" s="22">
        <f ca="1">+GETPIVOTDATA("XSN4",'suoinghe (2016)'!$A$3,"MA_HT","SKK","MA_QH","DKV")</f>
        <v>0</v>
      </c>
      <c r="BA22" s="89">
        <f ca="1">+GETPIVOTDATA("XSN4",'suoinghe (2016)'!$A$3,"MA_HT","SKK","MA_QH","TIN")</f>
        <v>0</v>
      </c>
      <c r="BB22" s="50">
        <f ca="1">+GETPIVOTDATA("XSN4",'suoinghe (2016)'!$A$3,"MA_HT","SKK","MA_QH","SON")</f>
        <v>0</v>
      </c>
      <c r="BC22" s="50">
        <f ca="1">+GETPIVOTDATA("XSN4",'suoinghe (2016)'!$A$3,"MA_HT","SKK","MA_QH","MNC")</f>
        <v>0</v>
      </c>
      <c r="BD22" s="22">
        <f ca="1">+GETPIVOTDATA("XSN4",'suoinghe (2016)'!$A$3,"MA_HT","SKK","MA_QH","PNK")</f>
        <v>0</v>
      </c>
      <c r="BE22" s="71">
        <f ca="1">+GETPIVOTDATA("XSN4",'suoinghe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+GETPIVOTDATA("XSN4",'suoinghe (2016)'!$A$3,"MA_HT","SKT","MA_QH","LUC")</f>
        <v>0</v>
      </c>
      <c r="H23" s="22">
        <f ca="1">+GETPIVOTDATA("XSN4",'suoinghe (2016)'!$A$3,"MA_HT","SKT","MA_QH","LUK")</f>
        <v>0</v>
      </c>
      <c r="I23" s="22">
        <f ca="1">+GETPIVOTDATA("XSN4",'suoinghe (2016)'!$A$3,"MA_HT","SKT","MA_QH","LUN")</f>
        <v>0</v>
      </c>
      <c r="J23" s="22">
        <f ca="1">+GETPIVOTDATA("XSN4",'suoinghe (2016)'!$A$3,"MA_HT","SKT","MA_QH","HNK")</f>
        <v>0</v>
      </c>
      <c r="K23" s="22">
        <f ca="1">+GETPIVOTDATA("XSN4",'suoinghe (2016)'!$A$3,"MA_HT","SKT","MA_QH","CLN")</f>
        <v>0</v>
      </c>
      <c r="L23" s="22">
        <f ca="1">+GETPIVOTDATA("XSN4",'suoinghe (2016)'!$A$3,"MA_HT","SKT","MA_QH","RSX")</f>
        <v>0</v>
      </c>
      <c r="M23" s="22">
        <f ca="1">+GETPIVOTDATA("XSN4",'suoinghe (2016)'!$A$3,"MA_HT","SKT","MA_QH","RPH")</f>
        <v>0</v>
      </c>
      <c r="N23" s="22">
        <f ca="1">+GETPIVOTDATA("XSN4",'suoinghe (2016)'!$A$3,"MA_HT","SKT","MA_QH","RDD")</f>
        <v>0</v>
      </c>
      <c r="O23" s="22">
        <f ca="1">+GETPIVOTDATA("XSN4",'suoinghe (2016)'!$A$3,"MA_HT","SKT","MA_QH","NTS")</f>
        <v>0</v>
      </c>
      <c r="P23" s="22">
        <f ca="1">+GETPIVOTDATA("XSN4",'suoinghe (2016)'!$A$3,"MA_HT","SKT","MA_QH","LMU")</f>
        <v>0</v>
      </c>
      <c r="Q23" s="22">
        <f ca="1">+GETPIVOTDATA("XSN4",'suoinghe (2016)'!$A$3,"MA_HT","SKT","MA_QH","NKH")</f>
        <v>0</v>
      </c>
      <c r="R23" s="42">
        <f ca="1">SUM(S23:U23,W23:AA23,AN23:BD23)</f>
        <v>0</v>
      </c>
      <c r="S23" s="22">
        <f ca="1">+GETPIVOTDATA("XSN4",'suoinghe (2016)'!$A$3,"MA_HT","SKT","MA_QH","CQP")</f>
        <v>0</v>
      </c>
      <c r="T23" s="22">
        <f ca="1">+GETPIVOTDATA("XSN4",'suoinghe (2016)'!$A$3,"MA_HT","SKT","MA_QH","CAN")</f>
        <v>0</v>
      </c>
      <c r="U23" s="22">
        <f ca="1">+GETPIVOTDATA("XSN4",'suoinghe (2016)'!$A$3,"MA_HT","SKT","MA_QH","SKK")</f>
        <v>0</v>
      </c>
      <c r="V23" s="43" t="e">
        <f ca="1">$D23-$BF23</f>
        <v>#REF!</v>
      </c>
      <c r="W23" s="22">
        <f ca="1">+GETPIVOTDATA("XSN4",'suoinghe (2016)'!$A$3,"MA_HT","SKT","MA_QH","SKN")</f>
        <v>0</v>
      </c>
      <c r="X23" s="22">
        <f ca="1">+GETPIVOTDATA("XSN4",'suoinghe (2016)'!$A$3,"MA_HT","SKT","MA_QH","TMD")</f>
        <v>0</v>
      </c>
      <c r="Y23" s="22">
        <f ca="1">+GETPIVOTDATA("XSN4",'suoinghe (2016)'!$A$3,"MA_HT","SKT","MA_QH","SKC")</f>
        <v>0</v>
      </c>
      <c r="Z23" s="22">
        <f ca="1">+GETPIVOTDATA("XSN4",'suoinghe (2016)'!$A$3,"MA_HT","SKT","MA_QH","SKS")</f>
        <v>0</v>
      </c>
      <c r="AA23" s="52">
        <f ca="1" t="shared" si="12"/>
        <v>0</v>
      </c>
      <c r="AB23" s="22">
        <f ca="1">+GETPIVOTDATA("XSN4",'suoinghe (2016)'!$A$3,"MA_HT","SKT","MA_QH","DGT")</f>
        <v>0</v>
      </c>
      <c r="AC23" s="22">
        <f ca="1">+GETPIVOTDATA("XSN4",'suoinghe (2016)'!$A$3,"MA_HT","SKT","MA_QH","DTL")</f>
        <v>0</v>
      </c>
      <c r="AD23" s="22">
        <f ca="1">+GETPIVOTDATA("XSN4",'suoinghe (2016)'!$A$3,"MA_HT","SKT","MA_QH","DNL")</f>
        <v>0</v>
      </c>
      <c r="AE23" s="22">
        <f ca="1">+GETPIVOTDATA("XSN4",'suoinghe (2016)'!$A$3,"MA_HT","SKT","MA_QH","DBV")</f>
        <v>0</v>
      </c>
      <c r="AF23" s="22">
        <f ca="1">+GETPIVOTDATA("XSN4",'suoinghe (2016)'!$A$3,"MA_HT","SKT","MA_QH","DVH")</f>
        <v>0</v>
      </c>
      <c r="AG23" s="22">
        <f ca="1">+GETPIVOTDATA("XSN4",'suoinghe (2016)'!$A$3,"MA_HT","SKT","MA_QH","DYT")</f>
        <v>0</v>
      </c>
      <c r="AH23" s="22">
        <f ca="1">+GETPIVOTDATA("XSN4",'suoinghe (2016)'!$A$3,"MA_HT","SKT","MA_QH","DGD")</f>
        <v>0</v>
      </c>
      <c r="AI23" s="22">
        <f ca="1">+GETPIVOTDATA("XSN4",'suoinghe (2016)'!$A$3,"MA_HT","SKT","MA_QH","DTT")</f>
        <v>0</v>
      </c>
      <c r="AJ23" s="22">
        <f ca="1">+GETPIVOTDATA("XSN4",'suoinghe (2016)'!$A$3,"MA_HT","SKT","MA_QH","NCK")</f>
        <v>0</v>
      </c>
      <c r="AK23" s="22">
        <f ca="1">+GETPIVOTDATA("XSN4",'suoinghe (2016)'!$A$3,"MA_HT","SKT","MA_QH","DXH")</f>
        <v>0</v>
      </c>
      <c r="AL23" s="22">
        <f ca="1">+GETPIVOTDATA("XSN4",'suoinghe (2016)'!$A$3,"MA_HT","SKT","MA_QH","DCH")</f>
        <v>0</v>
      </c>
      <c r="AM23" s="22">
        <f ca="1">+GETPIVOTDATA("XSN4",'suoinghe (2016)'!$A$3,"MA_HT","SKT","MA_QH","DKG")</f>
        <v>0</v>
      </c>
      <c r="AN23" s="22">
        <f ca="1">+GETPIVOTDATA("XSN4",'suoinghe (2016)'!$A$3,"MA_HT","SKT","MA_QH","DDT")</f>
        <v>0</v>
      </c>
      <c r="AO23" s="22">
        <f ca="1">+GETPIVOTDATA("XSN4",'suoinghe (2016)'!$A$3,"MA_HT","SKT","MA_QH","DDL")</f>
        <v>0</v>
      </c>
      <c r="AP23" s="22">
        <f ca="1">+GETPIVOTDATA("XSN4",'suoinghe (2016)'!$A$3,"MA_HT","SKT","MA_QH","DRA")</f>
        <v>0</v>
      </c>
      <c r="AQ23" s="22">
        <f ca="1">+GETPIVOTDATA("XSN4",'suoinghe (2016)'!$A$3,"MA_HT","SKT","MA_QH","ONT")</f>
        <v>0</v>
      </c>
      <c r="AR23" s="22">
        <f ca="1">+GETPIVOTDATA("XSN4",'suoinghe (2016)'!$A$3,"MA_HT","SKT","MA_QH","ODT")</f>
        <v>0</v>
      </c>
      <c r="AS23" s="22">
        <f ca="1">+GETPIVOTDATA("XSN4",'suoinghe (2016)'!$A$3,"MA_HT","SKT","MA_QH","TSC")</f>
        <v>0</v>
      </c>
      <c r="AT23" s="22">
        <f ca="1">+GETPIVOTDATA("XSN4",'suoinghe (2016)'!$A$3,"MA_HT","SKT","MA_QH","DTS")</f>
        <v>0</v>
      </c>
      <c r="AU23" s="22">
        <f ca="1">+GETPIVOTDATA("XSN4",'suoinghe (2016)'!$A$3,"MA_HT","SKT","MA_QH","DNG")</f>
        <v>0</v>
      </c>
      <c r="AV23" s="22">
        <f ca="1">+GETPIVOTDATA("XSN4",'suoinghe (2016)'!$A$3,"MA_HT","SKT","MA_QH","TON")</f>
        <v>0</v>
      </c>
      <c r="AW23" s="22">
        <f ca="1">+GETPIVOTDATA("XSN4",'suoinghe (2016)'!$A$3,"MA_HT","SKT","MA_QH","NTD")</f>
        <v>0</v>
      </c>
      <c r="AX23" s="22">
        <f ca="1">+GETPIVOTDATA("XSN4",'suoinghe (2016)'!$A$3,"MA_HT","SKT","MA_QH","SKX")</f>
        <v>0</v>
      </c>
      <c r="AY23" s="22">
        <f ca="1">+GETPIVOTDATA("XSN4",'suoinghe (2016)'!$A$3,"MA_HT","SKT","MA_QH","DSH")</f>
        <v>0</v>
      </c>
      <c r="AZ23" s="22">
        <f ca="1">+GETPIVOTDATA("XSN4",'suoinghe (2016)'!$A$3,"MA_HT","SKT","MA_QH","DKV")</f>
        <v>0</v>
      </c>
      <c r="BA23" s="89">
        <f ca="1">+GETPIVOTDATA("XSN4",'suoinghe (2016)'!$A$3,"MA_HT","SKT","MA_QH","TIN")</f>
        <v>0</v>
      </c>
      <c r="BB23" s="50">
        <f ca="1">+GETPIVOTDATA("XSN4",'suoinghe (2016)'!$A$3,"MA_HT","SKT","MA_QH","SON")</f>
        <v>0</v>
      </c>
      <c r="BC23" s="50">
        <f ca="1">+GETPIVOTDATA("XSN4",'suoinghe (2016)'!$A$3,"MA_HT","SKT","MA_QH","MNC")</f>
        <v>0</v>
      </c>
      <c r="BD23" s="22">
        <f ca="1">+GETPIVOTDATA("XSN4",'suoinghe (2016)'!$A$3,"MA_HT","SKT","MA_QH","PNK")</f>
        <v>0</v>
      </c>
      <c r="BE23" s="71">
        <f ca="1">+GETPIVOTDATA("XSN4",'suoinghe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+GETPIVOTDATA("XSN4",'suoinghe (2016)'!$A$3,"MA_HT","SKN","MA_QH","LUC")</f>
        <v>0</v>
      </c>
      <c r="H24" s="22">
        <f ca="1">+GETPIVOTDATA("XSN4",'suoinghe (2016)'!$A$3,"MA_HT","SKN","MA_QH","LUK")</f>
        <v>0</v>
      </c>
      <c r="I24" s="22">
        <f ca="1">+GETPIVOTDATA("XSN4",'suoinghe (2016)'!$A$3,"MA_HT","SKN","MA_QH","LUN")</f>
        <v>0</v>
      </c>
      <c r="J24" s="22">
        <f ca="1">+GETPIVOTDATA("XSN4",'suoinghe (2016)'!$A$3,"MA_HT","SKN","MA_QH","HNK")</f>
        <v>0</v>
      </c>
      <c r="K24" s="22">
        <f ca="1">+GETPIVOTDATA("XSN4",'suoinghe (2016)'!$A$3,"MA_HT","SKN","MA_QH","CLN")</f>
        <v>0</v>
      </c>
      <c r="L24" s="22">
        <f ca="1">+GETPIVOTDATA("XSN4",'suoinghe (2016)'!$A$3,"MA_HT","SKN","MA_QH","RSX")</f>
        <v>0</v>
      </c>
      <c r="M24" s="22">
        <f ca="1">+GETPIVOTDATA("XSN4",'suoinghe (2016)'!$A$3,"MA_HT","SKN","MA_QH","RPH")</f>
        <v>0</v>
      </c>
      <c r="N24" s="22">
        <f ca="1">+GETPIVOTDATA("XSN4",'suoinghe (2016)'!$A$3,"MA_HT","SKN","MA_QH","RDD")</f>
        <v>0</v>
      </c>
      <c r="O24" s="22">
        <f ca="1">+GETPIVOTDATA("XSN4",'suoinghe (2016)'!$A$3,"MA_HT","SKN","MA_QH","NTS")</f>
        <v>0</v>
      </c>
      <c r="P24" s="22">
        <f ca="1">+GETPIVOTDATA("XSN4",'suoinghe (2016)'!$A$3,"MA_HT","SKN","MA_QH","LMU")</f>
        <v>0</v>
      </c>
      <c r="Q24" s="22">
        <f ca="1">+GETPIVOTDATA("XSN4",'suoinghe (2016)'!$A$3,"MA_HT","SKN","MA_QH","NKH")</f>
        <v>0</v>
      </c>
      <c r="R24" s="42">
        <f ca="1">SUM(S24:V24,X24:AA24,AN24:BD24)</f>
        <v>0</v>
      </c>
      <c r="S24" s="22">
        <f ca="1">+GETPIVOTDATA("XSN4",'suoinghe (2016)'!$A$3,"MA_HT","SKN","MA_QH","CQP")</f>
        <v>0</v>
      </c>
      <c r="T24" s="22">
        <f ca="1">+GETPIVOTDATA("XSN4",'suoinghe (2016)'!$A$3,"MA_HT","SKN","MA_QH","CAN")</f>
        <v>0</v>
      </c>
      <c r="U24" s="22">
        <f ca="1">+GETPIVOTDATA("XSN4",'suoinghe (2016)'!$A$3,"MA_HT","SKN","MA_QH","SKK")</f>
        <v>0</v>
      </c>
      <c r="V24" s="22">
        <f ca="1">+GETPIVOTDATA("XSN4",'suoinghe (2016)'!$A$3,"MA_HT","SKN","MA_QH","SKT")</f>
        <v>0</v>
      </c>
      <c r="W24" s="43" t="e">
        <f ca="1">$D24-$BF24</f>
        <v>#REF!</v>
      </c>
      <c r="X24" s="22">
        <f ca="1">+GETPIVOTDATA("XSN4",'suoinghe (2016)'!$A$3,"MA_HT","SKN","MA_QH","TMD")</f>
        <v>0</v>
      </c>
      <c r="Y24" s="22">
        <f ca="1">+GETPIVOTDATA("XSN4",'suoinghe (2016)'!$A$3,"MA_HT","SKN","MA_QH","SKC")</f>
        <v>0</v>
      </c>
      <c r="Z24" s="22">
        <f ca="1">+GETPIVOTDATA("XSN4",'suoinghe (2016)'!$A$3,"MA_HT","SKN","MA_QH","SKS")</f>
        <v>0</v>
      </c>
      <c r="AA24" s="52">
        <f ca="1" t="shared" si="12"/>
        <v>0</v>
      </c>
      <c r="AB24" s="22">
        <f ca="1">+GETPIVOTDATA("XSN4",'suoinghe (2016)'!$A$3,"MA_HT","SKN","MA_QH","DGT")</f>
        <v>0</v>
      </c>
      <c r="AC24" s="22">
        <f ca="1">+GETPIVOTDATA("XSN4",'suoinghe (2016)'!$A$3,"MA_HT","SKN","MA_QH","DTL")</f>
        <v>0</v>
      </c>
      <c r="AD24" s="22">
        <f ca="1">+GETPIVOTDATA("XSN4",'suoinghe (2016)'!$A$3,"MA_HT","SKN","MA_QH","DNL")</f>
        <v>0</v>
      </c>
      <c r="AE24" s="22">
        <f ca="1">+GETPIVOTDATA("XSN4",'suoinghe (2016)'!$A$3,"MA_HT","SKN","MA_QH","DBV")</f>
        <v>0</v>
      </c>
      <c r="AF24" s="22">
        <f ca="1">+GETPIVOTDATA("XSN4",'suoinghe (2016)'!$A$3,"MA_HT","SKN","MA_QH","DVH")</f>
        <v>0</v>
      </c>
      <c r="AG24" s="22">
        <f ca="1">+GETPIVOTDATA("XSN4",'suoinghe (2016)'!$A$3,"MA_HT","SKN","MA_QH","DYT")</f>
        <v>0</v>
      </c>
      <c r="AH24" s="22">
        <f ca="1">+GETPIVOTDATA("XSN4",'suoinghe (2016)'!$A$3,"MA_HT","SKN","MA_QH","DGD")</f>
        <v>0</v>
      </c>
      <c r="AI24" s="22">
        <f ca="1">+GETPIVOTDATA("XSN4",'suoinghe (2016)'!$A$3,"MA_HT","SKN","MA_QH","DTT")</f>
        <v>0</v>
      </c>
      <c r="AJ24" s="22">
        <f ca="1">+GETPIVOTDATA("XSN4",'suoinghe (2016)'!$A$3,"MA_HT","SKN","MA_QH","NCK")</f>
        <v>0</v>
      </c>
      <c r="AK24" s="22">
        <f ca="1">+GETPIVOTDATA("XSN4",'suoinghe (2016)'!$A$3,"MA_HT","SKN","MA_QH","DXH")</f>
        <v>0</v>
      </c>
      <c r="AL24" s="22">
        <f ca="1">+GETPIVOTDATA("XSN4",'suoinghe (2016)'!$A$3,"MA_HT","SKN","MA_QH","DCH")</f>
        <v>0</v>
      </c>
      <c r="AM24" s="22">
        <f ca="1">+GETPIVOTDATA("XSN4",'suoinghe (2016)'!$A$3,"MA_HT","SKN","MA_QH","DKG")</f>
        <v>0</v>
      </c>
      <c r="AN24" s="22">
        <f ca="1">+GETPIVOTDATA("XSN4",'suoinghe (2016)'!$A$3,"MA_HT","SKN","MA_QH","DDT")</f>
        <v>0</v>
      </c>
      <c r="AO24" s="22">
        <f ca="1">+GETPIVOTDATA("XSN4",'suoinghe (2016)'!$A$3,"MA_HT","SKN","MA_QH","DDL")</f>
        <v>0</v>
      </c>
      <c r="AP24" s="22">
        <f ca="1">+GETPIVOTDATA("XSN4",'suoinghe (2016)'!$A$3,"MA_HT","SKN","MA_QH","DRA")</f>
        <v>0</v>
      </c>
      <c r="AQ24" s="22">
        <f ca="1">+GETPIVOTDATA("XSN4",'suoinghe (2016)'!$A$3,"MA_HT","SKN","MA_QH","ONT")</f>
        <v>0</v>
      </c>
      <c r="AR24" s="22">
        <f ca="1">+GETPIVOTDATA("XSN4",'suoinghe (2016)'!$A$3,"MA_HT","SKN","MA_QH","ODT")</f>
        <v>0</v>
      </c>
      <c r="AS24" s="22">
        <f ca="1">+GETPIVOTDATA("XSN4",'suoinghe (2016)'!$A$3,"MA_HT","SKN","MA_QH","TSC")</f>
        <v>0</v>
      </c>
      <c r="AT24" s="22">
        <f ca="1">+GETPIVOTDATA("XSN4",'suoinghe (2016)'!$A$3,"MA_HT","SKN","MA_QH","DTS")</f>
        <v>0</v>
      </c>
      <c r="AU24" s="22">
        <f ca="1">+GETPIVOTDATA("XSN4",'suoinghe (2016)'!$A$3,"MA_HT","SKN","MA_QH","DNG")</f>
        <v>0</v>
      </c>
      <c r="AV24" s="22">
        <f ca="1">+GETPIVOTDATA("XSN4",'suoinghe (2016)'!$A$3,"MA_HT","SKN","MA_QH","TON")</f>
        <v>0</v>
      </c>
      <c r="AW24" s="22">
        <f ca="1">+GETPIVOTDATA("XSN4",'suoinghe (2016)'!$A$3,"MA_HT","SKN","MA_QH","NTD")</f>
        <v>0</v>
      </c>
      <c r="AX24" s="22">
        <f ca="1">+GETPIVOTDATA("XSN4",'suoinghe (2016)'!$A$3,"MA_HT","SKN","MA_QH","SKX")</f>
        <v>0</v>
      </c>
      <c r="AY24" s="22">
        <f ca="1">+GETPIVOTDATA("XSN4",'suoinghe (2016)'!$A$3,"MA_HT","SKN","MA_QH","DSH")</f>
        <v>0</v>
      </c>
      <c r="AZ24" s="22">
        <f ca="1">+GETPIVOTDATA("XSN4",'suoinghe (2016)'!$A$3,"MA_HT","SKN","MA_QH","DKV")</f>
        <v>0</v>
      </c>
      <c r="BA24" s="89">
        <f ca="1">+GETPIVOTDATA("XSN4",'suoinghe (2016)'!$A$3,"MA_HT","SKN","MA_QH","TIN")</f>
        <v>0</v>
      </c>
      <c r="BB24" s="50">
        <f ca="1">+GETPIVOTDATA("XSN4",'suoinghe (2016)'!$A$3,"MA_HT","SKN","MA_QH","SON")</f>
        <v>0</v>
      </c>
      <c r="BC24" s="50">
        <f ca="1">+GETPIVOTDATA("XSN4",'suoinghe (2016)'!$A$3,"MA_HT","SKN","MA_QH","MNC")</f>
        <v>0</v>
      </c>
      <c r="BD24" s="22">
        <f ca="1">+GETPIVOTDATA("XSN4",'suoinghe (2016)'!$A$3,"MA_HT","SKN","MA_QH","PNK")</f>
        <v>0</v>
      </c>
      <c r="BE24" s="71">
        <f ca="1">+GETPIVOTDATA("XSN4",'suoinghe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+GETPIVOTDATA("XSN4",'suoinghe (2016)'!$A$3,"MA_HT","TMD","MA_QH","LUC")</f>
        <v>0</v>
      </c>
      <c r="H25" s="22">
        <f ca="1">+GETPIVOTDATA("XSN4",'suoinghe (2016)'!$A$3,"MA_HT","TMD","MA_QH","LUK")</f>
        <v>0</v>
      </c>
      <c r="I25" s="22">
        <f ca="1">+GETPIVOTDATA("XSN4",'suoinghe (2016)'!$A$3,"MA_HT","TMD","MA_QH","LUN")</f>
        <v>0</v>
      </c>
      <c r="J25" s="22">
        <f ca="1">+GETPIVOTDATA("XSN4",'suoinghe (2016)'!$A$3,"MA_HT","TMD","MA_QH","HNK")</f>
        <v>0</v>
      </c>
      <c r="K25" s="22">
        <f ca="1">+GETPIVOTDATA("XSN4",'suoinghe (2016)'!$A$3,"MA_HT","TMD","MA_QH","CLN")</f>
        <v>0</v>
      </c>
      <c r="L25" s="22">
        <f ca="1">+GETPIVOTDATA("XSN4",'suoinghe (2016)'!$A$3,"MA_HT","TMD","MA_QH","RSX")</f>
        <v>0</v>
      </c>
      <c r="M25" s="22">
        <f ca="1">+GETPIVOTDATA("XSN4",'suoinghe (2016)'!$A$3,"MA_HT","TMD","MA_QH","RPH")</f>
        <v>0</v>
      </c>
      <c r="N25" s="22">
        <f ca="1">+GETPIVOTDATA("XSN4",'suoinghe (2016)'!$A$3,"MA_HT","TMD","MA_QH","RDD")</f>
        <v>0</v>
      </c>
      <c r="O25" s="22">
        <f ca="1">+GETPIVOTDATA("XSN4",'suoinghe (2016)'!$A$3,"MA_HT","TMD","MA_QH","NTS")</f>
        <v>0</v>
      </c>
      <c r="P25" s="22">
        <f ca="1">+GETPIVOTDATA("XSN4",'suoinghe (2016)'!$A$3,"MA_HT","TMD","MA_QH","LMU")</f>
        <v>0</v>
      </c>
      <c r="Q25" s="22">
        <f ca="1">+GETPIVOTDATA("XSN4",'suoinghe (2016)'!$A$3,"MA_HT","TMD","MA_QH","NKH")</f>
        <v>0</v>
      </c>
      <c r="R25" s="42">
        <f ca="1">SUM(S25:W25,Y25:AA25,AN25:BD25)</f>
        <v>0</v>
      </c>
      <c r="S25" s="22">
        <f ca="1">+GETPIVOTDATA("XSN4",'suoinghe (2016)'!$A$3,"MA_HT","TMD","MA_QH","CQP")</f>
        <v>0</v>
      </c>
      <c r="T25" s="22">
        <f ca="1">+GETPIVOTDATA("XSN4",'suoinghe (2016)'!$A$3,"MA_HT","TMD","MA_QH","CAN")</f>
        <v>0</v>
      </c>
      <c r="U25" s="22">
        <f ca="1">+GETPIVOTDATA("XSN4",'suoinghe (2016)'!$A$3,"MA_HT","TMD","MA_QH","SKK")</f>
        <v>0</v>
      </c>
      <c r="V25" s="22">
        <f ca="1">+GETPIVOTDATA("XSN4",'suoinghe (2016)'!$A$3,"MA_HT","TMD","MA_QH","SKT")</f>
        <v>0</v>
      </c>
      <c r="W25" s="22">
        <f ca="1">+GETPIVOTDATA("XSN4",'suoinghe (2016)'!$A$3,"MA_HT","TMD","MA_QH","SKN")</f>
        <v>0</v>
      </c>
      <c r="X25" s="43" t="e">
        <f ca="1">$D25-$BF25</f>
        <v>#REF!</v>
      </c>
      <c r="Y25" s="22">
        <f ca="1">+GETPIVOTDATA("XSN4",'suoinghe (2016)'!$A$3,"MA_HT","TMD","MA_QH","SKC")</f>
        <v>0</v>
      </c>
      <c r="Z25" s="22">
        <f ca="1">+GETPIVOTDATA("XSN4",'suoinghe (2016)'!$A$3,"MA_HT","TMD","MA_QH","SKS")</f>
        <v>0</v>
      </c>
      <c r="AA25" s="52">
        <f ca="1" t="shared" si="12"/>
        <v>0</v>
      </c>
      <c r="AB25" s="22">
        <f ca="1">+GETPIVOTDATA("XSN4",'suoinghe (2016)'!$A$3,"MA_HT","TMD","MA_QH","DGT")</f>
        <v>0</v>
      </c>
      <c r="AC25" s="22">
        <f ca="1">+GETPIVOTDATA("XSN4",'suoinghe (2016)'!$A$3,"MA_HT","TMD","MA_QH","DTL")</f>
        <v>0</v>
      </c>
      <c r="AD25" s="22">
        <f ca="1">+GETPIVOTDATA("XSN4",'suoinghe (2016)'!$A$3,"MA_HT","TMD","MA_QH","DNL")</f>
        <v>0</v>
      </c>
      <c r="AE25" s="22">
        <f ca="1">+GETPIVOTDATA("XSN4",'suoinghe (2016)'!$A$3,"MA_HT","TMD","MA_QH","DBV")</f>
        <v>0</v>
      </c>
      <c r="AF25" s="22">
        <f ca="1">+GETPIVOTDATA("XSN4",'suoinghe (2016)'!$A$3,"MA_HT","TMD","MA_QH","DVH")</f>
        <v>0</v>
      </c>
      <c r="AG25" s="22">
        <f ca="1">+GETPIVOTDATA("XSN4",'suoinghe (2016)'!$A$3,"MA_HT","TMD","MA_QH","DYT")</f>
        <v>0</v>
      </c>
      <c r="AH25" s="22">
        <f ca="1">+GETPIVOTDATA("XSN4",'suoinghe (2016)'!$A$3,"MA_HT","TMD","MA_QH","DGD")</f>
        <v>0</v>
      </c>
      <c r="AI25" s="22">
        <f ca="1">+GETPIVOTDATA("XSN4",'suoinghe (2016)'!$A$3,"MA_HT","TMD","MA_QH","DTT")</f>
        <v>0</v>
      </c>
      <c r="AJ25" s="22">
        <f ca="1">+GETPIVOTDATA("XSN4",'suoinghe (2016)'!$A$3,"MA_HT","TMD","MA_QH","NCK")</f>
        <v>0</v>
      </c>
      <c r="AK25" s="22">
        <f ca="1">+GETPIVOTDATA("XSN4",'suoinghe (2016)'!$A$3,"MA_HT","TMD","MA_QH","DXH")</f>
        <v>0</v>
      </c>
      <c r="AL25" s="22">
        <f ca="1">+GETPIVOTDATA("XSN4",'suoinghe (2016)'!$A$3,"MA_HT","TMD","MA_QH","DCH")</f>
        <v>0</v>
      </c>
      <c r="AM25" s="22">
        <f ca="1">+GETPIVOTDATA("XSN4",'suoinghe (2016)'!$A$3,"MA_HT","TMD","MA_QH","DKG")</f>
        <v>0</v>
      </c>
      <c r="AN25" s="22">
        <f ca="1">+GETPIVOTDATA("XSN4",'suoinghe (2016)'!$A$3,"MA_HT","TMD","MA_QH","DDT")</f>
        <v>0</v>
      </c>
      <c r="AO25" s="22">
        <f ca="1">+GETPIVOTDATA("XSN4",'suoinghe (2016)'!$A$3,"MA_HT","TMD","MA_QH","DDL")</f>
        <v>0</v>
      </c>
      <c r="AP25" s="22">
        <f ca="1">+GETPIVOTDATA("XSN4",'suoinghe (2016)'!$A$3,"MA_HT","TMD","MA_QH","DRA")</f>
        <v>0</v>
      </c>
      <c r="AQ25" s="22">
        <f ca="1">+GETPIVOTDATA("XSN4",'suoinghe (2016)'!$A$3,"MA_HT","TMD","MA_QH","ONT")</f>
        <v>0</v>
      </c>
      <c r="AR25" s="22">
        <f ca="1">+GETPIVOTDATA("XSN4",'suoinghe (2016)'!$A$3,"MA_HT","TMD","MA_QH","ODT")</f>
        <v>0</v>
      </c>
      <c r="AS25" s="22">
        <f ca="1">+GETPIVOTDATA("XSN4",'suoinghe (2016)'!$A$3,"MA_HT","TMD","MA_QH","TSC")</f>
        <v>0</v>
      </c>
      <c r="AT25" s="22">
        <f ca="1">+GETPIVOTDATA("XSN4",'suoinghe (2016)'!$A$3,"MA_HT","TMD","MA_QH","DTS")</f>
        <v>0</v>
      </c>
      <c r="AU25" s="22">
        <f ca="1">+GETPIVOTDATA("XSN4",'suoinghe (2016)'!$A$3,"MA_HT","TMD","MA_QH","DNG")</f>
        <v>0</v>
      </c>
      <c r="AV25" s="22">
        <f ca="1">+GETPIVOTDATA("XSN4",'suoinghe (2016)'!$A$3,"MA_HT","TMD","MA_QH","TON")</f>
        <v>0</v>
      </c>
      <c r="AW25" s="22">
        <f ca="1">+GETPIVOTDATA("XSN4",'suoinghe (2016)'!$A$3,"MA_HT","TMD","MA_QH","NTD")</f>
        <v>0</v>
      </c>
      <c r="AX25" s="22">
        <f ca="1">+GETPIVOTDATA("XSN4",'suoinghe (2016)'!$A$3,"MA_HT","TMD","MA_QH","SKX")</f>
        <v>0</v>
      </c>
      <c r="AY25" s="22">
        <f ca="1">+GETPIVOTDATA("XSN4",'suoinghe (2016)'!$A$3,"MA_HT","TMD","MA_QH","DSH")</f>
        <v>0</v>
      </c>
      <c r="AZ25" s="22">
        <f ca="1">+GETPIVOTDATA("XSN4",'suoinghe (2016)'!$A$3,"MA_HT","TMD","MA_QH","DKV")</f>
        <v>0</v>
      </c>
      <c r="BA25" s="89">
        <f ca="1">+GETPIVOTDATA("XSN4",'suoinghe (2016)'!$A$3,"MA_HT","TMD","MA_QH","TIN")</f>
        <v>0</v>
      </c>
      <c r="BB25" s="50">
        <f ca="1">+GETPIVOTDATA("XSN4",'suoinghe (2016)'!$A$3,"MA_HT","TMD","MA_QH","SON")</f>
        <v>0</v>
      </c>
      <c r="BC25" s="50">
        <f ca="1">+GETPIVOTDATA("XSN4",'suoinghe (2016)'!$A$3,"MA_HT","TMD","MA_QH","MNC")</f>
        <v>0</v>
      </c>
      <c r="BD25" s="22">
        <f ca="1">+GETPIVOTDATA("XSN4",'suoinghe (2016)'!$A$3,"MA_HT","TMD","MA_QH","PNK")</f>
        <v>0</v>
      </c>
      <c r="BE25" s="71">
        <f ca="1">+GETPIVOTDATA("XSN4",'suoinghe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+GETPIVOTDATA("XSN4",'suoinghe (2016)'!$A$3,"MA_HT","SKC","MA_QH","LUC")</f>
        <v>0</v>
      </c>
      <c r="H26" s="22">
        <f ca="1">+GETPIVOTDATA("XSN4",'suoinghe (2016)'!$A$3,"MA_HT","SKC","MA_QH","LUK")</f>
        <v>0</v>
      </c>
      <c r="I26" s="22">
        <f ca="1">+GETPIVOTDATA("XSN4",'suoinghe (2016)'!$A$3,"MA_HT","SKC","MA_QH","LUN")</f>
        <v>0</v>
      </c>
      <c r="J26" s="22">
        <f ca="1">+GETPIVOTDATA("XSN4",'suoinghe (2016)'!$A$3,"MA_HT","SKC","MA_QH","HNK")</f>
        <v>0</v>
      </c>
      <c r="K26" s="22">
        <f ca="1">+GETPIVOTDATA("XSN4",'suoinghe (2016)'!$A$3,"MA_HT","SKC","MA_QH","CLN")</f>
        <v>0</v>
      </c>
      <c r="L26" s="22">
        <f ca="1">+GETPIVOTDATA("XSN4",'suoinghe (2016)'!$A$3,"MA_HT","SKC","MA_QH","RSX")</f>
        <v>0</v>
      </c>
      <c r="M26" s="22">
        <f ca="1">+GETPIVOTDATA("XSN4",'suoinghe (2016)'!$A$3,"MA_HT","SKC","MA_QH","RPH")</f>
        <v>0</v>
      </c>
      <c r="N26" s="22">
        <f ca="1">+GETPIVOTDATA("XSN4",'suoinghe (2016)'!$A$3,"MA_HT","SKC","MA_QH","RDD")</f>
        <v>0</v>
      </c>
      <c r="O26" s="22">
        <f ca="1">+GETPIVOTDATA("XSN4",'suoinghe (2016)'!$A$3,"MA_HT","SKC","MA_QH","NTS")</f>
        <v>0</v>
      </c>
      <c r="P26" s="22">
        <f ca="1">+GETPIVOTDATA("XSN4",'suoinghe (2016)'!$A$3,"MA_HT","SKC","MA_QH","LMU")</f>
        <v>0</v>
      </c>
      <c r="Q26" s="22">
        <f ca="1">+GETPIVOTDATA("XSN4",'suoinghe (2016)'!$A$3,"MA_HT","SKC","MA_QH","NKH")</f>
        <v>0</v>
      </c>
      <c r="R26" s="42">
        <f ca="1">SUM(S26:X26,Z26,AN26:BD26)</f>
        <v>0</v>
      </c>
      <c r="S26" s="22">
        <f ca="1">+GETPIVOTDATA("XSN4",'suoinghe (2016)'!$A$3,"MA_HT","SKC","MA_QH","CQP")</f>
        <v>0</v>
      </c>
      <c r="T26" s="22">
        <f ca="1">+GETPIVOTDATA("XSN4",'suoinghe (2016)'!$A$3,"MA_HT","SKC","MA_QH","CAN")</f>
        <v>0</v>
      </c>
      <c r="U26" s="22">
        <f ca="1">+GETPIVOTDATA("XSN4",'suoinghe (2016)'!$A$3,"MA_HT","SKC","MA_QH","SKK")</f>
        <v>0</v>
      </c>
      <c r="V26" s="22">
        <f ca="1">+GETPIVOTDATA("XSN4",'suoinghe (2016)'!$A$3,"MA_HT","SKC","MA_QH","SKT")</f>
        <v>0</v>
      </c>
      <c r="W26" s="22">
        <f ca="1">+GETPIVOTDATA("XSN4",'suoinghe (2016)'!$A$3,"MA_HT","SKC","MA_QH","SKN")</f>
        <v>0</v>
      </c>
      <c r="X26" s="22">
        <f ca="1">+GETPIVOTDATA("XSN4",'suoinghe (2016)'!$A$3,"MA_HT","SKC","MA_QH","TMD")</f>
        <v>0</v>
      </c>
      <c r="Y26" s="43" t="e">
        <f ca="1">$D26-$BF26</f>
        <v>#REF!</v>
      </c>
      <c r="Z26" s="22">
        <f ca="1">+GETPIVOTDATA("XSN4",'suoinghe (2016)'!$A$3,"MA_HT","SKC","MA_QH","SKS")</f>
        <v>0</v>
      </c>
      <c r="AA26" s="52">
        <f ca="1" t="shared" si="12"/>
        <v>0</v>
      </c>
      <c r="AB26" s="22">
        <f ca="1">+GETPIVOTDATA("XSN4",'suoinghe (2016)'!$A$3,"MA_HT","SKC","MA_QH","DGT")</f>
        <v>0</v>
      </c>
      <c r="AC26" s="22">
        <f ca="1">+GETPIVOTDATA("XSN4",'suoinghe (2016)'!$A$3,"MA_HT","SKC","MA_QH","DTL")</f>
        <v>0</v>
      </c>
      <c r="AD26" s="22">
        <f ca="1">+GETPIVOTDATA("XSN4",'suoinghe (2016)'!$A$3,"MA_HT","SKC","MA_QH","DNL")</f>
        <v>0</v>
      </c>
      <c r="AE26" s="22">
        <f ca="1">+GETPIVOTDATA("XSN4",'suoinghe (2016)'!$A$3,"MA_HT","SKC","MA_QH","DBV")</f>
        <v>0</v>
      </c>
      <c r="AF26" s="22">
        <f ca="1">+GETPIVOTDATA("XSN4",'suoinghe (2016)'!$A$3,"MA_HT","SKC","MA_QH","DVH")</f>
        <v>0</v>
      </c>
      <c r="AG26" s="22">
        <f ca="1">+GETPIVOTDATA("XSN4",'suoinghe (2016)'!$A$3,"MA_HT","SKC","MA_QH","DYT")</f>
        <v>0</v>
      </c>
      <c r="AH26" s="22">
        <f ca="1">+GETPIVOTDATA("XSN4",'suoinghe (2016)'!$A$3,"MA_HT","SKC","MA_QH","DGD")</f>
        <v>0</v>
      </c>
      <c r="AI26" s="22">
        <f ca="1">+GETPIVOTDATA("XSN4",'suoinghe (2016)'!$A$3,"MA_HT","SKC","MA_QH","DTT")</f>
        <v>0</v>
      </c>
      <c r="AJ26" s="22">
        <f ca="1">+GETPIVOTDATA("XSN4",'suoinghe (2016)'!$A$3,"MA_HT","SKC","MA_QH","NCK")</f>
        <v>0</v>
      </c>
      <c r="AK26" s="22">
        <f ca="1">+GETPIVOTDATA("XSN4",'suoinghe (2016)'!$A$3,"MA_HT","SKC","MA_QH","DXH")</f>
        <v>0</v>
      </c>
      <c r="AL26" s="22">
        <f ca="1">+GETPIVOTDATA("XSN4",'suoinghe (2016)'!$A$3,"MA_HT","SKC","MA_QH","DCH")</f>
        <v>0</v>
      </c>
      <c r="AM26" s="22">
        <f ca="1">+GETPIVOTDATA("XSN4",'suoinghe (2016)'!$A$3,"MA_HT","SKC","MA_QH","DKG")</f>
        <v>0</v>
      </c>
      <c r="AN26" s="22">
        <f ca="1">+GETPIVOTDATA("XSN4",'suoinghe (2016)'!$A$3,"MA_HT","SKC","MA_QH","DDT")</f>
        <v>0</v>
      </c>
      <c r="AO26" s="22">
        <f ca="1">+GETPIVOTDATA("XSN4",'suoinghe (2016)'!$A$3,"MA_HT","SKC","MA_QH","DDL")</f>
        <v>0</v>
      </c>
      <c r="AP26" s="22">
        <f ca="1">+GETPIVOTDATA("XSN4",'suoinghe (2016)'!$A$3,"MA_HT","SKC","MA_QH","DRA")</f>
        <v>0</v>
      </c>
      <c r="AQ26" s="22">
        <f ca="1">+GETPIVOTDATA("XSN4",'suoinghe (2016)'!$A$3,"MA_HT","SKC","MA_QH","ONT")</f>
        <v>0</v>
      </c>
      <c r="AR26" s="22">
        <f ca="1">+GETPIVOTDATA("XSN4",'suoinghe (2016)'!$A$3,"MA_HT","SKC","MA_QH","ODT")</f>
        <v>0</v>
      </c>
      <c r="AS26" s="22">
        <f ca="1">+GETPIVOTDATA("XSN4",'suoinghe (2016)'!$A$3,"MA_HT","SKC","MA_QH","TSC")</f>
        <v>0</v>
      </c>
      <c r="AT26" s="22">
        <f ca="1">+GETPIVOTDATA("XSN4",'suoinghe (2016)'!$A$3,"MA_HT","SKC","MA_QH","DTS")</f>
        <v>0</v>
      </c>
      <c r="AU26" s="22">
        <f ca="1">+GETPIVOTDATA("XSN4",'suoinghe (2016)'!$A$3,"MA_HT","SKC","MA_QH","DNG")</f>
        <v>0</v>
      </c>
      <c r="AV26" s="22">
        <f ca="1">+GETPIVOTDATA("XSN4",'suoinghe (2016)'!$A$3,"MA_HT","SKC","MA_QH","TON")</f>
        <v>0</v>
      </c>
      <c r="AW26" s="22">
        <f ca="1">+GETPIVOTDATA("XSN4",'suoinghe (2016)'!$A$3,"MA_HT","SKC","MA_QH","NTD")</f>
        <v>0</v>
      </c>
      <c r="AX26" s="22">
        <f ca="1">+GETPIVOTDATA("XSN4",'suoinghe (2016)'!$A$3,"MA_HT","SKC","MA_QH","SKX")</f>
        <v>0</v>
      </c>
      <c r="AY26" s="22">
        <f ca="1">+GETPIVOTDATA("XSN4",'suoinghe (2016)'!$A$3,"MA_HT","SKC","MA_QH","DSH")</f>
        <v>0</v>
      </c>
      <c r="AZ26" s="22">
        <f ca="1">+GETPIVOTDATA("XSN4",'suoinghe (2016)'!$A$3,"MA_HT","SKC","MA_QH","DKV")</f>
        <v>0</v>
      </c>
      <c r="BA26" s="89">
        <f ca="1">+GETPIVOTDATA("XSN4",'suoinghe (2016)'!$A$3,"MA_HT","SKC","MA_QH","TIN")</f>
        <v>0</v>
      </c>
      <c r="BB26" s="50">
        <f ca="1">+GETPIVOTDATA("XSN4",'suoinghe (2016)'!$A$3,"MA_HT","SKC","MA_QH","SON")</f>
        <v>0</v>
      </c>
      <c r="BC26" s="50">
        <f ca="1">+GETPIVOTDATA("XSN4",'suoinghe (2016)'!$A$3,"MA_HT","SKC","MA_QH","MNC")</f>
        <v>0</v>
      </c>
      <c r="BD26" s="22">
        <f ca="1">+GETPIVOTDATA("XSN4",'suoinghe (2016)'!$A$3,"MA_HT","SKC","MA_QH","PNK")</f>
        <v>0</v>
      </c>
      <c r="BE26" s="71">
        <f ca="1">+GETPIVOTDATA("XSN4",'suoinghe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+GETPIVOTDATA("XSN4",'suoinghe (2016)'!$A$3,"MA_HT","SKS","MA_QH","LUC")</f>
        <v>0</v>
      </c>
      <c r="H27" s="22">
        <f ca="1">+GETPIVOTDATA("XSN4",'suoinghe (2016)'!$A$3,"MA_HT","SKS","MA_QH","LUK")</f>
        <v>0</v>
      </c>
      <c r="I27" s="22">
        <f ca="1">+GETPIVOTDATA("XSN4",'suoinghe (2016)'!$A$3,"MA_HT","SKS","MA_QH","LUN")</f>
        <v>0</v>
      </c>
      <c r="J27" s="22">
        <f ca="1">+GETPIVOTDATA("XSN4",'suoinghe (2016)'!$A$3,"MA_HT","SKS","MA_QH","HNK")</f>
        <v>0</v>
      </c>
      <c r="K27" s="22">
        <f ca="1">+GETPIVOTDATA("XSN4",'suoinghe (2016)'!$A$3,"MA_HT","SKS","MA_QH","CLN")</f>
        <v>0</v>
      </c>
      <c r="L27" s="22">
        <f ca="1">+GETPIVOTDATA("XSN4",'suoinghe (2016)'!$A$3,"MA_HT","SKS","MA_QH","RSX")</f>
        <v>0</v>
      </c>
      <c r="M27" s="22">
        <f ca="1">+GETPIVOTDATA("XSN4",'suoinghe (2016)'!$A$3,"MA_HT","SKS","MA_QH","RPH")</f>
        <v>0</v>
      </c>
      <c r="N27" s="22">
        <f ca="1">+GETPIVOTDATA("XSN4",'suoinghe (2016)'!$A$3,"MA_HT","SKS","MA_QH","RDD")</f>
        <v>0</v>
      </c>
      <c r="O27" s="22">
        <f ca="1">+GETPIVOTDATA("XSN4",'suoinghe (2016)'!$A$3,"MA_HT","SKS","MA_QH","NTS")</f>
        <v>0</v>
      </c>
      <c r="P27" s="22">
        <f ca="1">+GETPIVOTDATA("XSN4",'suoinghe (2016)'!$A$3,"MA_HT","SKS","MA_QH","LMU")</f>
        <v>0</v>
      </c>
      <c r="Q27" s="22">
        <f ca="1">+GETPIVOTDATA("XSN4",'suoinghe (2016)'!$A$3,"MA_HT","SKS","MA_QH","NKH")</f>
        <v>0</v>
      </c>
      <c r="R27" s="42">
        <f ca="1">SUM(S27:Y27,AA27,AN27:BD27)</f>
        <v>0</v>
      </c>
      <c r="S27" s="22">
        <f ca="1">+GETPIVOTDATA("XSN4",'suoinghe (2016)'!$A$3,"MA_HT","SKS","MA_QH","CQP")</f>
        <v>0</v>
      </c>
      <c r="T27" s="22">
        <f ca="1">+GETPIVOTDATA("XSN4",'suoinghe (2016)'!$A$3,"MA_HT","SKS","MA_QH","CAN")</f>
        <v>0</v>
      </c>
      <c r="U27" s="22">
        <f ca="1">+GETPIVOTDATA("XSN4",'suoinghe (2016)'!$A$3,"MA_HT","SKS","MA_QH","SKK")</f>
        <v>0</v>
      </c>
      <c r="V27" s="22">
        <f ca="1">+GETPIVOTDATA("XSN4",'suoinghe (2016)'!$A$3,"MA_HT","SKS","MA_QH","SKT")</f>
        <v>0</v>
      </c>
      <c r="W27" s="22">
        <f ca="1">+GETPIVOTDATA("XSN4",'suoinghe (2016)'!$A$3,"MA_HT","SKS","MA_QH","SKN")</f>
        <v>0</v>
      </c>
      <c r="X27" s="22">
        <f ca="1">+GETPIVOTDATA("XSN4",'suoinghe (2016)'!$A$3,"MA_HT","SKS","MA_QH","TMD")</f>
        <v>0</v>
      </c>
      <c r="Y27" s="22">
        <f ca="1">+GETPIVOTDATA("XSN4",'suoinghe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+GETPIVOTDATA("XSN4",'suoinghe (2016)'!$A$3,"MA_HT","SKS","MA_QH","DGT")</f>
        <v>0</v>
      </c>
      <c r="AC27" s="22">
        <f ca="1">+GETPIVOTDATA("XSN4",'suoinghe (2016)'!$A$3,"MA_HT","SKS","MA_QH","DTL")</f>
        <v>0</v>
      </c>
      <c r="AD27" s="22">
        <f ca="1">+GETPIVOTDATA("XSN4",'suoinghe (2016)'!$A$3,"MA_HT","SKS","MA_QH","DNL")</f>
        <v>0</v>
      </c>
      <c r="AE27" s="22">
        <f ca="1">+GETPIVOTDATA("XSN4",'suoinghe (2016)'!$A$3,"MA_HT","SKS","MA_QH","DBV")</f>
        <v>0</v>
      </c>
      <c r="AF27" s="22">
        <f ca="1">+GETPIVOTDATA("XSN4",'suoinghe (2016)'!$A$3,"MA_HT","SKS","MA_QH","DVH")</f>
        <v>0</v>
      </c>
      <c r="AG27" s="22">
        <f ca="1">+GETPIVOTDATA("XSN4",'suoinghe (2016)'!$A$3,"MA_HT","SKS","MA_QH","DYT")</f>
        <v>0</v>
      </c>
      <c r="AH27" s="22">
        <f ca="1">+GETPIVOTDATA("XSN4",'suoinghe (2016)'!$A$3,"MA_HT","SKS","MA_QH","DGD")</f>
        <v>0</v>
      </c>
      <c r="AI27" s="22">
        <f ca="1">+GETPIVOTDATA("XSN4",'suoinghe (2016)'!$A$3,"MA_HT","SKS","MA_QH","DTT")</f>
        <v>0</v>
      </c>
      <c r="AJ27" s="22">
        <f ca="1">+GETPIVOTDATA("XSN4",'suoinghe (2016)'!$A$3,"MA_HT","SKS","MA_QH","NCK")</f>
        <v>0</v>
      </c>
      <c r="AK27" s="22">
        <f ca="1">+GETPIVOTDATA("XSN4",'suoinghe (2016)'!$A$3,"MA_HT","SKS","MA_QH","DXH")</f>
        <v>0</v>
      </c>
      <c r="AL27" s="22">
        <f ca="1">+GETPIVOTDATA("XSN4",'suoinghe (2016)'!$A$3,"MA_HT","SKS","MA_QH","DCH")</f>
        <v>0</v>
      </c>
      <c r="AM27" s="22">
        <f ca="1">+GETPIVOTDATA("XSN4",'suoinghe (2016)'!$A$3,"MA_HT","SKS","MA_QH","DKG")</f>
        <v>0</v>
      </c>
      <c r="AN27" s="22">
        <f ca="1">+GETPIVOTDATA("XSN4",'suoinghe (2016)'!$A$3,"MA_HT","SKS","MA_QH","DDT")</f>
        <v>0</v>
      </c>
      <c r="AO27" s="22">
        <f ca="1">+GETPIVOTDATA("XSN4",'suoinghe (2016)'!$A$3,"MA_HT","SKS","MA_QH","DDL")</f>
        <v>0</v>
      </c>
      <c r="AP27" s="22">
        <f ca="1">+GETPIVOTDATA("XSN4",'suoinghe (2016)'!$A$3,"MA_HT","SKS","MA_QH","DRA")</f>
        <v>0</v>
      </c>
      <c r="AQ27" s="22">
        <f ca="1">+GETPIVOTDATA("XSN4",'suoinghe (2016)'!$A$3,"MA_HT","SKS","MA_QH","ONT")</f>
        <v>0</v>
      </c>
      <c r="AR27" s="22">
        <f ca="1">+GETPIVOTDATA("XSN4",'suoinghe (2016)'!$A$3,"MA_HT","SKS","MA_QH","ODT")</f>
        <v>0</v>
      </c>
      <c r="AS27" s="22">
        <f ca="1">+GETPIVOTDATA("XSN4",'suoinghe (2016)'!$A$3,"MA_HT","SKS","MA_QH","TSC")</f>
        <v>0</v>
      </c>
      <c r="AT27" s="22">
        <f ca="1">+GETPIVOTDATA("XSN4",'suoinghe (2016)'!$A$3,"MA_HT","SKS","MA_QH","DTS")</f>
        <v>0</v>
      </c>
      <c r="AU27" s="22">
        <f ca="1">+GETPIVOTDATA("XSN4",'suoinghe (2016)'!$A$3,"MA_HT","SKS","MA_QH","DNG")</f>
        <v>0</v>
      </c>
      <c r="AV27" s="22">
        <f ca="1">+GETPIVOTDATA("XSN4",'suoinghe (2016)'!$A$3,"MA_HT","SKS","MA_QH","TON")</f>
        <v>0</v>
      </c>
      <c r="AW27" s="22">
        <f ca="1">+GETPIVOTDATA("XSN4",'suoinghe (2016)'!$A$3,"MA_HT","SKS","MA_QH","NTD")</f>
        <v>0</v>
      </c>
      <c r="AX27" s="22">
        <f ca="1">+GETPIVOTDATA("XSN4",'suoinghe (2016)'!$A$3,"MA_HT","SKS","MA_QH","SKX")</f>
        <v>0</v>
      </c>
      <c r="AY27" s="22">
        <f ca="1">+GETPIVOTDATA("XSN4",'suoinghe (2016)'!$A$3,"MA_HT","SKS","MA_QH","DSH")</f>
        <v>0</v>
      </c>
      <c r="AZ27" s="22">
        <f ca="1">+GETPIVOTDATA("XSN4",'suoinghe (2016)'!$A$3,"MA_HT","SKS","MA_QH","DKV")</f>
        <v>0</v>
      </c>
      <c r="BA27" s="89">
        <f ca="1">+GETPIVOTDATA("XSN4",'suoinghe (2016)'!$A$3,"MA_HT","SKS","MA_QH","TIN")</f>
        <v>0</v>
      </c>
      <c r="BB27" s="50">
        <f ca="1">+GETPIVOTDATA("XSN4",'suoinghe (2016)'!$A$3,"MA_HT","SKS","MA_QH","SON")</f>
        <v>0</v>
      </c>
      <c r="BC27" s="50">
        <f ca="1">+GETPIVOTDATA("XSN4",'suoinghe (2016)'!$A$3,"MA_HT","SKS","MA_QH","MNC")</f>
        <v>0</v>
      </c>
      <c r="BD27" s="22">
        <f ca="1">+GETPIVOTDATA("XSN4",'suoinghe (2016)'!$A$3,"MA_HT","SKS","MA_QH","PNK")</f>
        <v>0</v>
      </c>
      <c r="BE27" s="71">
        <f ca="1">+GETPIVOTDATA("XSN4",'suoinghe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+GETPIVOTDATA("XSN4",'suoinghe (2016)'!$A$3,"MA_HT","DGT","MA_QH","LUC")</f>
        <v>0</v>
      </c>
      <c r="H29" s="50">
        <f ca="1">+GETPIVOTDATA("XSN4",'suoinghe (2016)'!$A$3,"MA_HT","DGT","MA_QH","LUK")</f>
        <v>0</v>
      </c>
      <c r="I29" s="50">
        <f ca="1">+GETPIVOTDATA("XSN4",'suoinghe (2016)'!$A$3,"MA_HT","DGT","MA_QH","LUN")</f>
        <v>0</v>
      </c>
      <c r="J29" s="50">
        <f ca="1">+GETPIVOTDATA("XSN4",'suoinghe (2016)'!$A$3,"MA_HT","DGT","MA_QH","HNK")</f>
        <v>0</v>
      </c>
      <c r="K29" s="50">
        <f ca="1">+GETPIVOTDATA("XSN4",'suoinghe (2016)'!$A$3,"MA_HT","DGT","MA_QH","CLN")</f>
        <v>0</v>
      </c>
      <c r="L29" s="50">
        <f ca="1">+GETPIVOTDATA("XSN4",'suoinghe (2016)'!$A$3,"MA_HT","DGT","MA_QH","RSX")</f>
        <v>0</v>
      </c>
      <c r="M29" s="50">
        <f ca="1">+GETPIVOTDATA("XSN4",'suoinghe (2016)'!$A$3,"MA_HT","DGT","MA_QH","RPH")</f>
        <v>0</v>
      </c>
      <c r="N29" s="50">
        <f ca="1">+GETPIVOTDATA("XSN4",'suoinghe (2016)'!$A$3,"MA_HT","DGT","MA_QH","RDD")</f>
        <v>0</v>
      </c>
      <c r="O29" s="50">
        <f ca="1">+GETPIVOTDATA("XSN4",'suoinghe (2016)'!$A$3,"MA_HT","DGT","MA_QH","NTS")</f>
        <v>0</v>
      </c>
      <c r="P29" s="50">
        <f ca="1">+GETPIVOTDATA("XSN4",'suoinghe (2016)'!$A$3,"MA_HT","DGT","MA_QH","LMU")</f>
        <v>0</v>
      </c>
      <c r="Q29" s="50">
        <f ca="1">+GETPIVOTDATA("XSN4",'suoinghe (2016)'!$A$3,"MA_HT","DGT","MA_QH","NKH")</f>
        <v>0</v>
      </c>
      <c r="R29" s="48">
        <f ca="1">SUM(S29:AA29,AN29:BD29)</f>
        <v>0</v>
      </c>
      <c r="S29" s="50">
        <f ca="1">+GETPIVOTDATA("XSN4",'suoinghe (2016)'!$A$3,"MA_HT","DGT","MA_QH","CQP")</f>
        <v>0</v>
      </c>
      <c r="T29" s="50">
        <f ca="1">+GETPIVOTDATA("XSN4",'suoinghe (2016)'!$A$3,"MA_HT","DGT","MA_QH","CAN")</f>
        <v>0</v>
      </c>
      <c r="U29" s="50">
        <f ca="1">+GETPIVOTDATA("XSN4",'suoinghe (2016)'!$A$3,"MA_HT","DGT","MA_QH","SKK")</f>
        <v>0</v>
      </c>
      <c r="V29" s="50">
        <f ca="1">+GETPIVOTDATA("XSN4",'suoinghe (2016)'!$A$3,"MA_HT","DGT","MA_QH","SKT")</f>
        <v>0</v>
      </c>
      <c r="W29" s="50">
        <f ca="1">+GETPIVOTDATA("XSN4",'suoinghe (2016)'!$A$3,"MA_HT","DGT","MA_QH","SKN")</f>
        <v>0</v>
      </c>
      <c r="X29" s="50">
        <f ca="1">+GETPIVOTDATA("XSN4",'suoinghe (2016)'!$A$3,"MA_HT","DGT","MA_QH","TMD")</f>
        <v>0</v>
      </c>
      <c r="Y29" s="50">
        <f ca="1">+GETPIVOTDATA("XSN4",'suoinghe (2016)'!$A$3,"MA_HT","DGT","MA_QH","SKC")</f>
        <v>0</v>
      </c>
      <c r="Z29" s="50">
        <f ca="1">+GETPIVOTDATA("XSN4",'suoinghe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+GETPIVOTDATA("XSN4",'suoinghe (2016)'!$A$3,"MA_HT","DGT","MA_QH","DTL")</f>
        <v>0</v>
      </c>
      <c r="AD29" s="50">
        <f ca="1">+GETPIVOTDATA("XSN4",'suoinghe (2016)'!$A$3,"MA_HT","DGT","MA_QH","DNL")</f>
        <v>0</v>
      </c>
      <c r="AE29" s="50">
        <f ca="1">+GETPIVOTDATA("XSN4",'suoinghe (2016)'!$A$3,"MA_HT","DGT","MA_QH","DBV")</f>
        <v>0</v>
      </c>
      <c r="AF29" s="50">
        <f ca="1">+GETPIVOTDATA("XSN4",'suoinghe (2016)'!$A$3,"MA_HT","DGT","MA_QH","DVH")</f>
        <v>0</v>
      </c>
      <c r="AG29" s="50">
        <f ca="1">+GETPIVOTDATA("XSN4",'suoinghe (2016)'!$A$3,"MA_HT","DGT","MA_QH","DYT")</f>
        <v>0</v>
      </c>
      <c r="AH29" s="50">
        <f ca="1">+GETPIVOTDATA("XSN4",'suoinghe (2016)'!$A$3,"MA_HT","DGT","MA_QH","DGD")</f>
        <v>0</v>
      </c>
      <c r="AI29" s="50">
        <f ca="1">+GETPIVOTDATA("XSN4",'suoinghe (2016)'!$A$3,"MA_HT","DGT","MA_QH","DTT")</f>
        <v>0</v>
      </c>
      <c r="AJ29" s="50">
        <f ca="1">+GETPIVOTDATA("XSN4",'suoinghe (2016)'!$A$3,"MA_HT","DGT","MA_QH","NCK")</f>
        <v>0</v>
      </c>
      <c r="AK29" s="50">
        <f ca="1">+GETPIVOTDATA("XSN4",'suoinghe (2016)'!$A$3,"MA_HT","DGT","MA_QH","DXH")</f>
        <v>0</v>
      </c>
      <c r="AL29" s="50">
        <f ca="1">+GETPIVOTDATA("XSN4",'suoinghe (2016)'!$A$3,"MA_HT","DGT","MA_QH","DCH")</f>
        <v>0</v>
      </c>
      <c r="AM29" s="50">
        <f ca="1">+GETPIVOTDATA("XSN4",'suoinghe (2016)'!$A$3,"MA_HT","DGT","MA_QH","DKG")</f>
        <v>0</v>
      </c>
      <c r="AN29" s="50">
        <f ca="1">+GETPIVOTDATA("XSN4",'suoinghe (2016)'!$A$3,"MA_HT","DGT","MA_QH","DDT")</f>
        <v>0</v>
      </c>
      <c r="AO29" s="50">
        <f ca="1">+GETPIVOTDATA("XSN4",'suoinghe (2016)'!$A$3,"MA_HT","DGT","MA_QH","DDL")</f>
        <v>0</v>
      </c>
      <c r="AP29" s="50">
        <f ca="1">+GETPIVOTDATA("XSN4",'suoinghe (2016)'!$A$3,"MA_HT","DGT","MA_QH","DRA")</f>
        <v>0</v>
      </c>
      <c r="AQ29" s="50">
        <f ca="1">+GETPIVOTDATA("XSN4",'suoinghe (2016)'!$A$3,"MA_HT","DGT","MA_QH","ONT")</f>
        <v>0</v>
      </c>
      <c r="AR29" s="50">
        <f ca="1">+GETPIVOTDATA("XSN4",'suoinghe (2016)'!$A$3,"MA_HT","DGT","MA_QH","ODT")</f>
        <v>0</v>
      </c>
      <c r="AS29" s="50">
        <f ca="1">+GETPIVOTDATA("XSN4",'suoinghe (2016)'!$A$3,"MA_HT","DGT","MA_QH","TSC")</f>
        <v>0</v>
      </c>
      <c r="AT29" s="50">
        <f ca="1">+GETPIVOTDATA("XSN4",'suoinghe (2016)'!$A$3,"MA_HT","DGT","MA_QH","DTS")</f>
        <v>0</v>
      </c>
      <c r="AU29" s="50">
        <f ca="1">+GETPIVOTDATA("XSN4",'suoinghe (2016)'!$A$3,"MA_HT","DGT","MA_QH","DNG")</f>
        <v>0</v>
      </c>
      <c r="AV29" s="50">
        <f ca="1">+GETPIVOTDATA("XSN4",'suoinghe (2016)'!$A$3,"MA_HT","DGT","MA_QH","TON")</f>
        <v>0</v>
      </c>
      <c r="AW29" s="50">
        <f ca="1">+GETPIVOTDATA("XSN4",'suoinghe (2016)'!$A$3,"MA_HT","DGT","MA_QH","NTD")</f>
        <v>0</v>
      </c>
      <c r="AX29" s="50">
        <f ca="1">+GETPIVOTDATA("XSN4",'suoinghe (2016)'!$A$3,"MA_HT","DGT","MA_QH","SKX")</f>
        <v>0</v>
      </c>
      <c r="AY29" s="50">
        <f ca="1">+GETPIVOTDATA("XSN4",'suoinghe (2016)'!$A$3,"MA_HT","DGT","MA_QH","DSH")</f>
        <v>0</v>
      </c>
      <c r="AZ29" s="50">
        <f ca="1">+GETPIVOTDATA("XSN4",'suoinghe (2016)'!$A$3,"MA_HT","DGT","MA_QH","DKV")</f>
        <v>0</v>
      </c>
      <c r="BA29" s="88">
        <f ca="1">+GETPIVOTDATA("XSN4",'suoinghe (2016)'!$A$3,"MA_HT","DGT","MA_QH","TIN")</f>
        <v>0</v>
      </c>
      <c r="BB29" s="50">
        <f ca="1">+GETPIVOTDATA("XSN4",'suoinghe (2016)'!$A$3,"MA_HT","DGT","MA_QH","SON")</f>
        <v>0</v>
      </c>
      <c r="BC29" s="50">
        <f ca="1">+GETPIVOTDATA("XSN4",'suoinghe (2016)'!$A$3,"MA_HT","DGT","MA_QH","MNC")</f>
        <v>0</v>
      </c>
      <c r="BD29" s="50">
        <f ca="1">+GETPIVOTDATA("XSN4",'suoinghe (2016)'!$A$3,"MA_HT","DGT","MA_QH","PNK")</f>
        <v>0</v>
      </c>
      <c r="BE29" s="80">
        <f ca="1">+GETPIVOTDATA("XSN4",'suoinghe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+GETPIVOTDATA("XSN4",'suoinghe (2016)'!$A$3,"MA_HT","DTL","MA_QH","LUC")</f>
        <v>0</v>
      </c>
      <c r="H30" s="50">
        <f ca="1">+GETPIVOTDATA("XSN4",'suoinghe (2016)'!$A$3,"MA_HT","DTL","MA_QH","LUK")</f>
        <v>0</v>
      </c>
      <c r="I30" s="50">
        <f ca="1">+GETPIVOTDATA("XSN4",'suoinghe (2016)'!$A$3,"MA_HT","DTL","MA_QH","LUN")</f>
        <v>0</v>
      </c>
      <c r="J30" s="50">
        <f ca="1">+GETPIVOTDATA("XSN4",'suoinghe (2016)'!$A$3,"MA_HT","DTL","MA_QH","HNK")</f>
        <v>0</v>
      </c>
      <c r="K30" s="50">
        <f ca="1">+GETPIVOTDATA("XSN4",'suoinghe (2016)'!$A$3,"MA_HT","DTL","MA_QH","CLN")</f>
        <v>0</v>
      </c>
      <c r="L30" s="50">
        <f ca="1">+GETPIVOTDATA("XSN4",'suoinghe (2016)'!$A$3,"MA_HT","DTL","MA_QH","RSX")</f>
        <v>0</v>
      </c>
      <c r="M30" s="50">
        <f ca="1">+GETPIVOTDATA("XSN4",'suoinghe (2016)'!$A$3,"MA_HT","DTL","MA_QH","RPH")</f>
        <v>0</v>
      </c>
      <c r="N30" s="50">
        <f ca="1">+GETPIVOTDATA("XSN4",'suoinghe (2016)'!$A$3,"MA_HT","DTL","MA_QH","RDD")</f>
        <v>0</v>
      </c>
      <c r="O30" s="50">
        <f ca="1">+GETPIVOTDATA("XSN4",'suoinghe (2016)'!$A$3,"MA_HT","DTL","MA_QH","NTS")</f>
        <v>0</v>
      </c>
      <c r="P30" s="50">
        <f ca="1">+GETPIVOTDATA("XSN4",'suoinghe (2016)'!$A$3,"MA_HT","DTL","MA_QH","LMU")</f>
        <v>0</v>
      </c>
      <c r="Q30" s="50">
        <f ca="1">+GETPIVOTDATA("XSN4",'suoinghe (2016)'!$A$3,"MA_HT","DTL","MA_QH","NKH")</f>
        <v>0</v>
      </c>
      <c r="R30" s="48">
        <f ca="1" t="shared" ref="R30:R40" si="20">SUM(S30:AA30,AN30:BD30)</f>
        <v>0</v>
      </c>
      <c r="S30" s="50">
        <f ca="1">+GETPIVOTDATA("XSN4",'suoinghe (2016)'!$A$3,"MA_HT","DTL","MA_QH","CQP")</f>
        <v>0</v>
      </c>
      <c r="T30" s="50">
        <f ca="1">+GETPIVOTDATA("XSN4",'suoinghe (2016)'!$A$3,"MA_HT","DTL","MA_QH","CAN")</f>
        <v>0</v>
      </c>
      <c r="U30" s="50">
        <f ca="1">+GETPIVOTDATA("XSN4",'suoinghe (2016)'!$A$3,"MA_HT","DTL","MA_QH","SKK")</f>
        <v>0</v>
      </c>
      <c r="V30" s="50">
        <f ca="1">+GETPIVOTDATA("XSN4",'suoinghe (2016)'!$A$3,"MA_HT","DTL","MA_QH","SKT")</f>
        <v>0</v>
      </c>
      <c r="W30" s="50">
        <f ca="1">+GETPIVOTDATA("XSN4",'suoinghe (2016)'!$A$3,"MA_HT","DTL","MA_QH","SKN")</f>
        <v>0</v>
      </c>
      <c r="X30" s="50">
        <f ca="1">+GETPIVOTDATA("XSN4",'suoinghe (2016)'!$A$3,"MA_HT","DTL","MA_QH","TMD")</f>
        <v>0</v>
      </c>
      <c r="Y30" s="50">
        <f ca="1">+GETPIVOTDATA("XSN4",'suoinghe (2016)'!$A$3,"MA_HT","DTL","MA_QH","SKC")</f>
        <v>0</v>
      </c>
      <c r="Z30" s="50">
        <f ca="1">+GETPIVOTDATA("XSN4",'suoinghe (2016)'!$A$3,"MA_HT","DTL","MA_QH","SKS")</f>
        <v>0</v>
      </c>
      <c r="AA30" s="52">
        <f ca="1">+SUM(AB30,AD30:AM30)</f>
        <v>0</v>
      </c>
      <c r="AB30" s="50">
        <f ca="1">+GETPIVOTDATA("XSN4",'suoinghe (2016)'!$A$3,"MA_HT","DTL","MA_QH","DGT")</f>
        <v>0</v>
      </c>
      <c r="AC30" s="49" t="e">
        <f ca="1">$D30-$BF30</f>
        <v>#REF!</v>
      </c>
      <c r="AD30" s="50">
        <f ca="1">+GETPIVOTDATA("XSN4",'suoinghe (2016)'!$A$3,"MA_HT","DTL","MA_QH","DNL")</f>
        <v>0</v>
      </c>
      <c r="AE30" s="50">
        <f ca="1">+GETPIVOTDATA("XSN4",'suoinghe (2016)'!$A$3,"MA_HT","DTL","MA_QH","DBV")</f>
        <v>0</v>
      </c>
      <c r="AF30" s="50">
        <f ca="1">+GETPIVOTDATA("XSN4",'suoinghe (2016)'!$A$3,"MA_HT","DTL","MA_QH","DVH")</f>
        <v>0</v>
      </c>
      <c r="AG30" s="50">
        <f ca="1">+GETPIVOTDATA("XSN4",'suoinghe (2016)'!$A$3,"MA_HT","DTL","MA_QH","DYT")</f>
        <v>0</v>
      </c>
      <c r="AH30" s="50">
        <f ca="1">+GETPIVOTDATA("XSN4",'suoinghe (2016)'!$A$3,"MA_HT","DTL","MA_QH","DGD")</f>
        <v>0</v>
      </c>
      <c r="AI30" s="50">
        <f ca="1">+GETPIVOTDATA("XSN4",'suoinghe (2016)'!$A$3,"MA_HT","DTL","MA_QH","DTT")</f>
        <v>0</v>
      </c>
      <c r="AJ30" s="50">
        <f ca="1">+GETPIVOTDATA("XSN4",'suoinghe (2016)'!$A$3,"MA_HT","DTL","MA_QH","NCK")</f>
        <v>0</v>
      </c>
      <c r="AK30" s="50">
        <f ca="1">+GETPIVOTDATA("XSN4",'suoinghe (2016)'!$A$3,"MA_HT","DTL","MA_QH","DXH")</f>
        <v>0</v>
      </c>
      <c r="AL30" s="50">
        <f ca="1">+GETPIVOTDATA("XSN4",'suoinghe (2016)'!$A$3,"MA_HT","DTL","MA_QH","DCH")</f>
        <v>0</v>
      </c>
      <c r="AM30" s="50">
        <f ca="1">+GETPIVOTDATA("XSN4",'suoinghe (2016)'!$A$3,"MA_HT","DTL","MA_QH","DKG")</f>
        <v>0</v>
      </c>
      <c r="AN30" s="50">
        <f ca="1">+GETPIVOTDATA("XSN4",'suoinghe (2016)'!$A$3,"MA_HT","DTL","MA_QH","DDT")</f>
        <v>0</v>
      </c>
      <c r="AO30" s="50">
        <f ca="1">+GETPIVOTDATA("XSN4",'suoinghe (2016)'!$A$3,"MA_HT","DTL","MA_QH","DDL")</f>
        <v>0</v>
      </c>
      <c r="AP30" s="50">
        <f ca="1">+GETPIVOTDATA("XSN4",'suoinghe (2016)'!$A$3,"MA_HT","DTL","MA_QH","DRA")</f>
        <v>0</v>
      </c>
      <c r="AQ30" s="50">
        <f ca="1">+GETPIVOTDATA("XSN4",'suoinghe (2016)'!$A$3,"MA_HT","DTL","MA_QH","ONT")</f>
        <v>0</v>
      </c>
      <c r="AR30" s="50">
        <f ca="1">+GETPIVOTDATA("XSN4",'suoinghe (2016)'!$A$3,"MA_HT","DTL","MA_QH","ODT")</f>
        <v>0</v>
      </c>
      <c r="AS30" s="50">
        <f ca="1">+GETPIVOTDATA("XSN4",'suoinghe (2016)'!$A$3,"MA_HT","DTL","MA_QH","TSC")</f>
        <v>0</v>
      </c>
      <c r="AT30" s="50">
        <f ca="1">+GETPIVOTDATA("XSN4",'suoinghe (2016)'!$A$3,"MA_HT","DTL","MA_QH","DTS")</f>
        <v>0</v>
      </c>
      <c r="AU30" s="50">
        <f ca="1">+GETPIVOTDATA("XSN4",'suoinghe (2016)'!$A$3,"MA_HT","DTL","MA_QH","DNG")</f>
        <v>0</v>
      </c>
      <c r="AV30" s="50">
        <f ca="1">+GETPIVOTDATA("XSN4",'suoinghe (2016)'!$A$3,"MA_HT","DTL","MA_QH","TON")</f>
        <v>0</v>
      </c>
      <c r="AW30" s="50">
        <f ca="1">+GETPIVOTDATA("XSN4",'suoinghe (2016)'!$A$3,"MA_HT","DTL","MA_QH","NTD")</f>
        <v>0</v>
      </c>
      <c r="AX30" s="50">
        <f ca="1">+GETPIVOTDATA("XSN4",'suoinghe (2016)'!$A$3,"MA_HT","DTL","MA_QH","SKX")</f>
        <v>0</v>
      </c>
      <c r="AY30" s="50">
        <f ca="1">+GETPIVOTDATA("XSN4",'suoinghe (2016)'!$A$3,"MA_HT","DTL","MA_QH","DSH")</f>
        <v>0</v>
      </c>
      <c r="AZ30" s="50">
        <f ca="1">+GETPIVOTDATA("XSN4",'suoinghe (2016)'!$A$3,"MA_HT","DTL","MA_QH","DKV")</f>
        <v>0</v>
      </c>
      <c r="BA30" s="88">
        <f ca="1">+GETPIVOTDATA("XSN4",'suoinghe (2016)'!$A$3,"MA_HT","DTL","MA_QH","TIN")</f>
        <v>0</v>
      </c>
      <c r="BB30" s="50">
        <f ca="1">+GETPIVOTDATA("XSN4",'suoinghe (2016)'!$A$3,"MA_HT","DTL","MA_QH","SON")</f>
        <v>0</v>
      </c>
      <c r="BC30" s="50">
        <f ca="1">+GETPIVOTDATA("XSN4",'suoinghe (2016)'!$A$3,"MA_HT","DTL","MA_QH","MNC")</f>
        <v>0</v>
      </c>
      <c r="BD30" s="50">
        <f ca="1">+GETPIVOTDATA("XSN4",'suoinghe (2016)'!$A$3,"MA_HT","DTL","MA_QH","PNK")</f>
        <v>0</v>
      </c>
      <c r="BE30" s="80">
        <f ca="1">+GETPIVOTDATA("XSN4",'suoinghe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+GETPIVOTDATA("XSN4",'suoinghe (2016)'!$A$3,"MA_HT","DNL","MA_QH","LUC")</f>
        <v>0</v>
      </c>
      <c r="H31" s="50">
        <f ca="1">+GETPIVOTDATA("XSN4",'suoinghe (2016)'!$A$3,"MA_HT","DNL","MA_QH","LUK")</f>
        <v>0</v>
      </c>
      <c r="I31" s="50">
        <f ca="1">+GETPIVOTDATA("XSN4",'suoinghe (2016)'!$A$3,"MA_HT","DNL","MA_QH","LUN")</f>
        <v>0</v>
      </c>
      <c r="J31" s="50">
        <f ca="1">+GETPIVOTDATA("XSN4",'suoinghe (2016)'!$A$3,"MA_HT","DNL","MA_QH","HNK")</f>
        <v>0</v>
      </c>
      <c r="K31" s="50">
        <f ca="1">+GETPIVOTDATA("XSN4",'suoinghe (2016)'!$A$3,"MA_HT","DNL","MA_QH","CLN")</f>
        <v>0</v>
      </c>
      <c r="L31" s="50">
        <f ca="1">+GETPIVOTDATA("XSN4",'suoinghe (2016)'!$A$3,"MA_HT","DNL","MA_QH","RSX")</f>
        <v>0</v>
      </c>
      <c r="M31" s="50">
        <f ca="1">+GETPIVOTDATA("XSN4",'suoinghe (2016)'!$A$3,"MA_HT","DNL","MA_QH","RPH")</f>
        <v>0</v>
      </c>
      <c r="N31" s="50">
        <f ca="1">+GETPIVOTDATA("XSN4",'suoinghe (2016)'!$A$3,"MA_HT","DNL","MA_QH","RDD")</f>
        <v>0</v>
      </c>
      <c r="O31" s="50">
        <f ca="1">+GETPIVOTDATA("XSN4",'suoinghe (2016)'!$A$3,"MA_HT","DNL","MA_QH","NTS")</f>
        <v>0</v>
      </c>
      <c r="P31" s="50">
        <f ca="1">+GETPIVOTDATA("XSN4",'suoinghe (2016)'!$A$3,"MA_HT","DNL","MA_QH","LMU")</f>
        <v>0</v>
      </c>
      <c r="Q31" s="50">
        <f ca="1">+GETPIVOTDATA("XSN4",'suoinghe (2016)'!$A$3,"MA_HT","DNL","MA_QH","NKH")</f>
        <v>0</v>
      </c>
      <c r="R31" s="48">
        <f ca="1" t="shared" si="20"/>
        <v>0</v>
      </c>
      <c r="S31" s="50">
        <f ca="1">+GETPIVOTDATA("XSN4",'suoinghe (2016)'!$A$3,"MA_HT","DNL","MA_QH","CQP")</f>
        <v>0</v>
      </c>
      <c r="T31" s="50">
        <f ca="1">+GETPIVOTDATA("XSN4",'suoinghe (2016)'!$A$3,"MA_HT","DNL","MA_QH","CAN")</f>
        <v>0</v>
      </c>
      <c r="U31" s="50">
        <f ca="1">+GETPIVOTDATA("XSN4",'suoinghe (2016)'!$A$3,"MA_HT","DNL","MA_QH","SKK")</f>
        <v>0</v>
      </c>
      <c r="V31" s="50">
        <f ca="1">+GETPIVOTDATA("XSN4",'suoinghe (2016)'!$A$3,"MA_HT","DNL","MA_QH","SKT")</f>
        <v>0</v>
      </c>
      <c r="W31" s="50">
        <f ca="1">+GETPIVOTDATA("XSN4",'suoinghe (2016)'!$A$3,"MA_HT","DNL","MA_QH","SKN")</f>
        <v>0</v>
      </c>
      <c r="X31" s="50">
        <f ca="1">+GETPIVOTDATA("XSN4",'suoinghe (2016)'!$A$3,"MA_HT","DNL","MA_QH","TMD")</f>
        <v>0</v>
      </c>
      <c r="Y31" s="50">
        <f ca="1">+GETPIVOTDATA("XSN4",'suoinghe (2016)'!$A$3,"MA_HT","DNL","MA_QH","SKC")</f>
        <v>0</v>
      </c>
      <c r="Z31" s="50">
        <f ca="1">+GETPIVOTDATA("XSN4",'suoinghe (2016)'!$A$3,"MA_HT","DNL","MA_QH","SKS")</f>
        <v>0</v>
      </c>
      <c r="AA31" s="52">
        <f ca="1">+SUM(AB31:AC31,AE31:AM31)</f>
        <v>0</v>
      </c>
      <c r="AB31" s="50">
        <f ca="1">+GETPIVOTDATA("XSN4",'suoinghe (2016)'!$A$3,"MA_HT","DNL","MA_QH","DGT")</f>
        <v>0</v>
      </c>
      <c r="AC31" s="50">
        <f ca="1">+GETPIVOTDATA("XSN4",'suoinghe (2016)'!$A$3,"MA_HT","DNL","MA_QH","DTL")</f>
        <v>0</v>
      </c>
      <c r="AD31" s="49" t="e">
        <f ca="1">$D31-$BF31</f>
        <v>#REF!</v>
      </c>
      <c r="AE31" s="50">
        <f ca="1">+GETPIVOTDATA("XSN4",'suoinghe (2016)'!$A$3,"MA_HT","DNL","MA_QH","DBV")</f>
        <v>0</v>
      </c>
      <c r="AF31" s="50">
        <f ca="1">+GETPIVOTDATA("XSN4",'suoinghe (2016)'!$A$3,"MA_HT","DNL","MA_QH","DVH")</f>
        <v>0</v>
      </c>
      <c r="AG31" s="50">
        <f ca="1">+GETPIVOTDATA("XSN4",'suoinghe (2016)'!$A$3,"MA_HT","DNL","MA_QH","DYT")</f>
        <v>0</v>
      </c>
      <c r="AH31" s="50">
        <f ca="1">+GETPIVOTDATA("XSN4",'suoinghe (2016)'!$A$3,"MA_HT","DNL","MA_QH","DGD")</f>
        <v>0</v>
      </c>
      <c r="AI31" s="50">
        <f ca="1">+GETPIVOTDATA("XSN4",'suoinghe (2016)'!$A$3,"MA_HT","DNL","MA_QH","DTT")</f>
        <v>0</v>
      </c>
      <c r="AJ31" s="50">
        <f ca="1">+GETPIVOTDATA("XSN4",'suoinghe (2016)'!$A$3,"MA_HT","DNL","MA_QH","NCK")</f>
        <v>0</v>
      </c>
      <c r="AK31" s="50">
        <f ca="1">+GETPIVOTDATA("XSN4",'suoinghe (2016)'!$A$3,"MA_HT","DNL","MA_QH","DXH")</f>
        <v>0</v>
      </c>
      <c r="AL31" s="50">
        <f ca="1">+GETPIVOTDATA("XSN4",'suoinghe (2016)'!$A$3,"MA_HT","DNL","MA_QH","DCH")</f>
        <v>0</v>
      </c>
      <c r="AM31" s="50">
        <f ca="1">+GETPIVOTDATA("XSN4",'suoinghe (2016)'!$A$3,"MA_HT","DNL","MA_QH","DKG")</f>
        <v>0</v>
      </c>
      <c r="AN31" s="50">
        <f ca="1">+GETPIVOTDATA("XSN4",'suoinghe (2016)'!$A$3,"MA_HT","DNL","MA_QH","DDT")</f>
        <v>0</v>
      </c>
      <c r="AO31" s="50">
        <f ca="1">+GETPIVOTDATA("XSN4",'suoinghe (2016)'!$A$3,"MA_HT","DNL","MA_QH","DDL")</f>
        <v>0</v>
      </c>
      <c r="AP31" s="50">
        <f ca="1">+GETPIVOTDATA("XSN4",'suoinghe (2016)'!$A$3,"MA_HT","DNL","MA_QH","DRA")</f>
        <v>0</v>
      </c>
      <c r="AQ31" s="50">
        <f ca="1">+GETPIVOTDATA("XSN4",'suoinghe (2016)'!$A$3,"MA_HT","DNL","MA_QH","ONT")</f>
        <v>0</v>
      </c>
      <c r="AR31" s="50">
        <f ca="1">+GETPIVOTDATA("XSN4",'suoinghe (2016)'!$A$3,"MA_HT","DNL","MA_QH","ODT")</f>
        <v>0</v>
      </c>
      <c r="AS31" s="50">
        <f ca="1">+GETPIVOTDATA("XSN4",'suoinghe (2016)'!$A$3,"MA_HT","DNL","MA_QH","TSC")</f>
        <v>0</v>
      </c>
      <c r="AT31" s="50">
        <f ca="1">+GETPIVOTDATA("XSN4",'suoinghe (2016)'!$A$3,"MA_HT","DNL","MA_QH","DTS")</f>
        <v>0</v>
      </c>
      <c r="AU31" s="50">
        <f ca="1">+GETPIVOTDATA("XSN4",'suoinghe (2016)'!$A$3,"MA_HT","DNL","MA_QH","DNG")</f>
        <v>0</v>
      </c>
      <c r="AV31" s="50">
        <f ca="1">+GETPIVOTDATA("XSN4",'suoinghe (2016)'!$A$3,"MA_HT","DNL","MA_QH","TON")</f>
        <v>0</v>
      </c>
      <c r="AW31" s="50">
        <f ca="1">+GETPIVOTDATA("XSN4",'suoinghe (2016)'!$A$3,"MA_HT","DNL","MA_QH","NTD")</f>
        <v>0</v>
      </c>
      <c r="AX31" s="50">
        <f ca="1">+GETPIVOTDATA("XSN4",'suoinghe (2016)'!$A$3,"MA_HT","DNL","MA_QH","SKX")</f>
        <v>0</v>
      </c>
      <c r="AY31" s="50">
        <f ca="1">+GETPIVOTDATA("XSN4",'suoinghe (2016)'!$A$3,"MA_HT","DNL","MA_QH","DSH")</f>
        <v>0</v>
      </c>
      <c r="AZ31" s="50">
        <f ca="1">+GETPIVOTDATA("XSN4",'suoinghe (2016)'!$A$3,"MA_HT","DNL","MA_QH","DKV")</f>
        <v>0</v>
      </c>
      <c r="BA31" s="88">
        <f ca="1">+GETPIVOTDATA("XSN4",'suoinghe (2016)'!$A$3,"MA_HT","DNL","MA_QH","TIN")</f>
        <v>0</v>
      </c>
      <c r="BB31" s="50">
        <f ca="1">+GETPIVOTDATA("XSN4",'suoinghe (2016)'!$A$3,"MA_HT","DNL","MA_QH","SON")</f>
        <v>0</v>
      </c>
      <c r="BC31" s="50">
        <f ca="1">+GETPIVOTDATA("XSN4",'suoinghe (2016)'!$A$3,"MA_HT","DNL","MA_QH","MNC")</f>
        <v>0</v>
      </c>
      <c r="BD31" s="50">
        <f ca="1">+GETPIVOTDATA("XSN4",'suoinghe (2016)'!$A$3,"MA_HT","DNL","MA_QH","PNK")</f>
        <v>0</v>
      </c>
      <c r="BE31" s="80">
        <f ca="1">+GETPIVOTDATA("XSN4",'suoinghe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+GETPIVOTDATA("XSN4",'suoinghe (2016)'!$A$3,"MA_HT","DBV","MA_QH","LUC")</f>
        <v>0</v>
      </c>
      <c r="H32" s="50">
        <f ca="1">+GETPIVOTDATA("XSN4",'suoinghe (2016)'!$A$3,"MA_HT","DBV","MA_QH","LUK")</f>
        <v>0</v>
      </c>
      <c r="I32" s="50">
        <f ca="1">+GETPIVOTDATA("XSN4",'suoinghe (2016)'!$A$3,"MA_HT","DBV","MA_QH","LUN")</f>
        <v>0</v>
      </c>
      <c r="J32" s="50">
        <f ca="1">+GETPIVOTDATA("XSN4",'suoinghe (2016)'!$A$3,"MA_HT","DBV","MA_QH","HNK")</f>
        <v>0</v>
      </c>
      <c r="K32" s="50">
        <f ca="1">+GETPIVOTDATA("XSN4",'suoinghe (2016)'!$A$3,"MA_HT","DBV","MA_QH","CLN")</f>
        <v>0</v>
      </c>
      <c r="L32" s="50">
        <f ca="1">+GETPIVOTDATA("XSN4",'suoinghe (2016)'!$A$3,"MA_HT","DBV","MA_QH","RSX")</f>
        <v>0</v>
      </c>
      <c r="M32" s="50">
        <f ca="1">+GETPIVOTDATA("XSN4",'suoinghe (2016)'!$A$3,"MA_HT","DBV","MA_QH","RPH")</f>
        <v>0</v>
      </c>
      <c r="N32" s="50">
        <f ca="1">+GETPIVOTDATA("XSN4",'suoinghe (2016)'!$A$3,"MA_HT","DBV","MA_QH","RDD")</f>
        <v>0</v>
      </c>
      <c r="O32" s="50">
        <f ca="1">+GETPIVOTDATA("XSN4",'suoinghe (2016)'!$A$3,"MA_HT","DBV","MA_QH","NTS")</f>
        <v>0</v>
      </c>
      <c r="P32" s="50">
        <f ca="1">+GETPIVOTDATA("XSN4",'suoinghe (2016)'!$A$3,"MA_HT","DBV","MA_QH","LMU")</f>
        <v>0</v>
      </c>
      <c r="Q32" s="50">
        <f ca="1">+GETPIVOTDATA("XSN4",'suoinghe (2016)'!$A$3,"MA_HT","DBV","MA_QH","NKH")</f>
        <v>0</v>
      </c>
      <c r="R32" s="48">
        <f ca="1" t="shared" si="20"/>
        <v>0</v>
      </c>
      <c r="S32" s="50">
        <f ca="1">+GETPIVOTDATA("XSN4",'suoinghe (2016)'!$A$3,"MA_HT","DBV","MA_QH","CQP")</f>
        <v>0</v>
      </c>
      <c r="T32" s="50">
        <f ca="1">+GETPIVOTDATA("XSN4",'suoinghe (2016)'!$A$3,"MA_HT","DBV","MA_QH","CAN")</f>
        <v>0</v>
      </c>
      <c r="U32" s="50">
        <f ca="1">+GETPIVOTDATA("XSN4",'suoinghe (2016)'!$A$3,"MA_HT","DBV","MA_QH","SKK")</f>
        <v>0</v>
      </c>
      <c r="V32" s="50">
        <f ca="1">+GETPIVOTDATA("XSN4",'suoinghe (2016)'!$A$3,"MA_HT","DBV","MA_QH","SKT")</f>
        <v>0</v>
      </c>
      <c r="W32" s="50">
        <f ca="1">+GETPIVOTDATA("XSN4",'suoinghe (2016)'!$A$3,"MA_HT","DBV","MA_QH","SKN")</f>
        <v>0</v>
      </c>
      <c r="X32" s="50">
        <f ca="1">+GETPIVOTDATA("XSN4",'suoinghe (2016)'!$A$3,"MA_HT","DBV","MA_QH","TMD")</f>
        <v>0</v>
      </c>
      <c r="Y32" s="50">
        <f ca="1">+GETPIVOTDATA("XSN4",'suoinghe (2016)'!$A$3,"MA_HT","DBV","MA_QH","SKC")</f>
        <v>0</v>
      </c>
      <c r="Z32" s="50">
        <f ca="1">+GETPIVOTDATA("XSN4",'suoinghe (2016)'!$A$3,"MA_HT","DBV","MA_QH","SKS")</f>
        <v>0</v>
      </c>
      <c r="AA32" s="52">
        <f ca="1">+SUM(AB32:AD32,AF32:AM32)</f>
        <v>0</v>
      </c>
      <c r="AB32" s="50">
        <f ca="1">+GETPIVOTDATA("XSN4",'suoinghe (2016)'!$A$3,"MA_HT","DBV","MA_QH","DGT")</f>
        <v>0</v>
      </c>
      <c r="AC32" s="50">
        <f ca="1">+GETPIVOTDATA("XSN4",'suoinghe (2016)'!$A$3,"MA_HT","DBV","MA_QH","DTL")</f>
        <v>0</v>
      </c>
      <c r="AD32" s="50">
        <f ca="1">+GETPIVOTDATA("XSN4",'suoinghe (2016)'!$A$3,"MA_HT","DBV","MA_QH","DNL")</f>
        <v>0</v>
      </c>
      <c r="AE32" s="49" t="e">
        <f ca="1">$D32-$BF32</f>
        <v>#REF!</v>
      </c>
      <c r="AF32" s="50">
        <f ca="1">+GETPIVOTDATA("XSN4",'suoinghe (2016)'!$A$3,"MA_HT","DBV","MA_QH","DVH")</f>
        <v>0</v>
      </c>
      <c r="AG32" s="50">
        <f ca="1">+GETPIVOTDATA("XSN4",'suoinghe (2016)'!$A$3,"MA_HT","DBV","MA_QH","DYT")</f>
        <v>0</v>
      </c>
      <c r="AH32" s="50">
        <f ca="1">+GETPIVOTDATA("XSN4",'suoinghe (2016)'!$A$3,"MA_HT","DBV","MA_QH","DGD")</f>
        <v>0</v>
      </c>
      <c r="AI32" s="50">
        <f ca="1">+GETPIVOTDATA("XSN4",'suoinghe (2016)'!$A$3,"MA_HT","DBV","MA_QH","DTT")</f>
        <v>0</v>
      </c>
      <c r="AJ32" s="50">
        <f ca="1">+GETPIVOTDATA("XSN4",'suoinghe (2016)'!$A$3,"MA_HT","DBV","MA_QH","NCK")</f>
        <v>0</v>
      </c>
      <c r="AK32" s="50">
        <f ca="1">+GETPIVOTDATA("XSN4",'suoinghe (2016)'!$A$3,"MA_HT","DBV","MA_QH","DXH")</f>
        <v>0</v>
      </c>
      <c r="AL32" s="50">
        <f ca="1">+GETPIVOTDATA("XSN4",'suoinghe (2016)'!$A$3,"MA_HT","DBV","MA_QH","DCH")</f>
        <v>0</v>
      </c>
      <c r="AM32" s="50">
        <f ca="1">+GETPIVOTDATA("XSN4",'suoinghe (2016)'!$A$3,"MA_HT","DBV","MA_QH","DKG")</f>
        <v>0</v>
      </c>
      <c r="AN32" s="50">
        <f ca="1">+GETPIVOTDATA("XSN4",'suoinghe (2016)'!$A$3,"MA_HT","DBV","MA_QH","DDT")</f>
        <v>0</v>
      </c>
      <c r="AO32" s="50">
        <f ca="1">+GETPIVOTDATA("XSN4",'suoinghe (2016)'!$A$3,"MA_HT","DBV","MA_QH","DDL")</f>
        <v>0</v>
      </c>
      <c r="AP32" s="50">
        <f ca="1">+GETPIVOTDATA("XSN4",'suoinghe (2016)'!$A$3,"MA_HT","DBV","MA_QH","DRA")</f>
        <v>0</v>
      </c>
      <c r="AQ32" s="50">
        <f ca="1">+GETPIVOTDATA("XSN4",'suoinghe (2016)'!$A$3,"MA_HT","DBV","MA_QH","ONT")</f>
        <v>0</v>
      </c>
      <c r="AR32" s="50">
        <f ca="1">+GETPIVOTDATA("XSN4",'suoinghe (2016)'!$A$3,"MA_HT","DBV","MA_QH","ODT")</f>
        <v>0</v>
      </c>
      <c r="AS32" s="50">
        <f ca="1">+GETPIVOTDATA("XSN4",'suoinghe (2016)'!$A$3,"MA_HT","DBV","MA_QH","TSC")</f>
        <v>0</v>
      </c>
      <c r="AT32" s="50">
        <f ca="1">+GETPIVOTDATA("XSN4",'suoinghe (2016)'!$A$3,"MA_HT","DBV","MA_QH","DTS")</f>
        <v>0</v>
      </c>
      <c r="AU32" s="50">
        <f ca="1">+GETPIVOTDATA("XSN4",'suoinghe (2016)'!$A$3,"MA_HT","DBV","MA_QH","DNG")</f>
        <v>0</v>
      </c>
      <c r="AV32" s="50">
        <f ca="1">+GETPIVOTDATA("XSN4",'suoinghe (2016)'!$A$3,"MA_HT","DBV","MA_QH","TON")</f>
        <v>0</v>
      </c>
      <c r="AW32" s="50">
        <f ca="1">+GETPIVOTDATA("XSN4",'suoinghe (2016)'!$A$3,"MA_HT","DBV","MA_QH","NTD")</f>
        <v>0</v>
      </c>
      <c r="AX32" s="50">
        <f ca="1">+GETPIVOTDATA("XSN4",'suoinghe (2016)'!$A$3,"MA_HT","DBV","MA_QH","SKX")</f>
        <v>0</v>
      </c>
      <c r="AY32" s="50">
        <f ca="1">+GETPIVOTDATA("XSN4",'suoinghe (2016)'!$A$3,"MA_HT","DBV","MA_QH","DSH")</f>
        <v>0</v>
      </c>
      <c r="AZ32" s="50">
        <f ca="1">+GETPIVOTDATA("XSN4",'suoinghe (2016)'!$A$3,"MA_HT","DBV","MA_QH","DKV")</f>
        <v>0</v>
      </c>
      <c r="BA32" s="88">
        <f ca="1">+GETPIVOTDATA("XSN4",'suoinghe (2016)'!$A$3,"MA_HT","DBV","MA_QH","TIN")</f>
        <v>0</v>
      </c>
      <c r="BB32" s="50">
        <f ca="1">+GETPIVOTDATA("XSN4",'suoinghe (2016)'!$A$3,"MA_HT","DBV","MA_QH","SON")</f>
        <v>0</v>
      </c>
      <c r="BC32" s="50">
        <f ca="1">+GETPIVOTDATA("XSN4",'suoinghe (2016)'!$A$3,"MA_HT","DBV","MA_QH","MNC")</f>
        <v>0</v>
      </c>
      <c r="BD32" s="50">
        <f ca="1">+GETPIVOTDATA("XSN4",'suoinghe (2016)'!$A$3,"MA_HT","DBV","MA_QH","PNK")</f>
        <v>0</v>
      </c>
      <c r="BE32" s="80">
        <f ca="1">+GETPIVOTDATA("XSN4",'suoinghe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+GETPIVOTDATA("XSN4",'suoinghe (2016)'!$A$3,"MA_HT","DVH","MA_QH","LUC")</f>
        <v>0</v>
      </c>
      <c r="H33" s="50">
        <f ca="1">+GETPIVOTDATA("XSN4",'suoinghe (2016)'!$A$3,"MA_HT","DVH","MA_QH","LUK")</f>
        <v>0</v>
      </c>
      <c r="I33" s="50">
        <f ca="1">+GETPIVOTDATA("XSN4",'suoinghe (2016)'!$A$3,"MA_HT","DVH","MA_QH","LUN")</f>
        <v>0</v>
      </c>
      <c r="J33" s="50">
        <f ca="1">+GETPIVOTDATA("XSN4",'suoinghe (2016)'!$A$3,"MA_HT","DVH","MA_QH","HNK")</f>
        <v>0</v>
      </c>
      <c r="K33" s="50">
        <f ca="1">+GETPIVOTDATA("XSN4",'suoinghe (2016)'!$A$3,"MA_HT","DVH","MA_QH","CLN")</f>
        <v>0</v>
      </c>
      <c r="L33" s="50">
        <f ca="1">+GETPIVOTDATA("XSN4",'suoinghe (2016)'!$A$3,"MA_HT","DVH","MA_QH","RSX")</f>
        <v>0</v>
      </c>
      <c r="M33" s="50">
        <f ca="1">+GETPIVOTDATA("XSN4",'suoinghe (2016)'!$A$3,"MA_HT","DVH","MA_QH","RPH")</f>
        <v>0</v>
      </c>
      <c r="N33" s="50">
        <f ca="1">+GETPIVOTDATA("XSN4",'suoinghe (2016)'!$A$3,"MA_HT","DVH","MA_QH","RDD")</f>
        <v>0</v>
      </c>
      <c r="O33" s="50">
        <f ca="1">+GETPIVOTDATA("XSN4",'suoinghe (2016)'!$A$3,"MA_HT","DVH","MA_QH","NTS")</f>
        <v>0</v>
      </c>
      <c r="P33" s="50">
        <f ca="1">+GETPIVOTDATA("XSN4",'suoinghe (2016)'!$A$3,"MA_HT","DVH","MA_QH","LMU")</f>
        <v>0</v>
      </c>
      <c r="Q33" s="50">
        <f ca="1">+GETPIVOTDATA("XSN4",'suoinghe (2016)'!$A$3,"MA_HT","DVH","MA_QH","NKH")</f>
        <v>0</v>
      </c>
      <c r="R33" s="48">
        <f ca="1" t="shared" si="20"/>
        <v>0</v>
      </c>
      <c r="S33" s="50">
        <f ca="1">+GETPIVOTDATA("XSN4",'suoinghe (2016)'!$A$3,"MA_HT","DVH","MA_QH","CQP")</f>
        <v>0</v>
      </c>
      <c r="T33" s="50">
        <f ca="1">+GETPIVOTDATA("XSN4",'suoinghe (2016)'!$A$3,"MA_HT","DVH","MA_QH","CAN")</f>
        <v>0</v>
      </c>
      <c r="U33" s="50">
        <f ca="1">+GETPIVOTDATA("XSN4",'suoinghe (2016)'!$A$3,"MA_HT","DVH","MA_QH","SKK")</f>
        <v>0</v>
      </c>
      <c r="V33" s="50">
        <f ca="1">+GETPIVOTDATA("XSN4",'suoinghe (2016)'!$A$3,"MA_HT","DVH","MA_QH","SKT")</f>
        <v>0</v>
      </c>
      <c r="W33" s="50">
        <f ca="1">+GETPIVOTDATA("XSN4",'suoinghe (2016)'!$A$3,"MA_HT","DVH","MA_QH","SKN")</f>
        <v>0</v>
      </c>
      <c r="X33" s="50">
        <f ca="1">+GETPIVOTDATA("XSN4",'suoinghe (2016)'!$A$3,"MA_HT","DVH","MA_QH","TMD")</f>
        <v>0</v>
      </c>
      <c r="Y33" s="50">
        <f ca="1">+GETPIVOTDATA("XSN4",'suoinghe (2016)'!$A$3,"MA_HT","DVH","MA_QH","SKC")</f>
        <v>0</v>
      </c>
      <c r="Z33" s="50">
        <f ca="1">+GETPIVOTDATA("XSN4",'suoinghe (2016)'!$A$3,"MA_HT","DVH","MA_QH","SKS")</f>
        <v>0</v>
      </c>
      <c r="AA33" s="52">
        <f ca="1">+SUM(AB33:AE33,AG33:AM33)</f>
        <v>0</v>
      </c>
      <c r="AB33" s="50">
        <f ca="1">+GETPIVOTDATA("XSN4",'suoinghe (2016)'!$A$3,"MA_HT","DVH","MA_QH","DGT")</f>
        <v>0</v>
      </c>
      <c r="AC33" s="50">
        <f ca="1">+GETPIVOTDATA("XSN4",'suoinghe (2016)'!$A$3,"MA_HT","DVH","MA_QH","DTL")</f>
        <v>0</v>
      </c>
      <c r="AD33" s="50">
        <f ca="1">+GETPIVOTDATA("XSN4",'suoinghe (2016)'!$A$3,"MA_HT","DVH","MA_QH","DNL")</f>
        <v>0</v>
      </c>
      <c r="AE33" s="50">
        <f ca="1">+GETPIVOTDATA("XSN4",'suoinghe (2016)'!$A$3,"MA_HT","DVH","MA_QH","DBV")</f>
        <v>0</v>
      </c>
      <c r="AF33" s="49" t="e">
        <f ca="1">$D33-$BF33</f>
        <v>#REF!</v>
      </c>
      <c r="AG33" s="50">
        <f ca="1">+GETPIVOTDATA("XSN4",'suoinghe (2016)'!$A$3,"MA_HT","DVH","MA_QH","DYT")</f>
        <v>0</v>
      </c>
      <c r="AH33" s="50">
        <f ca="1">+GETPIVOTDATA("XSN4",'suoinghe (2016)'!$A$3,"MA_HT","DVH","MA_QH","DGD")</f>
        <v>0</v>
      </c>
      <c r="AI33" s="50">
        <f ca="1">+GETPIVOTDATA("XSN4",'suoinghe (2016)'!$A$3,"MA_HT","DVH","MA_QH","DTT")</f>
        <v>0</v>
      </c>
      <c r="AJ33" s="50">
        <f ca="1">+GETPIVOTDATA("XSN4",'suoinghe (2016)'!$A$3,"MA_HT","DVH","MA_QH","NCK")</f>
        <v>0</v>
      </c>
      <c r="AK33" s="50">
        <f ca="1">+GETPIVOTDATA("XSN4",'suoinghe (2016)'!$A$3,"MA_HT","DVH","MA_QH","DXH")</f>
        <v>0</v>
      </c>
      <c r="AL33" s="50">
        <f ca="1">+GETPIVOTDATA("XSN4",'suoinghe (2016)'!$A$3,"MA_HT","DVH","MA_QH","DCH")</f>
        <v>0</v>
      </c>
      <c r="AM33" s="50">
        <f ca="1">+GETPIVOTDATA("XSN4",'suoinghe (2016)'!$A$3,"MA_HT","DVH","MA_QH","DKG")</f>
        <v>0</v>
      </c>
      <c r="AN33" s="50">
        <f ca="1">+GETPIVOTDATA("XSN4",'suoinghe (2016)'!$A$3,"MA_HT","DVH","MA_QH","DDT")</f>
        <v>0</v>
      </c>
      <c r="AO33" s="50">
        <f ca="1">+GETPIVOTDATA("XSN4",'suoinghe (2016)'!$A$3,"MA_HT","DVH","MA_QH","DDL")</f>
        <v>0</v>
      </c>
      <c r="AP33" s="50">
        <f ca="1">+GETPIVOTDATA("XSN4",'suoinghe (2016)'!$A$3,"MA_HT","DVH","MA_QH","DRA")</f>
        <v>0</v>
      </c>
      <c r="AQ33" s="50">
        <f ca="1">+GETPIVOTDATA("XSN4",'suoinghe (2016)'!$A$3,"MA_HT","DVH","MA_QH","ONT")</f>
        <v>0</v>
      </c>
      <c r="AR33" s="50">
        <f ca="1">+GETPIVOTDATA("XSN4",'suoinghe (2016)'!$A$3,"MA_HT","DVH","MA_QH","ODT")</f>
        <v>0</v>
      </c>
      <c r="AS33" s="50">
        <f ca="1">+GETPIVOTDATA("XSN4",'suoinghe (2016)'!$A$3,"MA_HT","DVH","MA_QH","TSC")</f>
        <v>0</v>
      </c>
      <c r="AT33" s="50">
        <f ca="1">+GETPIVOTDATA("XSN4",'suoinghe (2016)'!$A$3,"MA_HT","DVH","MA_QH","DTS")</f>
        <v>0</v>
      </c>
      <c r="AU33" s="50">
        <f ca="1">+GETPIVOTDATA("XSN4",'suoinghe (2016)'!$A$3,"MA_HT","DVH","MA_QH","DNG")</f>
        <v>0</v>
      </c>
      <c r="AV33" s="50">
        <f ca="1">+GETPIVOTDATA("XSN4",'suoinghe (2016)'!$A$3,"MA_HT","DVH","MA_QH","TON")</f>
        <v>0</v>
      </c>
      <c r="AW33" s="50">
        <f ca="1">+GETPIVOTDATA("XSN4",'suoinghe (2016)'!$A$3,"MA_HT","DVH","MA_QH","NTD")</f>
        <v>0</v>
      </c>
      <c r="AX33" s="50">
        <f ca="1">+GETPIVOTDATA("XSN4",'suoinghe (2016)'!$A$3,"MA_HT","DVH","MA_QH","SKX")</f>
        <v>0</v>
      </c>
      <c r="AY33" s="50">
        <f ca="1">+GETPIVOTDATA("XSN4",'suoinghe (2016)'!$A$3,"MA_HT","DVH","MA_QH","DSH")</f>
        <v>0</v>
      </c>
      <c r="AZ33" s="50">
        <f ca="1">+GETPIVOTDATA("XSN4",'suoinghe (2016)'!$A$3,"MA_HT","DVH","MA_QH","DKV")</f>
        <v>0</v>
      </c>
      <c r="BA33" s="88">
        <f ca="1">+GETPIVOTDATA("XSN4",'suoinghe (2016)'!$A$3,"MA_HT","DVH","MA_QH","TIN")</f>
        <v>0</v>
      </c>
      <c r="BB33" s="50">
        <f ca="1">+GETPIVOTDATA("XSN4",'suoinghe (2016)'!$A$3,"MA_HT","DVH","MA_QH","SON")</f>
        <v>0</v>
      </c>
      <c r="BC33" s="50">
        <f ca="1">+GETPIVOTDATA("XSN4",'suoinghe (2016)'!$A$3,"MA_HT","DVH","MA_QH","MNC")</f>
        <v>0</v>
      </c>
      <c r="BD33" s="50">
        <f ca="1">+GETPIVOTDATA("XSN4",'suoinghe (2016)'!$A$3,"MA_HT","DVH","MA_QH","PNK")</f>
        <v>0</v>
      </c>
      <c r="BE33" s="80">
        <f ca="1">+GETPIVOTDATA("XSN4",'suoinghe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+GETPIVOTDATA("XSN4",'suoinghe (2016)'!$A$3,"MA_HT","DYT","MA_QH","LUC")</f>
        <v>0</v>
      </c>
      <c r="H34" s="50">
        <f ca="1">+GETPIVOTDATA("XSN4",'suoinghe (2016)'!$A$3,"MA_HT","DYT","MA_QH","LUK")</f>
        <v>0</v>
      </c>
      <c r="I34" s="50">
        <f ca="1">+GETPIVOTDATA("XSN4",'suoinghe (2016)'!$A$3,"MA_HT","DYT","MA_QH","LUN")</f>
        <v>0</v>
      </c>
      <c r="J34" s="50">
        <f ca="1">+GETPIVOTDATA("XSN4",'suoinghe (2016)'!$A$3,"MA_HT","DYT","MA_QH","HNK")</f>
        <v>0</v>
      </c>
      <c r="K34" s="50">
        <f ca="1">+GETPIVOTDATA("XSN4",'suoinghe (2016)'!$A$3,"MA_HT","DYT","MA_QH","CLN")</f>
        <v>0</v>
      </c>
      <c r="L34" s="50">
        <f ca="1">+GETPIVOTDATA("XSN4",'suoinghe (2016)'!$A$3,"MA_HT","DYT","MA_QH","RSX")</f>
        <v>0</v>
      </c>
      <c r="M34" s="50">
        <f ca="1">+GETPIVOTDATA("XSN4",'suoinghe (2016)'!$A$3,"MA_HT","DYT","MA_QH","RPH")</f>
        <v>0</v>
      </c>
      <c r="N34" s="50">
        <f ca="1">+GETPIVOTDATA("XSN4",'suoinghe (2016)'!$A$3,"MA_HT","DYT","MA_QH","RDD")</f>
        <v>0</v>
      </c>
      <c r="O34" s="50">
        <f ca="1">+GETPIVOTDATA("XSN4",'suoinghe (2016)'!$A$3,"MA_HT","DYT","MA_QH","NTS")</f>
        <v>0</v>
      </c>
      <c r="P34" s="50">
        <f ca="1">+GETPIVOTDATA("XSN4",'suoinghe (2016)'!$A$3,"MA_HT","DYT","MA_QH","LMU")</f>
        <v>0</v>
      </c>
      <c r="Q34" s="50">
        <f ca="1">+GETPIVOTDATA("XSN4",'suoinghe (2016)'!$A$3,"MA_HT","DYT","MA_QH","NKH")</f>
        <v>0</v>
      </c>
      <c r="R34" s="48">
        <f ca="1" t="shared" si="20"/>
        <v>0</v>
      </c>
      <c r="S34" s="50">
        <f ca="1">+GETPIVOTDATA("XSN4",'suoinghe (2016)'!$A$3,"MA_HT","DYT","MA_QH","CQP")</f>
        <v>0</v>
      </c>
      <c r="T34" s="50">
        <f ca="1">+GETPIVOTDATA("XSN4",'suoinghe (2016)'!$A$3,"MA_HT","DYT","MA_QH","CAN")</f>
        <v>0</v>
      </c>
      <c r="U34" s="50">
        <f ca="1">+GETPIVOTDATA("XSN4",'suoinghe (2016)'!$A$3,"MA_HT","DYT","MA_QH","SKK")</f>
        <v>0</v>
      </c>
      <c r="V34" s="50">
        <f ca="1">+GETPIVOTDATA("XSN4",'suoinghe (2016)'!$A$3,"MA_HT","DYT","MA_QH","SKT")</f>
        <v>0</v>
      </c>
      <c r="W34" s="50">
        <f ca="1">+GETPIVOTDATA("XSN4",'suoinghe (2016)'!$A$3,"MA_HT","DYT","MA_QH","SKN")</f>
        <v>0</v>
      </c>
      <c r="X34" s="50">
        <f ca="1">+GETPIVOTDATA("XSN4",'suoinghe (2016)'!$A$3,"MA_HT","DYT","MA_QH","TMD")</f>
        <v>0</v>
      </c>
      <c r="Y34" s="50">
        <f ca="1">+GETPIVOTDATA("XSN4",'suoinghe (2016)'!$A$3,"MA_HT","DYT","MA_QH","SKC")</f>
        <v>0</v>
      </c>
      <c r="Z34" s="50">
        <f ca="1">+GETPIVOTDATA("XSN4",'suoinghe (2016)'!$A$3,"MA_HT","DYT","MA_QH","SKS")</f>
        <v>0</v>
      </c>
      <c r="AA34" s="52">
        <f ca="1">+SUM(AB34:AF34,AH34:AM34)</f>
        <v>0</v>
      </c>
      <c r="AB34" s="50">
        <f ca="1">+GETPIVOTDATA("XSN4",'suoinghe (2016)'!$A$3,"MA_HT","DYT","MA_QH","DGT")</f>
        <v>0</v>
      </c>
      <c r="AC34" s="50">
        <f ca="1">+GETPIVOTDATA("XSN4",'suoinghe (2016)'!$A$3,"MA_HT","DYT","MA_QH","DTL")</f>
        <v>0</v>
      </c>
      <c r="AD34" s="50">
        <f ca="1">+GETPIVOTDATA("XSN4",'suoinghe (2016)'!$A$3,"MA_HT","DYT","MA_QH","DNL")</f>
        <v>0</v>
      </c>
      <c r="AE34" s="50">
        <f ca="1">+GETPIVOTDATA("XSN4",'suoinghe (2016)'!$A$3,"MA_HT","DYT","MA_QH","DBV")</f>
        <v>0</v>
      </c>
      <c r="AF34" s="50">
        <f ca="1">+GETPIVOTDATA("XSN4",'suoinghe (2016)'!$A$3,"MA_HT","DYT","MA_QH","DVH")</f>
        <v>0</v>
      </c>
      <c r="AG34" s="49" t="e">
        <f ca="1">$D34-$BF34</f>
        <v>#REF!</v>
      </c>
      <c r="AH34" s="50">
        <f ca="1">+GETPIVOTDATA("XSN4",'suoinghe (2016)'!$A$3,"MA_HT","DYT","MA_QH","DGD")</f>
        <v>0</v>
      </c>
      <c r="AI34" s="50">
        <f ca="1">+GETPIVOTDATA("XSN4",'suoinghe (2016)'!$A$3,"MA_HT","DYT","MA_QH","DTT")</f>
        <v>0</v>
      </c>
      <c r="AJ34" s="50">
        <f ca="1">+GETPIVOTDATA("XSN4",'suoinghe (2016)'!$A$3,"MA_HT","DYT","MA_QH","NCK")</f>
        <v>0</v>
      </c>
      <c r="AK34" s="50">
        <f ca="1">+GETPIVOTDATA("XSN4",'suoinghe (2016)'!$A$3,"MA_HT","DYT","MA_QH","DXH")</f>
        <v>0</v>
      </c>
      <c r="AL34" s="50">
        <f ca="1">+GETPIVOTDATA("XSN4",'suoinghe (2016)'!$A$3,"MA_HT","DYT","MA_QH","DCH")</f>
        <v>0</v>
      </c>
      <c r="AM34" s="50">
        <f ca="1">+GETPIVOTDATA("XSN4",'suoinghe (2016)'!$A$3,"MA_HT","DYT","MA_QH","DKG")</f>
        <v>0</v>
      </c>
      <c r="AN34" s="50">
        <f ca="1">+GETPIVOTDATA("XSN4",'suoinghe (2016)'!$A$3,"MA_HT","DYT","MA_QH","DDT")</f>
        <v>0</v>
      </c>
      <c r="AO34" s="50">
        <f ca="1">+GETPIVOTDATA("XSN4",'suoinghe (2016)'!$A$3,"MA_HT","DYT","MA_QH","DDL")</f>
        <v>0</v>
      </c>
      <c r="AP34" s="50">
        <f ca="1">+GETPIVOTDATA("XSN4",'suoinghe (2016)'!$A$3,"MA_HT","DYT","MA_QH","DRA")</f>
        <v>0</v>
      </c>
      <c r="AQ34" s="50">
        <f ca="1">+GETPIVOTDATA("XSN4",'suoinghe (2016)'!$A$3,"MA_HT","DYT","MA_QH","ONT")</f>
        <v>0</v>
      </c>
      <c r="AR34" s="50">
        <f ca="1">+GETPIVOTDATA("XSN4",'suoinghe (2016)'!$A$3,"MA_HT","DYT","MA_QH","ODT")</f>
        <v>0</v>
      </c>
      <c r="AS34" s="50">
        <f ca="1">+GETPIVOTDATA("XSN4",'suoinghe (2016)'!$A$3,"MA_HT","DYT","MA_QH","TSC")</f>
        <v>0</v>
      </c>
      <c r="AT34" s="50">
        <f ca="1">+GETPIVOTDATA("XSN4",'suoinghe (2016)'!$A$3,"MA_HT","DYT","MA_QH","DTS")</f>
        <v>0</v>
      </c>
      <c r="AU34" s="50">
        <f ca="1">+GETPIVOTDATA("XSN4",'suoinghe (2016)'!$A$3,"MA_HT","DYT","MA_QH","DNG")</f>
        <v>0</v>
      </c>
      <c r="AV34" s="50">
        <f ca="1">+GETPIVOTDATA("XSN4",'suoinghe (2016)'!$A$3,"MA_HT","DYT","MA_QH","TON")</f>
        <v>0</v>
      </c>
      <c r="AW34" s="50">
        <f ca="1">+GETPIVOTDATA("XSN4",'suoinghe (2016)'!$A$3,"MA_HT","DYT","MA_QH","NTD")</f>
        <v>0</v>
      </c>
      <c r="AX34" s="50">
        <f ca="1">+GETPIVOTDATA("XSN4",'suoinghe (2016)'!$A$3,"MA_HT","DYT","MA_QH","SKX")</f>
        <v>0</v>
      </c>
      <c r="AY34" s="50">
        <f ca="1">+GETPIVOTDATA("XSN4",'suoinghe (2016)'!$A$3,"MA_HT","DYT","MA_QH","DSH")</f>
        <v>0</v>
      </c>
      <c r="AZ34" s="50">
        <f ca="1">+GETPIVOTDATA("XSN4",'suoinghe (2016)'!$A$3,"MA_HT","DYT","MA_QH","DKV")</f>
        <v>0</v>
      </c>
      <c r="BA34" s="88">
        <f ca="1">+GETPIVOTDATA("XSN4",'suoinghe (2016)'!$A$3,"MA_HT","DYT","MA_QH","TIN")</f>
        <v>0</v>
      </c>
      <c r="BB34" s="50">
        <f ca="1">+GETPIVOTDATA("XSN4",'suoinghe (2016)'!$A$3,"MA_HT","DYT","MA_QH","SON")</f>
        <v>0</v>
      </c>
      <c r="BC34" s="50">
        <f ca="1">+GETPIVOTDATA("XSN4",'suoinghe (2016)'!$A$3,"MA_HT","DYT","MA_QH","MNC")</f>
        <v>0</v>
      </c>
      <c r="BD34" s="50">
        <f ca="1">+GETPIVOTDATA("XSN4",'suoinghe (2016)'!$A$3,"MA_HT","DYT","MA_QH","PNK")</f>
        <v>0</v>
      </c>
      <c r="BE34" s="80">
        <f ca="1">+GETPIVOTDATA("XSN4",'suoinghe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+GETPIVOTDATA("XSN4",'suoinghe (2016)'!$A$3,"MA_HT","DGD","MA_QH","LUC")</f>
        <v>0</v>
      </c>
      <c r="H35" s="50">
        <f ca="1">+GETPIVOTDATA("XSN4",'suoinghe (2016)'!$A$3,"MA_HT","DGD","MA_QH","LUK")</f>
        <v>0</v>
      </c>
      <c r="I35" s="50">
        <f ca="1">+GETPIVOTDATA("XSN4",'suoinghe (2016)'!$A$3,"MA_HT","DGD","MA_QH","LUN")</f>
        <v>0</v>
      </c>
      <c r="J35" s="50">
        <f ca="1">+GETPIVOTDATA("XSN4",'suoinghe (2016)'!$A$3,"MA_HT","DGD","MA_QH","HNK")</f>
        <v>0</v>
      </c>
      <c r="K35" s="50">
        <f ca="1">+GETPIVOTDATA("XSN4",'suoinghe (2016)'!$A$3,"MA_HT","DGD","MA_QH","CLN")</f>
        <v>0</v>
      </c>
      <c r="L35" s="50">
        <f ca="1">+GETPIVOTDATA("XSN4",'suoinghe (2016)'!$A$3,"MA_HT","DGD","MA_QH","RSX")</f>
        <v>0</v>
      </c>
      <c r="M35" s="50">
        <f ca="1">+GETPIVOTDATA("XSN4",'suoinghe (2016)'!$A$3,"MA_HT","DGD","MA_QH","RPH")</f>
        <v>0</v>
      </c>
      <c r="N35" s="50">
        <f ca="1">+GETPIVOTDATA("XSN4",'suoinghe (2016)'!$A$3,"MA_HT","DGD","MA_QH","RDD")</f>
        <v>0</v>
      </c>
      <c r="O35" s="50">
        <f ca="1">+GETPIVOTDATA("XSN4",'suoinghe (2016)'!$A$3,"MA_HT","DGD","MA_QH","NTS")</f>
        <v>0</v>
      </c>
      <c r="P35" s="50">
        <f ca="1">+GETPIVOTDATA("XSN4",'suoinghe (2016)'!$A$3,"MA_HT","DGD","MA_QH","LMU")</f>
        <v>0</v>
      </c>
      <c r="Q35" s="50">
        <f ca="1">+GETPIVOTDATA("XSN4",'suoinghe (2016)'!$A$3,"MA_HT","DGD","MA_QH","NKH")</f>
        <v>0</v>
      </c>
      <c r="R35" s="48">
        <f ca="1" t="shared" si="20"/>
        <v>0</v>
      </c>
      <c r="S35" s="50">
        <f ca="1">+GETPIVOTDATA("XSN4",'suoinghe (2016)'!$A$3,"MA_HT","DGD","MA_QH","CQP")</f>
        <v>0</v>
      </c>
      <c r="T35" s="50">
        <f ca="1">+GETPIVOTDATA("XSN4",'suoinghe (2016)'!$A$3,"MA_HT","DGD","MA_QH","CAN")</f>
        <v>0</v>
      </c>
      <c r="U35" s="50">
        <f ca="1">+GETPIVOTDATA("XSN4",'suoinghe (2016)'!$A$3,"MA_HT","DGD","MA_QH","SKK")</f>
        <v>0</v>
      </c>
      <c r="V35" s="50">
        <f ca="1">+GETPIVOTDATA("XSN4",'suoinghe (2016)'!$A$3,"MA_HT","DGD","MA_QH","SKT")</f>
        <v>0</v>
      </c>
      <c r="W35" s="50">
        <f ca="1">+GETPIVOTDATA("XSN4",'suoinghe (2016)'!$A$3,"MA_HT","DGD","MA_QH","SKN")</f>
        <v>0</v>
      </c>
      <c r="X35" s="50">
        <f ca="1">+GETPIVOTDATA("XSN4",'suoinghe (2016)'!$A$3,"MA_HT","DGD","MA_QH","TMD")</f>
        <v>0</v>
      </c>
      <c r="Y35" s="50">
        <f ca="1">+GETPIVOTDATA("XSN4",'suoinghe (2016)'!$A$3,"MA_HT","DGD","MA_QH","SKC")</f>
        <v>0</v>
      </c>
      <c r="Z35" s="50">
        <f ca="1">+GETPIVOTDATA("XSN4",'suoinghe (2016)'!$A$3,"MA_HT","DGD","MA_QH","SKS")</f>
        <v>0</v>
      </c>
      <c r="AA35" s="52">
        <f ca="1">+SUM(AB35:AG35,AI35:AM35)</f>
        <v>0</v>
      </c>
      <c r="AB35" s="50">
        <f ca="1">+GETPIVOTDATA("XSN4",'suoinghe (2016)'!$A$3,"MA_HT","DGD","MA_QH","DGT")</f>
        <v>0</v>
      </c>
      <c r="AC35" s="50">
        <f ca="1">+GETPIVOTDATA("XSN4",'suoinghe (2016)'!$A$3,"MA_HT","DGD","MA_QH","DTL")</f>
        <v>0</v>
      </c>
      <c r="AD35" s="50">
        <f ca="1">+GETPIVOTDATA("XSN4",'suoinghe (2016)'!$A$3,"MA_HT","DGD","MA_QH","DNL")</f>
        <v>0</v>
      </c>
      <c r="AE35" s="50">
        <f ca="1">+GETPIVOTDATA("XSN4",'suoinghe (2016)'!$A$3,"MA_HT","DGD","MA_QH","DBV")</f>
        <v>0</v>
      </c>
      <c r="AF35" s="50">
        <f ca="1">+GETPIVOTDATA("XSN4",'suoinghe (2016)'!$A$3,"MA_HT","DGD","MA_QH","DVH")</f>
        <v>0</v>
      </c>
      <c r="AG35" s="50">
        <f ca="1">+GETPIVOTDATA("XSN4",'suoinghe (2016)'!$A$3,"MA_HT","DGD","MA_QH","DYT")</f>
        <v>0</v>
      </c>
      <c r="AH35" s="49" t="e">
        <f ca="1">$D35-$BF35</f>
        <v>#REF!</v>
      </c>
      <c r="AI35" s="50">
        <f ca="1">+GETPIVOTDATA("XSN4",'suoinghe (2016)'!$A$3,"MA_HT","DGD","MA_QH","DTT")</f>
        <v>0</v>
      </c>
      <c r="AJ35" s="50">
        <f ca="1">+GETPIVOTDATA("XSN4",'suoinghe (2016)'!$A$3,"MA_HT","DGD","MA_QH","NCK")</f>
        <v>0</v>
      </c>
      <c r="AK35" s="50">
        <f ca="1">+GETPIVOTDATA("XSN4",'suoinghe (2016)'!$A$3,"MA_HT","DGD","MA_QH","DXH")</f>
        <v>0</v>
      </c>
      <c r="AL35" s="50">
        <f ca="1">+GETPIVOTDATA("XSN4",'suoinghe (2016)'!$A$3,"MA_HT","DGD","MA_QH","DCH")</f>
        <v>0</v>
      </c>
      <c r="AM35" s="50">
        <f ca="1">+GETPIVOTDATA("XSN4",'suoinghe (2016)'!$A$3,"MA_HT","DGD","MA_QH","DKG")</f>
        <v>0</v>
      </c>
      <c r="AN35" s="50">
        <f ca="1">+GETPIVOTDATA("XSN4",'suoinghe (2016)'!$A$3,"MA_HT","DGD","MA_QH","DDT")</f>
        <v>0</v>
      </c>
      <c r="AO35" s="50">
        <f ca="1">+GETPIVOTDATA("XSN4",'suoinghe (2016)'!$A$3,"MA_HT","DGD","MA_QH","DDL")</f>
        <v>0</v>
      </c>
      <c r="AP35" s="50">
        <f ca="1">+GETPIVOTDATA("XSN4",'suoinghe (2016)'!$A$3,"MA_HT","DGD","MA_QH","DRA")</f>
        <v>0</v>
      </c>
      <c r="AQ35" s="50">
        <f ca="1">+GETPIVOTDATA("XSN4",'suoinghe (2016)'!$A$3,"MA_HT","DGD","MA_QH","ONT")</f>
        <v>0</v>
      </c>
      <c r="AR35" s="50">
        <f ca="1">+GETPIVOTDATA("XSN4",'suoinghe (2016)'!$A$3,"MA_HT","DGD","MA_QH","ODT")</f>
        <v>0</v>
      </c>
      <c r="AS35" s="50">
        <f ca="1">+GETPIVOTDATA("XSN4",'suoinghe (2016)'!$A$3,"MA_HT","DGD","MA_QH","TSC")</f>
        <v>0</v>
      </c>
      <c r="AT35" s="50">
        <f ca="1">+GETPIVOTDATA("XSN4",'suoinghe (2016)'!$A$3,"MA_HT","DGD","MA_QH","DTS")</f>
        <v>0</v>
      </c>
      <c r="AU35" s="50">
        <f ca="1">+GETPIVOTDATA("XSN4",'suoinghe (2016)'!$A$3,"MA_HT","DGD","MA_QH","DNG")</f>
        <v>0</v>
      </c>
      <c r="AV35" s="50">
        <f ca="1">+GETPIVOTDATA("XSN4",'suoinghe (2016)'!$A$3,"MA_HT","DGD","MA_QH","TON")</f>
        <v>0</v>
      </c>
      <c r="AW35" s="50">
        <f ca="1">+GETPIVOTDATA("XSN4",'suoinghe (2016)'!$A$3,"MA_HT","DGD","MA_QH","NTD")</f>
        <v>0</v>
      </c>
      <c r="AX35" s="50">
        <f ca="1">+GETPIVOTDATA("XSN4",'suoinghe (2016)'!$A$3,"MA_HT","DGD","MA_QH","SKX")</f>
        <v>0</v>
      </c>
      <c r="AY35" s="50">
        <f ca="1">+GETPIVOTDATA("XSN4",'suoinghe (2016)'!$A$3,"MA_HT","DGD","MA_QH","DSH")</f>
        <v>0</v>
      </c>
      <c r="AZ35" s="50">
        <f ca="1">+GETPIVOTDATA("XSN4",'suoinghe (2016)'!$A$3,"MA_HT","DGD","MA_QH","DKV")</f>
        <v>0</v>
      </c>
      <c r="BA35" s="88">
        <f ca="1">+GETPIVOTDATA("XSN4",'suoinghe (2016)'!$A$3,"MA_HT","DGD","MA_QH","TIN")</f>
        <v>0</v>
      </c>
      <c r="BB35" s="50">
        <f ca="1">+GETPIVOTDATA("XSN4",'suoinghe (2016)'!$A$3,"MA_HT","DGD","MA_QH","SON")</f>
        <v>0</v>
      </c>
      <c r="BC35" s="50">
        <f ca="1">+GETPIVOTDATA("XSN4",'suoinghe (2016)'!$A$3,"MA_HT","DGD","MA_QH","MNC")</f>
        <v>0</v>
      </c>
      <c r="BD35" s="50">
        <f ca="1">+GETPIVOTDATA("XSN4",'suoinghe (2016)'!$A$3,"MA_HT","DGD","MA_QH","PNK")</f>
        <v>0</v>
      </c>
      <c r="BE35" s="80">
        <f ca="1">+GETPIVOTDATA("XSN4",'suoinghe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+GETPIVOTDATA("XSN4",'suoinghe (2016)'!$A$3,"MA_HT","DTT","MA_QH","LUC")</f>
        <v>0</v>
      </c>
      <c r="H36" s="50">
        <f ca="1">+GETPIVOTDATA("XSN4",'suoinghe (2016)'!$A$3,"MA_HT","DTT","MA_QH","LUK")</f>
        <v>0</v>
      </c>
      <c r="I36" s="50">
        <f ca="1">+GETPIVOTDATA("XSN4",'suoinghe (2016)'!$A$3,"MA_HT","DTT","MA_QH","LUN")</f>
        <v>0</v>
      </c>
      <c r="J36" s="50">
        <f ca="1">+GETPIVOTDATA("XSN4",'suoinghe (2016)'!$A$3,"MA_HT","DTT","MA_QH","HNK")</f>
        <v>0</v>
      </c>
      <c r="K36" s="50">
        <f ca="1">+GETPIVOTDATA("XSN4",'suoinghe (2016)'!$A$3,"MA_HT","DTT","MA_QH","CLN")</f>
        <v>0</v>
      </c>
      <c r="L36" s="50">
        <f ca="1">+GETPIVOTDATA("XSN4",'suoinghe (2016)'!$A$3,"MA_HT","DTT","MA_QH","RSX")</f>
        <v>0</v>
      </c>
      <c r="M36" s="50">
        <f ca="1">+GETPIVOTDATA("XSN4",'suoinghe (2016)'!$A$3,"MA_HT","DTT","MA_QH","RPH")</f>
        <v>0</v>
      </c>
      <c r="N36" s="50">
        <f ca="1">+GETPIVOTDATA("XSN4",'suoinghe (2016)'!$A$3,"MA_HT","DTT","MA_QH","RDD")</f>
        <v>0</v>
      </c>
      <c r="O36" s="50">
        <f ca="1">+GETPIVOTDATA("XSN4",'suoinghe (2016)'!$A$3,"MA_HT","DTT","MA_QH","NTS")</f>
        <v>0</v>
      </c>
      <c r="P36" s="50">
        <f ca="1">+GETPIVOTDATA("XSN4",'suoinghe (2016)'!$A$3,"MA_HT","DTT","MA_QH","LMU")</f>
        <v>0</v>
      </c>
      <c r="Q36" s="50">
        <f ca="1">+GETPIVOTDATA("XSN4",'suoinghe (2016)'!$A$3,"MA_HT","DTT","MA_QH","NKH")</f>
        <v>0</v>
      </c>
      <c r="R36" s="48">
        <f ca="1" t="shared" si="20"/>
        <v>0</v>
      </c>
      <c r="S36" s="50">
        <f ca="1">+GETPIVOTDATA("XSN4",'suoinghe (2016)'!$A$3,"MA_HT","DTT","MA_QH","CQP")</f>
        <v>0</v>
      </c>
      <c r="T36" s="50">
        <f ca="1">+GETPIVOTDATA("XSN4",'suoinghe (2016)'!$A$3,"MA_HT","DTT","MA_QH","CAN")</f>
        <v>0</v>
      </c>
      <c r="U36" s="50">
        <f ca="1">+GETPIVOTDATA("XSN4",'suoinghe (2016)'!$A$3,"MA_HT","DTT","MA_QH","SKK")</f>
        <v>0</v>
      </c>
      <c r="V36" s="50">
        <f ca="1">+GETPIVOTDATA("XSN4",'suoinghe (2016)'!$A$3,"MA_HT","DTT","MA_QH","SKT")</f>
        <v>0</v>
      </c>
      <c r="W36" s="50">
        <f ca="1">+GETPIVOTDATA("XSN4",'suoinghe (2016)'!$A$3,"MA_HT","DTT","MA_QH","SKN")</f>
        <v>0</v>
      </c>
      <c r="X36" s="50">
        <f ca="1">+GETPIVOTDATA("XSN4",'suoinghe (2016)'!$A$3,"MA_HT","DTT","MA_QH","TMD")</f>
        <v>0</v>
      </c>
      <c r="Y36" s="50">
        <f ca="1">+GETPIVOTDATA("XSN4",'suoinghe (2016)'!$A$3,"MA_HT","DTT","MA_QH","SKC")</f>
        <v>0</v>
      </c>
      <c r="Z36" s="50">
        <f ca="1">+GETPIVOTDATA("XSN4",'suoinghe (2016)'!$A$3,"MA_HT","DTT","MA_QH","SKS")</f>
        <v>0</v>
      </c>
      <c r="AA36" s="52">
        <f ca="1">+SUM(AB36:AH36,AJ36:AM36)</f>
        <v>0</v>
      </c>
      <c r="AB36" s="50">
        <f ca="1">+GETPIVOTDATA("XSN4",'suoinghe (2016)'!$A$3,"MA_HT","DTT","MA_QH","DGT")</f>
        <v>0</v>
      </c>
      <c r="AC36" s="50">
        <f ca="1">+GETPIVOTDATA("XSN4",'suoinghe (2016)'!$A$3,"MA_HT","DTT","MA_QH","DTL")</f>
        <v>0</v>
      </c>
      <c r="AD36" s="50">
        <f ca="1">+GETPIVOTDATA("XSN4",'suoinghe (2016)'!$A$3,"MA_HT","DTT","MA_QH","DNL")</f>
        <v>0</v>
      </c>
      <c r="AE36" s="50">
        <f ca="1">+GETPIVOTDATA("XSN4",'suoinghe (2016)'!$A$3,"MA_HT","DTT","MA_QH","DBV")</f>
        <v>0</v>
      </c>
      <c r="AF36" s="50">
        <f ca="1">+GETPIVOTDATA("XSN4",'suoinghe (2016)'!$A$3,"MA_HT","DTT","MA_QH","DVH")</f>
        <v>0</v>
      </c>
      <c r="AG36" s="50">
        <f ca="1">+GETPIVOTDATA("XSN4",'suoinghe (2016)'!$A$3,"MA_HT","DTT","MA_QH","DYT")</f>
        <v>0</v>
      </c>
      <c r="AH36" s="50">
        <f ca="1">+GETPIVOTDATA("XSN4",'suoinghe (2016)'!$A$3,"MA_HT","DTT","MA_QH","DGD")</f>
        <v>0</v>
      </c>
      <c r="AI36" s="49" t="e">
        <f ca="1">$D36-$BF36</f>
        <v>#REF!</v>
      </c>
      <c r="AJ36" s="50">
        <f ca="1">+GETPIVOTDATA("XSN4",'suoinghe (2016)'!$A$3,"MA_HT","DTT","MA_QH","NCK")</f>
        <v>0</v>
      </c>
      <c r="AK36" s="50">
        <f ca="1">+GETPIVOTDATA("XSN4",'suoinghe (2016)'!$A$3,"MA_HT","DTT","MA_QH","DXH")</f>
        <v>0</v>
      </c>
      <c r="AL36" s="50">
        <f ca="1">+GETPIVOTDATA("XSN4",'suoinghe (2016)'!$A$3,"MA_HT","DTT","MA_QH","DCH")</f>
        <v>0</v>
      </c>
      <c r="AM36" s="50">
        <f ca="1">+GETPIVOTDATA("XSN4",'suoinghe (2016)'!$A$3,"MA_HT","DTT","MA_QH","DKG")</f>
        <v>0</v>
      </c>
      <c r="AN36" s="50">
        <f ca="1">+GETPIVOTDATA("XSN4",'suoinghe (2016)'!$A$3,"MA_HT","DTT","MA_QH","DDT")</f>
        <v>0</v>
      </c>
      <c r="AO36" s="50">
        <f ca="1">+GETPIVOTDATA("XSN4",'suoinghe (2016)'!$A$3,"MA_HT","DTT","MA_QH","DDL")</f>
        <v>0</v>
      </c>
      <c r="AP36" s="50">
        <f ca="1">+GETPIVOTDATA("XSN4",'suoinghe (2016)'!$A$3,"MA_HT","DTT","MA_QH","DRA")</f>
        <v>0</v>
      </c>
      <c r="AQ36" s="50">
        <f ca="1">+GETPIVOTDATA("XSN4",'suoinghe (2016)'!$A$3,"MA_HT","DTT","MA_QH","ONT")</f>
        <v>0</v>
      </c>
      <c r="AR36" s="50">
        <f ca="1">+GETPIVOTDATA("XSN4",'suoinghe (2016)'!$A$3,"MA_HT","DTT","MA_QH","ODT")</f>
        <v>0</v>
      </c>
      <c r="AS36" s="50">
        <f ca="1">+GETPIVOTDATA("XSN4",'suoinghe (2016)'!$A$3,"MA_HT","DTT","MA_QH","TSC")</f>
        <v>0</v>
      </c>
      <c r="AT36" s="50">
        <f ca="1">+GETPIVOTDATA("XSN4",'suoinghe (2016)'!$A$3,"MA_HT","DTT","MA_QH","DTS")</f>
        <v>0</v>
      </c>
      <c r="AU36" s="50">
        <f ca="1">+GETPIVOTDATA("XSN4",'suoinghe (2016)'!$A$3,"MA_HT","DTT","MA_QH","DNG")</f>
        <v>0</v>
      </c>
      <c r="AV36" s="50">
        <f ca="1">+GETPIVOTDATA("XSN4",'suoinghe (2016)'!$A$3,"MA_HT","DTT","MA_QH","TON")</f>
        <v>0</v>
      </c>
      <c r="AW36" s="50">
        <f ca="1">+GETPIVOTDATA("XSN4",'suoinghe (2016)'!$A$3,"MA_HT","DTT","MA_QH","NTD")</f>
        <v>0</v>
      </c>
      <c r="AX36" s="50">
        <f ca="1">+GETPIVOTDATA("XSN4",'suoinghe (2016)'!$A$3,"MA_HT","DTT","MA_QH","SKX")</f>
        <v>0</v>
      </c>
      <c r="AY36" s="50">
        <f ca="1">+GETPIVOTDATA("XSN4",'suoinghe (2016)'!$A$3,"MA_HT","DTT","MA_QH","DSH")</f>
        <v>0</v>
      </c>
      <c r="AZ36" s="50">
        <f ca="1">+GETPIVOTDATA("XSN4",'suoinghe (2016)'!$A$3,"MA_HT","DTT","MA_QH","DKV")</f>
        <v>0</v>
      </c>
      <c r="BA36" s="88">
        <f ca="1">+GETPIVOTDATA("XSN4",'suoinghe (2016)'!$A$3,"MA_HT","DTT","MA_QH","TIN")</f>
        <v>0</v>
      </c>
      <c r="BB36" s="50">
        <f ca="1">+GETPIVOTDATA("XSN4",'suoinghe (2016)'!$A$3,"MA_HT","DTT","MA_QH","SON")</f>
        <v>0</v>
      </c>
      <c r="BC36" s="50">
        <f ca="1">+GETPIVOTDATA("XSN4",'suoinghe (2016)'!$A$3,"MA_HT","DTT","MA_QH","MNC")</f>
        <v>0</v>
      </c>
      <c r="BD36" s="50">
        <f ca="1">+GETPIVOTDATA("XSN4",'suoinghe (2016)'!$A$3,"MA_HT","DTT","MA_QH","PNK")</f>
        <v>0</v>
      </c>
      <c r="BE36" s="80">
        <f ca="1">+GETPIVOTDATA("XSN4",'suoinghe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+GETPIVOTDATA("XSN4",'suoinghe (2016)'!$A$3,"MA_HT","NCK","MA_QH","LUC")</f>
        <v>0</v>
      </c>
      <c r="H37" s="50">
        <f ca="1">+GETPIVOTDATA("XSN4",'suoinghe (2016)'!$A$3,"MA_HT","NCK","MA_QH","LUK")</f>
        <v>0</v>
      </c>
      <c r="I37" s="50">
        <f ca="1">+GETPIVOTDATA("XSN4",'suoinghe (2016)'!$A$3,"MA_HT","NCK","MA_QH","LUN")</f>
        <v>0</v>
      </c>
      <c r="J37" s="50">
        <f ca="1">+GETPIVOTDATA("XSN4",'suoinghe (2016)'!$A$3,"MA_HT","NCK","MA_QH","HNK")</f>
        <v>0</v>
      </c>
      <c r="K37" s="50">
        <f ca="1">+GETPIVOTDATA("XSN4",'suoinghe (2016)'!$A$3,"MA_HT","NCK","MA_QH","CLN")</f>
        <v>0</v>
      </c>
      <c r="L37" s="50">
        <f ca="1">+GETPIVOTDATA("XSN4",'suoinghe (2016)'!$A$3,"MA_HT","NCK","MA_QH","RSX")</f>
        <v>0</v>
      </c>
      <c r="M37" s="50">
        <f ca="1">+GETPIVOTDATA("XSN4",'suoinghe (2016)'!$A$3,"MA_HT","NCK","MA_QH","RPH")</f>
        <v>0</v>
      </c>
      <c r="N37" s="50">
        <f ca="1">+GETPIVOTDATA("XSN4",'suoinghe (2016)'!$A$3,"MA_HT","NCK","MA_QH","RDD")</f>
        <v>0</v>
      </c>
      <c r="O37" s="50">
        <f ca="1">+GETPIVOTDATA("XSN4",'suoinghe (2016)'!$A$3,"MA_HT","NCK","MA_QH","NTS")</f>
        <v>0</v>
      </c>
      <c r="P37" s="50">
        <f ca="1">+GETPIVOTDATA("XSN4",'suoinghe (2016)'!$A$3,"MA_HT","NCK","MA_QH","LMU")</f>
        <v>0</v>
      </c>
      <c r="Q37" s="50">
        <f ca="1">+GETPIVOTDATA("XSN4",'suoinghe (2016)'!$A$3,"MA_HT","NCK","MA_QH","NKH")</f>
        <v>0</v>
      </c>
      <c r="R37" s="48">
        <f ca="1" t="shared" si="20"/>
        <v>0</v>
      </c>
      <c r="S37" s="50">
        <f ca="1">+GETPIVOTDATA("XSN4",'suoinghe (2016)'!$A$3,"MA_HT","NCK","MA_QH","CQP")</f>
        <v>0</v>
      </c>
      <c r="T37" s="50">
        <f ca="1">+GETPIVOTDATA("XSN4",'suoinghe (2016)'!$A$3,"MA_HT","NCK","MA_QH","CAN")</f>
        <v>0</v>
      </c>
      <c r="U37" s="50">
        <f ca="1">+GETPIVOTDATA("XSN4",'suoinghe (2016)'!$A$3,"MA_HT","NCK","MA_QH","SKK")</f>
        <v>0</v>
      </c>
      <c r="V37" s="50">
        <f ca="1">+GETPIVOTDATA("XSN4",'suoinghe (2016)'!$A$3,"MA_HT","NCK","MA_QH","SKT")</f>
        <v>0</v>
      </c>
      <c r="W37" s="50">
        <f ca="1">+GETPIVOTDATA("XSN4",'suoinghe (2016)'!$A$3,"MA_HT","NCK","MA_QH","SKN")</f>
        <v>0</v>
      </c>
      <c r="X37" s="50">
        <f ca="1">+GETPIVOTDATA("XSN4",'suoinghe (2016)'!$A$3,"MA_HT","NCK","MA_QH","TMD")</f>
        <v>0</v>
      </c>
      <c r="Y37" s="50">
        <f ca="1">+GETPIVOTDATA("XSN4",'suoinghe (2016)'!$A$3,"MA_HT","NCK","MA_QH","SKC")</f>
        <v>0</v>
      </c>
      <c r="Z37" s="50">
        <f ca="1">+GETPIVOTDATA("XSN4",'suoinghe (2016)'!$A$3,"MA_HT","NCK","MA_QH","SKS")</f>
        <v>0</v>
      </c>
      <c r="AA37" s="52">
        <f ca="1">+SUM(AB37:AI37,AK37:AM37)</f>
        <v>0</v>
      </c>
      <c r="AB37" s="50">
        <f ca="1">+GETPIVOTDATA("XSN4",'suoinghe (2016)'!$A$3,"MA_HT","NCK","MA_QH","DGT")</f>
        <v>0</v>
      </c>
      <c r="AC37" s="50">
        <f ca="1">+GETPIVOTDATA("XSN4",'suoinghe (2016)'!$A$3,"MA_HT","NCK","MA_QH","DTL")</f>
        <v>0</v>
      </c>
      <c r="AD37" s="50">
        <f ca="1">+GETPIVOTDATA("XSN4",'suoinghe (2016)'!$A$3,"MA_HT","NCK","MA_QH","DNL")</f>
        <v>0</v>
      </c>
      <c r="AE37" s="50">
        <f ca="1">+GETPIVOTDATA("XSN4",'suoinghe (2016)'!$A$3,"MA_HT","NCK","MA_QH","DBV")</f>
        <v>0</v>
      </c>
      <c r="AF37" s="50">
        <f ca="1">+GETPIVOTDATA("XSN4",'suoinghe (2016)'!$A$3,"MA_HT","NCK","MA_QH","DVH")</f>
        <v>0</v>
      </c>
      <c r="AG37" s="50">
        <f ca="1">+GETPIVOTDATA("XSN4",'suoinghe (2016)'!$A$3,"MA_HT","NCK","MA_QH","DYT")</f>
        <v>0</v>
      </c>
      <c r="AH37" s="50">
        <f ca="1">+GETPIVOTDATA("XSN4",'suoinghe (2016)'!$A$3,"MA_HT","NCK","MA_QH","DGD")</f>
        <v>0</v>
      </c>
      <c r="AI37" s="50">
        <f ca="1">+GETPIVOTDATA("XSN4",'suoinghe (2016)'!$A$3,"MA_HT","NCK","MA_QH","DTT")</f>
        <v>0</v>
      </c>
      <c r="AJ37" s="49" t="e">
        <f ca="1">$D37-$BF37</f>
        <v>#REF!</v>
      </c>
      <c r="AK37" s="50">
        <f ca="1">+GETPIVOTDATA("XSN4",'suoinghe (2016)'!$A$3,"MA_HT","NCK","MA_QH","DXH")</f>
        <v>0</v>
      </c>
      <c r="AL37" s="50">
        <f ca="1">+GETPIVOTDATA("XSN4",'suoinghe (2016)'!$A$3,"MA_HT","NCK","MA_QH","DCH")</f>
        <v>0</v>
      </c>
      <c r="AM37" s="50">
        <f ca="1">+GETPIVOTDATA("XSN4",'suoinghe (2016)'!$A$3,"MA_HT","NCK","MA_QH","DKG")</f>
        <v>0</v>
      </c>
      <c r="AN37" s="50">
        <f ca="1">+GETPIVOTDATA("XSN4",'suoinghe (2016)'!$A$3,"MA_HT","NCK","MA_QH","DDT")</f>
        <v>0</v>
      </c>
      <c r="AO37" s="50">
        <f ca="1">+GETPIVOTDATA("XSN4",'suoinghe (2016)'!$A$3,"MA_HT","NCK","MA_QH","DDL")</f>
        <v>0</v>
      </c>
      <c r="AP37" s="50">
        <f ca="1">+GETPIVOTDATA("XSN4",'suoinghe (2016)'!$A$3,"MA_HT","NCK","MA_QH","DRA")</f>
        <v>0</v>
      </c>
      <c r="AQ37" s="50">
        <f ca="1">+GETPIVOTDATA("XSN4",'suoinghe (2016)'!$A$3,"MA_HT","NCK","MA_QH","ONT")</f>
        <v>0</v>
      </c>
      <c r="AR37" s="50">
        <f ca="1">+GETPIVOTDATA("XSN4",'suoinghe (2016)'!$A$3,"MA_HT","NCK","MA_QH","ODT")</f>
        <v>0</v>
      </c>
      <c r="AS37" s="50">
        <f ca="1">+GETPIVOTDATA("XSN4",'suoinghe (2016)'!$A$3,"MA_HT","NCK","MA_QH","TSC")</f>
        <v>0</v>
      </c>
      <c r="AT37" s="50">
        <f ca="1">+GETPIVOTDATA("XSN4",'suoinghe (2016)'!$A$3,"MA_HT","NCK","MA_QH","DTS")</f>
        <v>0</v>
      </c>
      <c r="AU37" s="50">
        <f ca="1">+GETPIVOTDATA("XSN4",'suoinghe (2016)'!$A$3,"MA_HT","NCK","MA_QH","DNG")</f>
        <v>0</v>
      </c>
      <c r="AV37" s="50">
        <f ca="1">+GETPIVOTDATA("XSN4",'suoinghe (2016)'!$A$3,"MA_HT","NCK","MA_QH","TON")</f>
        <v>0</v>
      </c>
      <c r="AW37" s="50">
        <f ca="1">+GETPIVOTDATA("XSN4",'suoinghe (2016)'!$A$3,"MA_HT","NCK","MA_QH","NTD")</f>
        <v>0</v>
      </c>
      <c r="AX37" s="50">
        <f ca="1">+GETPIVOTDATA("XSN4",'suoinghe (2016)'!$A$3,"MA_HT","NCK","MA_QH","SKX")</f>
        <v>0</v>
      </c>
      <c r="AY37" s="50">
        <f ca="1">+GETPIVOTDATA("XSN4",'suoinghe (2016)'!$A$3,"MA_HT","NCK","MA_QH","DSH")</f>
        <v>0</v>
      </c>
      <c r="AZ37" s="50">
        <f ca="1">+GETPIVOTDATA("XSN4",'suoinghe (2016)'!$A$3,"MA_HT","NCK","MA_QH","DKV")</f>
        <v>0</v>
      </c>
      <c r="BA37" s="88">
        <f ca="1">+GETPIVOTDATA("XSN4",'suoinghe (2016)'!$A$3,"MA_HT","NCK","MA_QH","TIN")</f>
        <v>0</v>
      </c>
      <c r="BB37" s="50">
        <f ca="1">+GETPIVOTDATA("XSN4",'suoinghe (2016)'!$A$3,"MA_HT","NCK","MA_QH","SON")</f>
        <v>0</v>
      </c>
      <c r="BC37" s="50">
        <f ca="1">+GETPIVOTDATA("XSN4",'suoinghe (2016)'!$A$3,"MA_HT","NCK","MA_QH","MNC")</f>
        <v>0</v>
      </c>
      <c r="BD37" s="50">
        <f ca="1">+GETPIVOTDATA("XSN4",'suoinghe (2016)'!$A$3,"MA_HT","NCK","MA_QH","PNK")</f>
        <v>0</v>
      </c>
      <c r="BE37" s="80">
        <f ca="1">+GETPIVOTDATA("XSN4",'suoinghe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+GETPIVOTDATA("XSN4",'suoinghe (2016)'!$A$3,"MA_HT","DXH","MA_QH","LUC")</f>
        <v>0</v>
      </c>
      <c r="H38" s="50">
        <f ca="1">+GETPIVOTDATA("XSN4",'suoinghe (2016)'!$A$3,"MA_HT","DXH","MA_QH","LUK")</f>
        <v>0</v>
      </c>
      <c r="I38" s="50">
        <f ca="1">+GETPIVOTDATA("XSN4",'suoinghe (2016)'!$A$3,"MA_HT","DXH","MA_QH","LUN")</f>
        <v>0</v>
      </c>
      <c r="J38" s="50">
        <f ca="1">+GETPIVOTDATA("XSN4",'suoinghe (2016)'!$A$3,"MA_HT","DXH","MA_QH","HNK")</f>
        <v>0</v>
      </c>
      <c r="K38" s="50">
        <f ca="1">+GETPIVOTDATA("XSN4",'suoinghe (2016)'!$A$3,"MA_HT","DXH","MA_QH","CLN")</f>
        <v>0</v>
      </c>
      <c r="L38" s="50">
        <f ca="1">+GETPIVOTDATA("XSN4",'suoinghe (2016)'!$A$3,"MA_HT","DXH","MA_QH","RSX")</f>
        <v>0</v>
      </c>
      <c r="M38" s="50">
        <f ca="1">+GETPIVOTDATA("XSN4",'suoinghe (2016)'!$A$3,"MA_HT","DXH","MA_QH","RPH")</f>
        <v>0</v>
      </c>
      <c r="N38" s="50">
        <f ca="1">+GETPIVOTDATA("XSN4",'suoinghe (2016)'!$A$3,"MA_HT","DXH","MA_QH","RDD")</f>
        <v>0</v>
      </c>
      <c r="O38" s="50">
        <f ca="1">+GETPIVOTDATA("XSN4",'suoinghe (2016)'!$A$3,"MA_HT","DXH","MA_QH","NTS")</f>
        <v>0</v>
      </c>
      <c r="P38" s="50">
        <f ca="1">+GETPIVOTDATA("XSN4",'suoinghe (2016)'!$A$3,"MA_HT","DXH","MA_QH","LMU")</f>
        <v>0</v>
      </c>
      <c r="Q38" s="50">
        <f ca="1">+GETPIVOTDATA("XSN4",'suoinghe (2016)'!$A$3,"MA_HT","DXH","MA_QH","NKH")</f>
        <v>0</v>
      </c>
      <c r="R38" s="48">
        <f ca="1" t="shared" si="20"/>
        <v>0</v>
      </c>
      <c r="S38" s="50">
        <f ca="1">+GETPIVOTDATA("XSN4",'suoinghe (2016)'!$A$3,"MA_HT","DXH","MA_QH","CQP")</f>
        <v>0</v>
      </c>
      <c r="T38" s="50">
        <f ca="1">+GETPIVOTDATA("XSN4",'suoinghe (2016)'!$A$3,"MA_HT","DXH","MA_QH","CAN")</f>
        <v>0</v>
      </c>
      <c r="U38" s="50">
        <f ca="1">+GETPIVOTDATA("XSN4",'suoinghe (2016)'!$A$3,"MA_HT","DXH","MA_QH","SKK")</f>
        <v>0</v>
      </c>
      <c r="V38" s="50">
        <f ca="1">+GETPIVOTDATA("XSN4",'suoinghe (2016)'!$A$3,"MA_HT","DXH","MA_QH","SKT")</f>
        <v>0</v>
      </c>
      <c r="W38" s="50">
        <f ca="1">+GETPIVOTDATA("XSN4",'suoinghe (2016)'!$A$3,"MA_HT","DXH","MA_QH","SKN")</f>
        <v>0</v>
      </c>
      <c r="X38" s="50">
        <f ca="1">+GETPIVOTDATA("XSN4",'suoinghe (2016)'!$A$3,"MA_HT","DXH","MA_QH","TMD")</f>
        <v>0</v>
      </c>
      <c r="Y38" s="50">
        <f ca="1">+GETPIVOTDATA("XSN4",'suoinghe (2016)'!$A$3,"MA_HT","DXH","MA_QH","SKC")</f>
        <v>0</v>
      </c>
      <c r="Z38" s="50">
        <f ca="1">+GETPIVOTDATA("XSN4",'suoinghe (2016)'!$A$3,"MA_HT","DXH","MA_QH","SKS")</f>
        <v>0</v>
      </c>
      <c r="AA38" s="52">
        <f ca="1">+SUM(AB38:AJ38,AL38:AM38)</f>
        <v>0</v>
      </c>
      <c r="AB38" s="50">
        <f ca="1">+GETPIVOTDATA("XSN4",'suoinghe (2016)'!$A$3,"MA_HT","DXH","MA_QH","DGT")</f>
        <v>0</v>
      </c>
      <c r="AC38" s="50">
        <f ca="1">+GETPIVOTDATA("XSN4",'suoinghe (2016)'!$A$3,"MA_HT","DXH","MA_QH","DTL")</f>
        <v>0</v>
      </c>
      <c r="AD38" s="50">
        <f ca="1">+GETPIVOTDATA("XSN4",'suoinghe (2016)'!$A$3,"MA_HT","DXH","MA_QH","DNL")</f>
        <v>0</v>
      </c>
      <c r="AE38" s="50">
        <f ca="1">+GETPIVOTDATA("XSN4",'suoinghe (2016)'!$A$3,"MA_HT","DXH","MA_QH","DBV")</f>
        <v>0</v>
      </c>
      <c r="AF38" s="50">
        <f ca="1">+GETPIVOTDATA("XSN4",'suoinghe (2016)'!$A$3,"MA_HT","DXH","MA_QH","DVH")</f>
        <v>0</v>
      </c>
      <c r="AG38" s="50">
        <f ca="1">+GETPIVOTDATA("XSN4",'suoinghe (2016)'!$A$3,"MA_HT","DXH","MA_QH","DYT")</f>
        <v>0</v>
      </c>
      <c r="AH38" s="50">
        <f ca="1">+GETPIVOTDATA("XSN4",'suoinghe (2016)'!$A$3,"MA_HT","DXH","MA_QH","DGD")</f>
        <v>0</v>
      </c>
      <c r="AI38" s="50">
        <f ca="1">+GETPIVOTDATA("XSN4",'suoinghe (2016)'!$A$3,"MA_HT","DXH","MA_QH","DTT")</f>
        <v>0</v>
      </c>
      <c r="AJ38" s="50">
        <f ca="1">+GETPIVOTDATA("XSN4",'suoinghe (2016)'!$A$3,"MA_HT","DXH","MA_QH","NCK")</f>
        <v>0</v>
      </c>
      <c r="AK38" s="49" t="e">
        <f ca="1">$D38-$BF38</f>
        <v>#REF!</v>
      </c>
      <c r="AL38" s="50">
        <f ca="1">+GETPIVOTDATA("XSN4",'suoinghe (2016)'!$A$3,"MA_HT","DXH","MA_QH","DCH")</f>
        <v>0</v>
      </c>
      <c r="AM38" s="50">
        <f ca="1">+GETPIVOTDATA("XSN4",'suoinghe (2016)'!$A$3,"MA_HT","DXH","MA_QH","DKG")</f>
        <v>0</v>
      </c>
      <c r="AN38" s="50">
        <f ca="1">+GETPIVOTDATA("XSN4",'suoinghe (2016)'!$A$3,"MA_HT","DXH","MA_QH","DDT")</f>
        <v>0</v>
      </c>
      <c r="AO38" s="50">
        <f ca="1">+GETPIVOTDATA("XSN4",'suoinghe (2016)'!$A$3,"MA_HT","DXH","MA_QH","DDL")</f>
        <v>0</v>
      </c>
      <c r="AP38" s="50">
        <f ca="1">+GETPIVOTDATA("XSN4",'suoinghe (2016)'!$A$3,"MA_HT","DXH","MA_QH","DRA")</f>
        <v>0</v>
      </c>
      <c r="AQ38" s="50">
        <f ca="1">+GETPIVOTDATA("XSN4",'suoinghe (2016)'!$A$3,"MA_HT","DXH","MA_QH","ONT")</f>
        <v>0</v>
      </c>
      <c r="AR38" s="50">
        <f ca="1">+GETPIVOTDATA("XSN4",'suoinghe (2016)'!$A$3,"MA_HT","DXH","MA_QH","ODT")</f>
        <v>0</v>
      </c>
      <c r="AS38" s="50">
        <f ca="1">+GETPIVOTDATA("XSN4",'suoinghe (2016)'!$A$3,"MA_HT","DXH","MA_QH","TSC")</f>
        <v>0</v>
      </c>
      <c r="AT38" s="50">
        <f ca="1">+GETPIVOTDATA("XSN4",'suoinghe (2016)'!$A$3,"MA_HT","DXH","MA_QH","DTS")</f>
        <v>0</v>
      </c>
      <c r="AU38" s="50">
        <f ca="1">+GETPIVOTDATA("XSN4",'suoinghe (2016)'!$A$3,"MA_HT","DXH","MA_QH","DNG")</f>
        <v>0</v>
      </c>
      <c r="AV38" s="50">
        <f ca="1">+GETPIVOTDATA("XSN4",'suoinghe (2016)'!$A$3,"MA_HT","DXH","MA_QH","TON")</f>
        <v>0</v>
      </c>
      <c r="AW38" s="50">
        <f ca="1">+GETPIVOTDATA("XSN4",'suoinghe (2016)'!$A$3,"MA_HT","DXH","MA_QH","NTD")</f>
        <v>0</v>
      </c>
      <c r="AX38" s="50">
        <f ca="1">+GETPIVOTDATA("XSN4",'suoinghe (2016)'!$A$3,"MA_HT","DXH","MA_QH","SKX")</f>
        <v>0</v>
      </c>
      <c r="AY38" s="50">
        <f ca="1">+GETPIVOTDATA("XSN4",'suoinghe (2016)'!$A$3,"MA_HT","DXH","MA_QH","DSH")</f>
        <v>0</v>
      </c>
      <c r="AZ38" s="50">
        <f ca="1">+GETPIVOTDATA("XSN4",'suoinghe (2016)'!$A$3,"MA_HT","DXH","MA_QH","DKV")</f>
        <v>0</v>
      </c>
      <c r="BA38" s="88">
        <f ca="1">+GETPIVOTDATA("XSN4",'suoinghe (2016)'!$A$3,"MA_HT","DXH","MA_QH","TIN")</f>
        <v>0</v>
      </c>
      <c r="BB38" s="50">
        <f ca="1">+GETPIVOTDATA("XSN4",'suoinghe (2016)'!$A$3,"MA_HT","DXH","MA_QH","SON")</f>
        <v>0</v>
      </c>
      <c r="BC38" s="50">
        <f ca="1">+GETPIVOTDATA("XSN4",'suoinghe (2016)'!$A$3,"MA_HT","DXH","MA_QH","MNC")</f>
        <v>0</v>
      </c>
      <c r="BD38" s="50">
        <f ca="1">+GETPIVOTDATA("XSN4",'suoinghe (2016)'!$A$3,"MA_HT","DXH","MA_QH","PNK")</f>
        <v>0</v>
      </c>
      <c r="BE38" s="80">
        <f ca="1">+GETPIVOTDATA("XSN4",'suoinghe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+GETPIVOTDATA("XSN4",'suoinghe (2016)'!$A$3,"MA_HT","DCH","MA_QH","LUC")</f>
        <v>0</v>
      </c>
      <c r="H39" s="50">
        <f ca="1">+GETPIVOTDATA("XSN4",'suoinghe (2016)'!$A$3,"MA_HT","DCH","MA_QH","LUK")</f>
        <v>0</v>
      </c>
      <c r="I39" s="50">
        <f ca="1">+GETPIVOTDATA("XSN4",'suoinghe (2016)'!$A$3,"MA_HT","DCH","MA_QH","LUN")</f>
        <v>0</v>
      </c>
      <c r="J39" s="50">
        <f ca="1">+GETPIVOTDATA("XSN4",'suoinghe (2016)'!$A$3,"MA_HT","DCH","MA_QH","HNK")</f>
        <v>0</v>
      </c>
      <c r="K39" s="50">
        <f ca="1">+GETPIVOTDATA("XSN4",'suoinghe (2016)'!$A$3,"MA_HT","DCH","MA_QH","CLN")</f>
        <v>0</v>
      </c>
      <c r="L39" s="50">
        <f ca="1">+GETPIVOTDATA("XSN4",'suoinghe (2016)'!$A$3,"MA_HT","DCH","MA_QH","RSX")</f>
        <v>0</v>
      </c>
      <c r="M39" s="50">
        <f ca="1">+GETPIVOTDATA("XSN4",'suoinghe (2016)'!$A$3,"MA_HT","DCH","MA_QH","RPH")</f>
        <v>0</v>
      </c>
      <c r="N39" s="50">
        <f ca="1">+GETPIVOTDATA("XSN4",'suoinghe (2016)'!$A$3,"MA_HT","DCH","MA_QH","RDD")</f>
        <v>0</v>
      </c>
      <c r="O39" s="50">
        <f ca="1">+GETPIVOTDATA("XSN4",'suoinghe (2016)'!$A$3,"MA_HT","DCH","MA_QH","NTS")</f>
        <v>0</v>
      </c>
      <c r="P39" s="50">
        <f ca="1">+GETPIVOTDATA("XSN4",'suoinghe (2016)'!$A$3,"MA_HT","DCH","MA_QH","LMU")</f>
        <v>0</v>
      </c>
      <c r="Q39" s="50">
        <f ca="1">+GETPIVOTDATA("XSN4",'suoinghe (2016)'!$A$3,"MA_HT","DCH","MA_QH","NKH")</f>
        <v>0</v>
      </c>
      <c r="R39" s="48">
        <f ca="1" t="shared" si="20"/>
        <v>0</v>
      </c>
      <c r="S39" s="50">
        <f ca="1">+GETPIVOTDATA("XSN4",'suoinghe (2016)'!$A$3,"MA_HT","DCH","MA_QH","CQP")</f>
        <v>0</v>
      </c>
      <c r="T39" s="50">
        <f ca="1">+GETPIVOTDATA("XSN4",'suoinghe (2016)'!$A$3,"MA_HT","DCH","MA_QH","CAN")</f>
        <v>0</v>
      </c>
      <c r="U39" s="50">
        <f ca="1">+GETPIVOTDATA("XSN4",'suoinghe (2016)'!$A$3,"MA_HT","DCH","MA_QH","SKK")</f>
        <v>0</v>
      </c>
      <c r="V39" s="50">
        <f ca="1">+GETPIVOTDATA("XSN4",'suoinghe (2016)'!$A$3,"MA_HT","DCH","MA_QH","SKT")</f>
        <v>0</v>
      </c>
      <c r="W39" s="50">
        <f ca="1">+GETPIVOTDATA("XSN4",'suoinghe (2016)'!$A$3,"MA_HT","DCH","MA_QH","SKN")</f>
        <v>0</v>
      </c>
      <c r="X39" s="50">
        <f ca="1">+GETPIVOTDATA("XSN4",'suoinghe (2016)'!$A$3,"MA_HT","DCH","MA_QH","TMD")</f>
        <v>0</v>
      </c>
      <c r="Y39" s="50">
        <f ca="1">+GETPIVOTDATA("XSN4",'suoinghe (2016)'!$A$3,"MA_HT","DCH","MA_QH","SKC")</f>
        <v>0</v>
      </c>
      <c r="Z39" s="50">
        <f ca="1">+GETPIVOTDATA("XSN4",'suoinghe (2016)'!$A$3,"MA_HT","DCH","MA_QH","SKS")</f>
        <v>0</v>
      </c>
      <c r="AA39" s="52">
        <f ca="1">+SUM(AB39:AK39,AM39)</f>
        <v>0</v>
      </c>
      <c r="AB39" s="50">
        <f ca="1">+GETPIVOTDATA("XSN4",'suoinghe (2016)'!$A$3,"MA_HT","DCH","MA_QH","DGT")</f>
        <v>0</v>
      </c>
      <c r="AC39" s="50">
        <f ca="1">+GETPIVOTDATA("XSN4",'suoinghe (2016)'!$A$3,"MA_HT","DCH","MA_QH","DTL")</f>
        <v>0</v>
      </c>
      <c r="AD39" s="50">
        <f ca="1">+GETPIVOTDATA("XSN4",'suoinghe (2016)'!$A$3,"MA_HT","DCH","MA_QH","DNL")</f>
        <v>0</v>
      </c>
      <c r="AE39" s="50">
        <f ca="1">+GETPIVOTDATA("XSN4",'suoinghe (2016)'!$A$3,"MA_HT","DCH","MA_QH","DBV")</f>
        <v>0</v>
      </c>
      <c r="AF39" s="50">
        <f ca="1">+GETPIVOTDATA("XSN4",'suoinghe (2016)'!$A$3,"MA_HT","DCH","MA_QH","DVH")</f>
        <v>0</v>
      </c>
      <c r="AG39" s="50">
        <f ca="1">+GETPIVOTDATA("XSN4",'suoinghe (2016)'!$A$3,"MA_HT","DCH","MA_QH","DYT")</f>
        <v>0</v>
      </c>
      <c r="AH39" s="50">
        <f ca="1">+GETPIVOTDATA("XSN4",'suoinghe (2016)'!$A$3,"MA_HT","DCH","MA_QH","DGD")</f>
        <v>0</v>
      </c>
      <c r="AI39" s="50">
        <f ca="1">+GETPIVOTDATA("XSN4",'suoinghe (2016)'!$A$3,"MA_HT","DCH","MA_QH","DTT")</f>
        <v>0</v>
      </c>
      <c r="AJ39" s="50">
        <f ca="1">+GETPIVOTDATA("XSN4",'suoinghe (2016)'!$A$3,"MA_HT","DCH","MA_QH","NCK")</f>
        <v>0</v>
      </c>
      <c r="AK39" s="50">
        <f ca="1">+GETPIVOTDATA("XSN4",'suoinghe (2016)'!$A$3,"MA_HT","DCH","MA_QH","DXH")</f>
        <v>0</v>
      </c>
      <c r="AL39" s="49" t="e">
        <f ca="1">$D39-$BF39</f>
        <v>#REF!</v>
      </c>
      <c r="AM39" s="50">
        <f ca="1">+GETPIVOTDATA("XSN4",'suoinghe (2016)'!$A$3,"MA_HT","DXH","MA_QH","DKG")</f>
        <v>0</v>
      </c>
      <c r="AN39" s="50">
        <f ca="1">+GETPIVOTDATA("XSN4",'suoinghe (2016)'!$A$3,"MA_HT","DCH","MA_QH","DDT")</f>
        <v>0</v>
      </c>
      <c r="AO39" s="50">
        <f ca="1">+GETPIVOTDATA("XSN4",'suoinghe (2016)'!$A$3,"MA_HT","DCH","MA_QH","DDL")</f>
        <v>0</v>
      </c>
      <c r="AP39" s="50">
        <f ca="1">+GETPIVOTDATA("XSN4",'suoinghe (2016)'!$A$3,"MA_HT","DCH","MA_QH","DRA")</f>
        <v>0</v>
      </c>
      <c r="AQ39" s="50">
        <f ca="1">+GETPIVOTDATA("XSN4",'suoinghe (2016)'!$A$3,"MA_HT","DCH","MA_QH","ONT")</f>
        <v>0</v>
      </c>
      <c r="AR39" s="50">
        <f ca="1">+GETPIVOTDATA("XSN4",'suoinghe (2016)'!$A$3,"MA_HT","DCH","MA_QH","ODT")</f>
        <v>0</v>
      </c>
      <c r="AS39" s="50">
        <f ca="1">+GETPIVOTDATA("XSN4",'suoinghe (2016)'!$A$3,"MA_HT","DCH","MA_QH","TSC")</f>
        <v>0</v>
      </c>
      <c r="AT39" s="50">
        <f ca="1">+GETPIVOTDATA("XSN4",'suoinghe (2016)'!$A$3,"MA_HT","DCH","MA_QH","DTS")</f>
        <v>0</v>
      </c>
      <c r="AU39" s="50">
        <f ca="1">+GETPIVOTDATA("XSN4",'suoinghe (2016)'!$A$3,"MA_HT","DCH","MA_QH","DNG")</f>
        <v>0</v>
      </c>
      <c r="AV39" s="50">
        <f ca="1">+GETPIVOTDATA("XSN4",'suoinghe (2016)'!$A$3,"MA_HT","DCH","MA_QH","TON")</f>
        <v>0</v>
      </c>
      <c r="AW39" s="50">
        <f ca="1">+GETPIVOTDATA("XSN4",'suoinghe (2016)'!$A$3,"MA_HT","DCH","MA_QH","NTD")</f>
        <v>0</v>
      </c>
      <c r="AX39" s="50">
        <f ca="1">+GETPIVOTDATA("XSN4",'suoinghe (2016)'!$A$3,"MA_HT","DCH","MA_QH","SKX")</f>
        <v>0</v>
      </c>
      <c r="AY39" s="50">
        <f ca="1">+GETPIVOTDATA("XSN4",'suoinghe (2016)'!$A$3,"MA_HT","DCH","MA_QH","DSH")</f>
        <v>0</v>
      </c>
      <c r="AZ39" s="50">
        <f ca="1">+GETPIVOTDATA("XSN4",'suoinghe (2016)'!$A$3,"MA_HT","DCH","MA_QH","DKV")</f>
        <v>0</v>
      </c>
      <c r="BA39" s="88">
        <f ca="1">+GETPIVOTDATA("XSN4",'suoinghe (2016)'!$A$3,"MA_HT","DCH","MA_QH","TIN")</f>
        <v>0</v>
      </c>
      <c r="BB39" s="50">
        <f ca="1">+GETPIVOTDATA("XSN4",'suoinghe (2016)'!$A$3,"MA_HT","DCH","MA_QH","SON")</f>
        <v>0</v>
      </c>
      <c r="BC39" s="50">
        <f ca="1">+GETPIVOTDATA("XSN4",'suoinghe (2016)'!$A$3,"MA_HT","DCH","MA_QH","MNC")</f>
        <v>0</v>
      </c>
      <c r="BD39" s="50">
        <f ca="1">+GETPIVOTDATA("XSN4",'suoinghe (2016)'!$A$3,"MA_HT","DCH","MA_QH","PNK")</f>
        <v>0</v>
      </c>
      <c r="BE39" s="80">
        <f ca="1">+GETPIVOTDATA("XSN4",'suoinghe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+GETPIVOTDATA("XSN4",'suoinghe (2016)'!$A$3,"MA_HT","DKG","MA_QH","LUC")</f>
        <v>0</v>
      </c>
      <c r="H40" s="50">
        <f ca="1">+GETPIVOTDATA("XSN4",'suoinghe (2016)'!$A$3,"MA_HT","DKG","MA_QH","LUK")</f>
        <v>0</v>
      </c>
      <c r="I40" s="50">
        <f ca="1">+GETPIVOTDATA("XSN4",'suoinghe (2016)'!$A$3,"MA_HT","DKG","MA_QH","LUN")</f>
        <v>0</v>
      </c>
      <c r="J40" s="50">
        <f ca="1">+GETPIVOTDATA("XSN4",'suoinghe (2016)'!$A$3,"MA_HT","DKG","MA_QH","HNK")</f>
        <v>0</v>
      </c>
      <c r="K40" s="50">
        <f ca="1">+GETPIVOTDATA("XSN4",'suoinghe (2016)'!$A$3,"MA_HT","DKG","MA_QH","CLN")</f>
        <v>0</v>
      </c>
      <c r="L40" s="50">
        <f ca="1">+GETPIVOTDATA("XSN4",'suoinghe (2016)'!$A$3,"MA_HT","DKG","MA_QH","RSX")</f>
        <v>0</v>
      </c>
      <c r="M40" s="50">
        <f ca="1">+GETPIVOTDATA("XSN4",'suoinghe (2016)'!$A$3,"MA_HT","DKG","MA_QH","RPH")</f>
        <v>0</v>
      </c>
      <c r="N40" s="50">
        <f ca="1">+GETPIVOTDATA("XSN4",'suoinghe (2016)'!$A$3,"MA_HT","DKG","MA_QH","RDD")</f>
        <v>0</v>
      </c>
      <c r="O40" s="50">
        <f ca="1">+GETPIVOTDATA("XSN4",'suoinghe (2016)'!$A$3,"MA_HT","DKG","MA_QH","NTS")</f>
        <v>0</v>
      </c>
      <c r="P40" s="50">
        <f ca="1">+GETPIVOTDATA("XSN4",'suoinghe (2016)'!$A$3,"MA_HT","DKG","MA_QH","LMU")</f>
        <v>0</v>
      </c>
      <c r="Q40" s="50">
        <f ca="1">+GETPIVOTDATA("XSN4",'suoinghe (2016)'!$A$3,"MA_HT","DKG","MA_QH","NKH")</f>
        <v>0</v>
      </c>
      <c r="R40" s="48">
        <f ca="1" t="shared" si="20"/>
        <v>0</v>
      </c>
      <c r="S40" s="50">
        <f ca="1">+GETPIVOTDATA("XSN4",'suoinghe (2016)'!$A$3,"MA_HT","DKG","MA_QH","CQP")</f>
        <v>0</v>
      </c>
      <c r="T40" s="50">
        <f ca="1">+GETPIVOTDATA("XSN4",'suoinghe (2016)'!$A$3,"MA_HT","DKG","MA_QH","CAN")</f>
        <v>0</v>
      </c>
      <c r="U40" s="50">
        <f ca="1">+GETPIVOTDATA("XSN4",'suoinghe (2016)'!$A$3,"MA_HT","DKG","MA_QH","SKK")</f>
        <v>0</v>
      </c>
      <c r="V40" s="50">
        <f ca="1">+GETPIVOTDATA("XSN4",'suoinghe (2016)'!$A$3,"MA_HT","DKG","MA_QH","SKT")</f>
        <v>0</v>
      </c>
      <c r="W40" s="50">
        <f ca="1">+GETPIVOTDATA("XSN4",'suoinghe (2016)'!$A$3,"MA_HT","DKG","MA_QH","SKN")</f>
        <v>0</v>
      </c>
      <c r="X40" s="50">
        <f ca="1">+GETPIVOTDATA("XSN4",'suoinghe (2016)'!$A$3,"MA_HT","DKG","MA_QH","TMD")</f>
        <v>0</v>
      </c>
      <c r="Y40" s="50">
        <f ca="1">+GETPIVOTDATA("XSN4",'suoinghe (2016)'!$A$3,"MA_HT","DKG","MA_QH","SKC")</f>
        <v>0</v>
      </c>
      <c r="Z40" s="50">
        <f ca="1">+GETPIVOTDATA("XSN4",'suoinghe (2016)'!$A$3,"MA_HT","DKG","MA_QH","SKS")</f>
        <v>0</v>
      </c>
      <c r="AA40" s="52">
        <f ca="1">+SUM(AB40:AL40)</f>
        <v>0</v>
      </c>
      <c r="AB40" s="50">
        <f ca="1">+GETPIVOTDATA("XSN4",'suoinghe (2016)'!$A$3,"MA_HT","DKG","MA_QH","DGT")</f>
        <v>0</v>
      </c>
      <c r="AC40" s="50">
        <f ca="1">+GETPIVOTDATA("XSN4",'suoinghe (2016)'!$A$3,"MA_HT","DKG","MA_QH","DTL")</f>
        <v>0</v>
      </c>
      <c r="AD40" s="50">
        <f ca="1">+GETPIVOTDATA("XSN4",'suoinghe (2016)'!$A$3,"MA_HT","DKG","MA_QH","DNL")</f>
        <v>0</v>
      </c>
      <c r="AE40" s="50">
        <f ca="1">+GETPIVOTDATA("XSN4",'suoinghe (2016)'!$A$3,"MA_HT","DKG","MA_QH","DBV")</f>
        <v>0</v>
      </c>
      <c r="AF40" s="50">
        <f ca="1">+GETPIVOTDATA("XSN4",'suoinghe (2016)'!$A$3,"MA_HT","DKG","MA_QH","DVH")</f>
        <v>0</v>
      </c>
      <c r="AG40" s="50">
        <f ca="1">+GETPIVOTDATA("XSN4",'suoinghe (2016)'!$A$3,"MA_HT","DKG","MA_QH","DYT")</f>
        <v>0</v>
      </c>
      <c r="AH40" s="50">
        <f ca="1">+GETPIVOTDATA("XSN4",'suoinghe (2016)'!$A$3,"MA_HT","DKG","MA_QH","DGD")</f>
        <v>0</v>
      </c>
      <c r="AI40" s="50">
        <f ca="1">+GETPIVOTDATA("XSN4",'suoinghe (2016)'!$A$3,"MA_HT","DKG","MA_QH","DTT")</f>
        <v>0</v>
      </c>
      <c r="AJ40" s="50">
        <f ca="1">+GETPIVOTDATA("XSN4",'suoinghe (2016)'!$A$3,"MA_HT","DKG","MA_QH","NCK")</f>
        <v>0</v>
      </c>
      <c r="AK40" s="50">
        <f ca="1">+GETPIVOTDATA("XSN4",'suoinghe (2016)'!$A$3,"MA_HT","DKG","MA_QH","DXH")</f>
        <v>0</v>
      </c>
      <c r="AL40" s="60">
        <f ca="1">+GETPIVOTDATA("XSN4",'suoinghe (2016)'!$A$3,"MA_HT","DDT","MA_QH","DKG")</f>
        <v>0</v>
      </c>
      <c r="AM40" s="49" t="e">
        <f ca="1">$D40-$BF40</f>
        <v>#REF!</v>
      </c>
      <c r="AN40" s="50">
        <f ca="1">+GETPIVOTDATA("XSN4",'suoinghe (2016)'!$A$3,"MA_HT","DKG","MA_QH","DDT")</f>
        <v>0</v>
      </c>
      <c r="AO40" s="50">
        <f ca="1">+GETPIVOTDATA("XSN4",'suoinghe (2016)'!$A$3,"MA_HT","DKG","MA_QH","DDL")</f>
        <v>0</v>
      </c>
      <c r="AP40" s="50">
        <f ca="1">+GETPIVOTDATA("XSN4",'suoinghe (2016)'!$A$3,"MA_HT","DKG","MA_QH","DRA")</f>
        <v>0</v>
      </c>
      <c r="AQ40" s="50">
        <f ca="1">+GETPIVOTDATA("XSN4",'suoinghe (2016)'!$A$3,"MA_HT","DKG","MA_QH","ONT")</f>
        <v>0</v>
      </c>
      <c r="AR40" s="50">
        <f ca="1">+GETPIVOTDATA("XSN4",'suoinghe (2016)'!$A$3,"MA_HT","DKG","MA_QH","ODT")</f>
        <v>0</v>
      </c>
      <c r="AS40" s="50">
        <f ca="1">+GETPIVOTDATA("XSN4",'suoinghe (2016)'!$A$3,"MA_HT","DKG","MA_QH","TSC")</f>
        <v>0</v>
      </c>
      <c r="AT40" s="50">
        <f ca="1">+GETPIVOTDATA("XSN4",'suoinghe (2016)'!$A$3,"MA_HT","DKG","MA_QH","DTS")</f>
        <v>0</v>
      </c>
      <c r="AU40" s="50">
        <f ca="1">+GETPIVOTDATA("XSN4",'suoinghe (2016)'!$A$3,"MA_HT","DKG","MA_QH","DNG")</f>
        <v>0</v>
      </c>
      <c r="AV40" s="50">
        <f ca="1">+GETPIVOTDATA("XSN4",'suoinghe (2016)'!$A$3,"MA_HT","DKG","MA_QH","TON")</f>
        <v>0</v>
      </c>
      <c r="AW40" s="50">
        <f ca="1">+GETPIVOTDATA("XSN4",'suoinghe (2016)'!$A$3,"MA_HT","DKG","MA_QH","NTD")</f>
        <v>0</v>
      </c>
      <c r="AX40" s="50">
        <f ca="1">+GETPIVOTDATA("XSN4",'suoinghe (2016)'!$A$3,"MA_HT","DKG","MA_QH","SKX")</f>
        <v>0</v>
      </c>
      <c r="AY40" s="50">
        <f ca="1">+GETPIVOTDATA("XSN4",'suoinghe (2016)'!$A$3,"MA_HT","DKG","MA_QH","DSH")</f>
        <v>0</v>
      </c>
      <c r="AZ40" s="50">
        <f ca="1">+GETPIVOTDATA("XSN4",'suoinghe (2016)'!$A$3,"MA_HT","DKG","MA_QH","DKV")</f>
        <v>0</v>
      </c>
      <c r="BA40" s="88">
        <f ca="1">+GETPIVOTDATA("XSN4",'suoinghe (2016)'!$A$3,"MA_HT","DKG","MA_QH","TIN")</f>
        <v>0</v>
      </c>
      <c r="BB40" s="50">
        <f ca="1">+GETPIVOTDATA("XSN4",'suoinghe (2016)'!$A$3,"MA_HT","DKG","MA_QH","SON")</f>
        <v>0</v>
      </c>
      <c r="BC40" s="50">
        <f ca="1">+GETPIVOTDATA("XSN4",'suoinghe (2016)'!$A$3,"MA_HT","DKG","MA_QH","MNC")</f>
        <v>0</v>
      </c>
      <c r="BD40" s="50">
        <f ca="1">+GETPIVOTDATA("XSN4",'suoinghe (2016)'!$A$3,"MA_HT","DKG","MA_QH","PNK")</f>
        <v>0</v>
      </c>
      <c r="BE40" s="80">
        <f ca="1">+GETPIVOTDATA("XSN4",'suoinghe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+GETPIVOTDATA("XSN4",'suoinghe (2016)'!$A$3,"MA_HT","DDT","MA_QH","LUC")</f>
        <v>0</v>
      </c>
      <c r="H41" s="60">
        <f ca="1">+GETPIVOTDATA("XSN4",'suoinghe (2016)'!$A$3,"MA_HT","DDT","MA_QH","LUK")</f>
        <v>0</v>
      </c>
      <c r="I41" s="60">
        <f ca="1">+GETPIVOTDATA("XSN4",'suoinghe (2016)'!$A$3,"MA_HT","DDT","MA_QH","LUN")</f>
        <v>0</v>
      </c>
      <c r="J41" s="60">
        <f ca="1">+GETPIVOTDATA("XSN4",'suoinghe (2016)'!$A$3,"MA_HT","DDT","MA_QH","HNK")</f>
        <v>0</v>
      </c>
      <c r="K41" s="60">
        <f ca="1">+GETPIVOTDATA("XSN4",'suoinghe (2016)'!$A$3,"MA_HT","DDT","MA_QH","CLN")</f>
        <v>0</v>
      </c>
      <c r="L41" s="60">
        <f ca="1">+GETPIVOTDATA("XSN4",'suoinghe (2016)'!$A$3,"MA_HT","DDT","MA_QH","RSX")</f>
        <v>0</v>
      </c>
      <c r="M41" s="60">
        <f ca="1">+GETPIVOTDATA("XSN4",'suoinghe (2016)'!$A$3,"MA_HT","DDT","MA_QH","RPH")</f>
        <v>0</v>
      </c>
      <c r="N41" s="60">
        <f ca="1">+GETPIVOTDATA("XSN4",'suoinghe (2016)'!$A$3,"MA_HT","DDT","MA_QH","RDD")</f>
        <v>0</v>
      </c>
      <c r="O41" s="60">
        <f ca="1">+GETPIVOTDATA("XSN4",'suoinghe (2016)'!$A$3,"MA_HT","DDT","MA_QH","NTS")</f>
        <v>0</v>
      </c>
      <c r="P41" s="60">
        <f ca="1">+GETPIVOTDATA("XSN4",'suoinghe (2016)'!$A$3,"MA_HT","DDT","MA_QH","LMU")</f>
        <v>0</v>
      </c>
      <c r="Q41" s="60">
        <f ca="1">+GETPIVOTDATA("XSN4",'suoinghe (2016)'!$A$3,"MA_HT","DDT","MA_QH","NKH")</f>
        <v>0</v>
      </c>
      <c r="R41" s="78">
        <f ca="1">SUM(S41:AA41,AO41:BD41)</f>
        <v>0</v>
      </c>
      <c r="S41" s="60">
        <f ca="1">+GETPIVOTDATA("XSN4",'suoinghe (2016)'!$A$3,"MA_HT","DDT","MA_QH","CQP")</f>
        <v>0</v>
      </c>
      <c r="T41" s="60">
        <f ca="1">+GETPIVOTDATA("XSN4",'suoinghe (2016)'!$A$3,"MA_HT","DDT","MA_QH","CAN")</f>
        <v>0</v>
      </c>
      <c r="U41" s="60">
        <f ca="1">+GETPIVOTDATA("XSN4",'suoinghe (2016)'!$A$3,"MA_HT","DDT","MA_QH","SKK")</f>
        <v>0</v>
      </c>
      <c r="V41" s="60">
        <f ca="1">+GETPIVOTDATA("XSN4",'suoinghe (2016)'!$A$3,"MA_HT","DDT","MA_QH","SKT")</f>
        <v>0</v>
      </c>
      <c r="W41" s="60">
        <f ca="1">+GETPIVOTDATA("XSN4",'suoinghe (2016)'!$A$3,"MA_HT","DDT","MA_QH","SKN")</f>
        <v>0</v>
      </c>
      <c r="X41" s="60">
        <f ca="1">+GETPIVOTDATA("XSN4",'suoinghe (2016)'!$A$3,"MA_HT","DDT","MA_QH","TMD")</f>
        <v>0</v>
      </c>
      <c r="Y41" s="60">
        <f ca="1">+GETPIVOTDATA("XSN4",'suoinghe (2016)'!$A$3,"MA_HT","DDT","MA_QH","SKC")</f>
        <v>0</v>
      </c>
      <c r="Z41" s="60">
        <f ca="1">+GETPIVOTDATA("XSN4",'suoinghe (2016)'!$A$3,"MA_HT","DDT","MA_QH","SKS")</f>
        <v>0</v>
      </c>
      <c r="AA41" s="59">
        <f ca="1" t="shared" ref="AA41:AA58" si="21">+SUM(AB41:AM41)</f>
        <v>0</v>
      </c>
      <c r="AB41" s="60">
        <f ca="1">+GETPIVOTDATA("XSN4",'suoinghe (2016)'!$A$3,"MA_HT","DDT","MA_QH","DGT")</f>
        <v>0</v>
      </c>
      <c r="AC41" s="60">
        <f ca="1">+GETPIVOTDATA("XSN4",'suoinghe (2016)'!$A$3,"MA_HT","DDT","MA_QH","DTL")</f>
        <v>0</v>
      </c>
      <c r="AD41" s="60">
        <f ca="1">+GETPIVOTDATA("XSN4",'suoinghe (2016)'!$A$3,"MA_HT","DDT","MA_QH","DNL")</f>
        <v>0</v>
      </c>
      <c r="AE41" s="60">
        <f ca="1">+GETPIVOTDATA("XSN4",'suoinghe (2016)'!$A$3,"MA_HT","DDT","MA_QH","DBV")</f>
        <v>0</v>
      </c>
      <c r="AF41" s="60">
        <f ca="1">+GETPIVOTDATA("XSN4",'suoinghe (2016)'!$A$3,"MA_HT","DDT","MA_QH","DVH")</f>
        <v>0</v>
      </c>
      <c r="AG41" s="60">
        <f ca="1">+GETPIVOTDATA("XSN4",'suoinghe (2016)'!$A$3,"MA_HT","DDT","MA_QH","DYT")</f>
        <v>0</v>
      </c>
      <c r="AH41" s="60">
        <f ca="1">+GETPIVOTDATA("XSN4",'suoinghe (2016)'!$A$3,"MA_HT","DDT","MA_QH","DGD")</f>
        <v>0</v>
      </c>
      <c r="AI41" s="60">
        <f ca="1">+GETPIVOTDATA("XSN4",'suoinghe (2016)'!$A$3,"MA_HT","DDT","MA_QH","DTT")</f>
        <v>0</v>
      </c>
      <c r="AJ41" s="60">
        <f ca="1">+GETPIVOTDATA("XSN4",'suoinghe (2016)'!$A$3,"MA_HT","DDT","MA_QH","NCK")</f>
        <v>0</v>
      </c>
      <c r="AK41" s="60">
        <f ca="1">+GETPIVOTDATA("XSN4",'suoinghe (2016)'!$A$3,"MA_HT","DDT","MA_QH","DXH")</f>
        <v>0</v>
      </c>
      <c r="AL41" s="60">
        <f ca="1">+GETPIVOTDATA("XSN4",'suoinghe (2016)'!$A$3,"MA_HT","DDT","MA_QH","DCH")</f>
        <v>0</v>
      </c>
      <c r="AM41" s="60">
        <f ca="1">+GETPIVOTDATA("XSN4",'suoinghe (2016)'!$A$3,"MA_HT","DDT","MA_QH","DKG")</f>
        <v>0</v>
      </c>
      <c r="AN41" s="81" t="e">
        <f ca="1">$D41-$BF41</f>
        <v>#REF!</v>
      </c>
      <c r="AO41" s="60">
        <f ca="1">+GETPIVOTDATA("XSN4",'suoinghe (2016)'!$A$3,"MA_HT","DDT","MA_QH","DDL")</f>
        <v>0</v>
      </c>
      <c r="AP41" s="60">
        <f ca="1">+GETPIVOTDATA("XSN4",'suoinghe (2016)'!$A$3,"MA_HT","DDT","MA_QH","DRA")</f>
        <v>0</v>
      </c>
      <c r="AQ41" s="60">
        <f ca="1">+GETPIVOTDATA("XSN4",'suoinghe (2016)'!$A$3,"MA_HT","DDT","MA_QH","ONT")</f>
        <v>0</v>
      </c>
      <c r="AR41" s="60">
        <f ca="1">+GETPIVOTDATA("XSN4",'suoinghe (2016)'!$A$3,"MA_HT","DDT","MA_QH","ODT")</f>
        <v>0</v>
      </c>
      <c r="AS41" s="60">
        <f ca="1">+GETPIVOTDATA("XSN4",'suoinghe (2016)'!$A$3,"MA_HT","DDT","MA_QH","TSC")</f>
        <v>0</v>
      </c>
      <c r="AT41" s="60">
        <f ca="1">+GETPIVOTDATA("XSN4",'suoinghe (2016)'!$A$3,"MA_HT","DDT","MA_QH","DTS")</f>
        <v>0</v>
      </c>
      <c r="AU41" s="60">
        <f ca="1">+GETPIVOTDATA("XSN4",'suoinghe (2016)'!$A$3,"MA_HT","DDT","MA_QH","DNG")</f>
        <v>0</v>
      </c>
      <c r="AV41" s="60">
        <f ca="1">+GETPIVOTDATA("XSN4",'suoinghe (2016)'!$A$3,"MA_HT","DDT","MA_QH","TON")</f>
        <v>0</v>
      </c>
      <c r="AW41" s="60">
        <f ca="1">+GETPIVOTDATA("XSN4",'suoinghe (2016)'!$A$3,"MA_HT","DDT","MA_QH","NTD")</f>
        <v>0</v>
      </c>
      <c r="AX41" s="60">
        <f ca="1">+GETPIVOTDATA("XSN4",'suoinghe (2016)'!$A$3,"MA_HT","DDT","MA_QH","SKX")</f>
        <v>0</v>
      </c>
      <c r="AY41" s="60">
        <f ca="1">+GETPIVOTDATA("XSN4",'suoinghe (2016)'!$A$3,"MA_HT","DDT","MA_QH","DSH")</f>
        <v>0</v>
      </c>
      <c r="AZ41" s="60">
        <f ca="1">+GETPIVOTDATA("XSN4",'suoinghe (2016)'!$A$3,"MA_HT","DDT","MA_QH","DKV")</f>
        <v>0</v>
      </c>
      <c r="BA41" s="90">
        <f ca="1">+GETPIVOTDATA("XSN4",'suoinghe (2016)'!$A$3,"MA_HT","DDT","MA_QH","TIN")</f>
        <v>0</v>
      </c>
      <c r="BB41" s="91">
        <f ca="1">+GETPIVOTDATA("XSN4",'suoinghe (2016)'!$A$3,"MA_HT","DDT","MA_QH","SON")</f>
        <v>0</v>
      </c>
      <c r="BC41" s="91">
        <f ca="1">+GETPIVOTDATA("XSN4",'suoinghe (2016)'!$A$3,"MA_HT","DDT","MA_QH","MNC")</f>
        <v>0</v>
      </c>
      <c r="BD41" s="60">
        <f ca="1">+GETPIVOTDATA("XSN4",'suoinghe (2016)'!$A$3,"MA_HT","DDT","MA_QH","PNK")</f>
        <v>0</v>
      </c>
      <c r="BE41" s="111">
        <f ca="1">+GETPIVOTDATA("XSN4",'suoinghe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+GETPIVOTDATA("XSN4",'suoinghe (2016)'!$A$3,"MA_HT","DDL","MA_QH","LUC")</f>
        <v>0</v>
      </c>
      <c r="H42" s="22">
        <f ca="1">+GETPIVOTDATA("XSN4",'suoinghe (2016)'!$A$3,"MA_HT","DDL","MA_QH","LUK")</f>
        <v>0</v>
      </c>
      <c r="I42" s="22">
        <f ca="1">+GETPIVOTDATA("XSN4",'suoinghe (2016)'!$A$3,"MA_HT","DDL","MA_QH","LUN")</f>
        <v>0</v>
      </c>
      <c r="J42" s="22">
        <f ca="1">+GETPIVOTDATA("XSN4",'suoinghe (2016)'!$A$3,"MA_HT","DDL","MA_QH","HNK")</f>
        <v>0</v>
      </c>
      <c r="K42" s="22">
        <f ca="1">+GETPIVOTDATA("XSN4",'suoinghe (2016)'!$A$3,"MA_HT","DDL","MA_QH","CLN")</f>
        <v>0</v>
      </c>
      <c r="L42" s="22">
        <f ca="1">+GETPIVOTDATA("XSN4",'suoinghe (2016)'!$A$3,"MA_HT","DDL","MA_QH","RSX")</f>
        <v>0</v>
      </c>
      <c r="M42" s="22">
        <f ca="1">+GETPIVOTDATA("XSN4",'suoinghe (2016)'!$A$3,"MA_HT","DDL","MA_QH","RPH")</f>
        <v>0</v>
      </c>
      <c r="N42" s="22">
        <f ca="1">+GETPIVOTDATA("XSN4",'suoinghe (2016)'!$A$3,"MA_HT","DDL","MA_QH","RDD")</f>
        <v>0</v>
      </c>
      <c r="O42" s="22">
        <f ca="1">+GETPIVOTDATA("XSN4",'suoinghe (2016)'!$A$3,"MA_HT","DDL","MA_QH","NTS")</f>
        <v>0</v>
      </c>
      <c r="P42" s="22">
        <f ca="1">+GETPIVOTDATA("XSN4",'suoinghe (2016)'!$A$3,"MA_HT","DDL","MA_QH","LMU")</f>
        <v>0</v>
      </c>
      <c r="Q42" s="22">
        <f ca="1">+GETPIVOTDATA("XSN4",'suoinghe (2016)'!$A$3,"MA_HT","DDL","MA_QH","NKH")</f>
        <v>0</v>
      </c>
      <c r="R42" s="79">
        <f ca="1">SUM(S42:AA42,AN42,AP42:BD42)</f>
        <v>0</v>
      </c>
      <c r="S42" s="22">
        <f ca="1">+GETPIVOTDATA("XSN4",'suoinghe (2016)'!$A$3,"MA_HT","DDL","MA_QH","CQP")</f>
        <v>0</v>
      </c>
      <c r="T42" s="22">
        <f ca="1">+GETPIVOTDATA("XSN4",'suoinghe (2016)'!$A$3,"MA_HT","DDL","MA_QH","CAN")</f>
        <v>0</v>
      </c>
      <c r="U42" s="22">
        <f ca="1">+GETPIVOTDATA("XSN4",'suoinghe (2016)'!$A$3,"MA_HT","DDL","MA_QH","SKK")</f>
        <v>0</v>
      </c>
      <c r="V42" s="22">
        <f ca="1">+GETPIVOTDATA("XSN4",'suoinghe (2016)'!$A$3,"MA_HT","DDL","MA_QH","SKT")</f>
        <v>0</v>
      </c>
      <c r="W42" s="22">
        <f ca="1">+GETPIVOTDATA("XSN4",'suoinghe (2016)'!$A$3,"MA_HT","DDL","MA_QH","SKN")</f>
        <v>0</v>
      </c>
      <c r="X42" s="22">
        <f ca="1">+GETPIVOTDATA("XSN4",'suoinghe (2016)'!$A$3,"MA_HT","DDL","MA_QH","TMD")</f>
        <v>0</v>
      </c>
      <c r="Y42" s="22">
        <f ca="1">+GETPIVOTDATA("XSN4",'suoinghe (2016)'!$A$3,"MA_HT","DDL","MA_QH","SKC")</f>
        <v>0</v>
      </c>
      <c r="Z42" s="22">
        <f ca="1">+GETPIVOTDATA("XSN4",'suoinghe (2016)'!$A$3,"MA_HT","DDL","MA_QH","SKS")</f>
        <v>0</v>
      </c>
      <c r="AA42" s="52">
        <f ca="1" t="shared" si="21"/>
        <v>0</v>
      </c>
      <c r="AB42" s="22">
        <f ca="1">+GETPIVOTDATA("XSN4",'suoinghe (2016)'!$A$3,"MA_HT","DDL","MA_QH","DGT")</f>
        <v>0</v>
      </c>
      <c r="AC42" s="22">
        <f ca="1">+GETPIVOTDATA("XSN4",'suoinghe (2016)'!$A$3,"MA_HT","DDL","MA_QH","DTL")</f>
        <v>0</v>
      </c>
      <c r="AD42" s="22">
        <f ca="1">+GETPIVOTDATA("XSN4",'suoinghe (2016)'!$A$3,"MA_HT","DDL","MA_QH","DNL")</f>
        <v>0</v>
      </c>
      <c r="AE42" s="22">
        <f ca="1">+GETPIVOTDATA("XSN4",'suoinghe (2016)'!$A$3,"MA_HT","DDL","MA_QH","DBV")</f>
        <v>0</v>
      </c>
      <c r="AF42" s="22">
        <f ca="1">+GETPIVOTDATA("XSN4",'suoinghe (2016)'!$A$3,"MA_HT","DDL","MA_QH","DVH")</f>
        <v>0</v>
      </c>
      <c r="AG42" s="22">
        <f ca="1">+GETPIVOTDATA("XSN4",'suoinghe (2016)'!$A$3,"MA_HT","DDL","MA_QH","DYT")</f>
        <v>0</v>
      </c>
      <c r="AH42" s="22">
        <f ca="1">+GETPIVOTDATA("XSN4",'suoinghe (2016)'!$A$3,"MA_HT","DDL","MA_QH","DGD")</f>
        <v>0</v>
      </c>
      <c r="AI42" s="22">
        <f ca="1">+GETPIVOTDATA("XSN4",'suoinghe (2016)'!$A$3,"MA_HT","DDL","MA_QH","DTT")</f>
        <v>0</v>
      </c>
      <c r="AJ42" s="22">
        <f ca="1">+GETPIVOTDATA("XSN4",'suoinghe (2016)'!$A$3,"MA_HT","DDL","MA_QH","NCK")</f>
        <v>0</v>
      </c>
      <c r="AK42" s="22">
        <f ca="1">+GETPIVOTDATA("XSN4",'suoinghe (2016)'!$A$3,"MA_HT","DDL","MA_QH","DXH")</f>
        <v>0</v>
      </c>
      <c r="AL42" s="22">
        <f ca="1">+GETPIVOTDATA("XSN4",'suoinghe (2016)'!$A$3,"MA_HT","DDL","MA_QH","DCH")</f>
        <v>0</v>
      </c>
      <c r="AM42" s="22">
        <f ca="1">+GETPIVOTDATA("XSN4",'suoinghe (2016)'!$A$3,"MA_HT","DDL","MA_QH","DKG")</f>
        <v>0</v>
      </c>
      <c r="AN42" s="22">
        <f ca="1">+GETPIVOTDATA("XSN4",'suoinghe (2016)'!$A$3,"MA_HT","DDL","MA_QH","DDT")</f>
        <v>0</v>
      </c>
      <c r="AO42" s="43" t="e">
        <f ca="1">$D42-$BF42</f>
        <v>#REF!</v>
      </c>
      <c r="AP42" s="22">
        <f ca="1">+GETPIVOTDATA("XSN4",'suoinghe (2016)'!$A$3,"MA_HT","DDL","MA_QH","DRA")</f>
        <v>0</v>
      </c>
      <c r="AQ42" s="22">
        <f ca="1">+GETPIVOTDATA("XSN4",'suoinghe (2016)'!$A$3,"MA_HT","DDL","MA_QH","ONT")</f>
        <v>0</v>
      </c>
      <c r="AR42" s="22">
        <f ca="1">+GETPIVOTDATA("XSN4",'suoinghe (2016)'!$A$3,"MA_HT","DDL","MA_QH","ODT")</f>
        <v>0</v>
      </c>
      <c r="AS42" s="22">
        <f ca="1">+GETPIVOTDATA("XSN4",'suoinghe (2016)'!$A$3,"MA_HT","DDL","MA_QH","TSC")</f>
        <v>0</v>
      </c>
      <c r="AT42" s="22">
        <f ca="1">+GETPIVOTDATA("XSN4",'suoinghe (2016)'!$A$3,"MA_HT","DDL","MA_QH","DTS")</f>
        <v>0</v>
      </c>
      <c r="AU42" s="22">
        <f ca="1">+GETPIVOTDATA("XSN4",'suoinghe (2016)'!$A$3,"MA_HT","DDL","MA_QH","DNG")</f>
        <v>0</v>
      </c>
      <c r="AV42" s="22">
        <f ca="1">+GETPIVOTDATA("XSN4",'suoinghe (2016)'!$A$3,"MA_HT","DDL","MA_QH","TON")</f>
        <v>0</v>
      </c>
      <c r="AW42" s="22">
        <f ca="1">+GETPIVOTDATA("XSN4",'suoinghe (2016)'!$A$3,"MA_HT","DDL","MA_QH","NTD")</f>
        <v>0</v>
      </c>
      <c r="AX42" s="22">
        <f ca="1">+GETPIVOTDATA("XSN4",'suoinghe (2016)'!$A$3,"MA_HT","DDL","MA_QH","SKX")</f>
        <v>0</v>
      </c>
      <c r="AY42" s="22">
        <f ca="1">+GETPIVOTDATA("XSN4",'suoinghe (2016)'!$A$3,"MA_HT","DDL","MA_QH","DSH")</f>
        <v>0</v>
      </c>
      <c r="AZ42" s="22">
        <f ca="1">+GETPIVOTDATA("XSN4",'suoinghe (2016)'!$A$3,"MA_HT","DDL","MA_QH","DKV")</f>
        <v>0</v>
      </c>
      <c r="BA42" s="89">
        <f ca="1">+GETPIVOTDATA("XSN4",'suoinghe (2016)'!$A$3,"MA_HT","DDL","MA_QH","TIN")</f>
        <v>0</v>
      </c>
      <c r="BB42" s="50">
        <f ca="1">+GETPIVOTDATA("XSN4",'suoinghe (2016)'!$A$3,"MA_HT","DDL","MA_QH","SON")</f>
        <v>0</v>
      </c>
      <c r="BC42" s="50">
        <f ca="1">+GETPIVOTDATA("XSN4",'suoinghe (2016)'!$A$3,"MA_HT","DDL","MA_QH","MNC")</f>
        <v>0</v>
      </c>
      <c r="BD42" s="22">
        <f ca="1">+GETPIVOTDATA("XSN4",'suoinghe (2016)'!$A$3,"MA_HT","DDL","MA_QH","PNK")</f>
        <v>0</v>
      </c>
      <c r="BE42" s="71">
        <f ca="1">+GETPIVOTDATA("XSN4",'suoinghe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+GETPIVOTDATA("XSN4",'suoinghe (2016)'!$A$3,"MA_HT","DRA","MA_QH","LUC")</f>
        <v>0</v>
      </c>
      <c r="H43" s="22">
        <f ca="1">+GETPIVOTDATA("XSN4",'suoinghe (2016)'!$A$3,"MA_HT","DRA","MA_QH","LUK")</f>
        <v>0</v>
      </c>
      <c r="I43" s="22">
        <f ca="1">+GETPIVOTDATA("XSN4",'suoinghe (2016)'!$A$3,"MA_HT","DRA","MA_QH","LUN")</f>
        <v>0</v>
      </c>
      <c r="J43" s="22">
        <f ca="1">+GETPIVOTDATA("XSN4",'suoinghe (2016)'!$A$3,"MA_HT","DRA","MA_QH","HNK")</f>
        <v>0</v>
      </c>
      <c r="K43" s="22">
        <f ca="1">+GETPIVOTDATA("XSN4",'suoinghe (2016)'!$A$3,"MA_HT","DRA","MA_QH","CLN")</f>
        <v>0</v>
      </c>
      <c r="L43" s="22">
        <f ca="1">+GETPIVOTDATA("XSN4",'suoinghe (2016)'!$A$3,"MA_HT","DRA","MA_QH","RSX")</f>
        <v>0</v>
      </c>
      <c r="M43" s="22">
        <f ca="1">+GETPIVOTDATA("XSN4",'suoinghe (2016)'!$A$3,"MA_HT","DRA","MA_QH","RPH")</f>
        <v>0</v>
      </c>
      <c r="N43" s="22">
        <f ca="1">+GETPIVOTDATA("XSN4",'suoinghe (2016)'!$A$3,"MA_HT","DRA","MA_QH","RDD")</f>
        <v>0</v>
      </c>
      <c r="O43" s="22">
        <f ca="1">+GETPIVOTDATA("XSN4",'suoinghe (2016)'!$A$3,"MA_HT","DRA","MA_QH","NTS")</f>
        <v>0</v>
      </c>
      <c r="P43" s="22">
        <f ca="1">+GETPIVOTDATA("XSN4",'suoinghe (2016)'!$A$3,"MA_HT","DRA","MA_QH","LMU")</f>
        <v>0</v>
      </c>
      <c r="Q43" s="22">
        <f ca="1">+GETPIVOTDATA("XSN4",'suoinghe (2016)'!$A$3,"MA_HT","DRA","MA_QH","NKH")</f>
        <v>0</v>
      </c>
      <c r="R43" s="79">
        <f ca="1">SUM(S43:AA43,AN43:AO43,AQ43:BD43)</f>
        <v>0</v>
      </c>
      <c r="S43" s="22">
        <f ca="1">+GETPIVOTDATA("XSN4",'suoinghe (2016)'!$A$3,"MA_HT","DRA","MA_QH","CQP")</f>
        <v>0</v>
      </c>
      <c r="T43" s="22">
        <f ca="1">+GETPIVOTDATA("XSN4",'suoinghe (2016)'!$A$3,"MA_HT","DRA","MA_QH","CAN")</f>
        <v>0</v>
      </c>
      <c r="U43" s="22">
        <f ca="1">+GETPIVOTDATA("XSN4",'suoinghe (2016)'!$A$3,"MA_HT","DRA","MA_QH","SKK")</f>
        <v>0</v>
      </c>
      <c r="V43" s="22">
        <f ca="1">+GETPIVOTDATA("XSN4",'suoinghe (2016)'!$A$3,"MA_HT","DRA","MA_QH","SKT")</f>
        <v>0</v>
      </c>
      <c r="W43" s="22">
        <f ca="1">+GETPIVOTDATA("XSN4",'suoinghe (2016)'!$A$3,"MA_HT","DRA","MA_QH","SKN")</f>
        <v>0</v>
      </c>
      <c r="X43" s="22">
        <f ca="1">+GETPIVOTDATA("XSN4",'suoinghe (2016)'!$A$3,"MA_HT","DRA","MA_QH","TMD")</f>
        <v>0</v>
      </c>
      <c r="Y43" s="22">
        <f ca="1">+GETPIVOTDATA("XSN4",'suoinghe (2016)'!$A$3,"MA_HT","DRA","MA_QH","SKC")</f>
        <v>0</v>
      </c>
      <c r="Z43" s="22">
        <f ca="1">+GETPIVOTDATA("XSN4",'suoinghe (2016)'!$A$3,"MA_HT","DRA","MA_QH","SKS")</f>
        <v>0</v>
      </c>
      <c r="AA43" s="52">
        <f ca="1" t="shared" si="21"/>
        <v>0</v>
      </c>
      <c r="AB43" s="22">
        <f ca="1">+GETPIVOTDATA("XSN4",'suoinghe (2016)'!$A$3,"MA_HT","DRA","MA_QH","DGT")</f>
        <v>0</v>
      </c>
      <c r="AC43" s="22">
        <f ca="1">+GETPIVOTDATA("XSN4",'suoinghe (2016)'!$A$3,"MA_HT","DRA","MA_QH","DTL")</f>
        <v>0</v>
      </c>
      <c r="AD43" s="22">
        <f ca="1">+GETPIVOTDATA("XSN4",'suoinghe (2016)'!$A$3,"MA_HT","DRA","MA_QH","DNL")</f>
        <v>0</v>
      </c>
      <c r="AE43" s="22">
        <f ca="1">+GETPIVOTDATA("XSN4",'suoinghe (2016)'!$A$3,"MA_HT","DRA","MA_QH","DBV")</f>
        <v>0</v>
      </c>
      <c r="AF43" s="22">
        <f ca="1">+GETPIVOTDATA("XSN4",'suoinghe (2016)'!$A$3,"MA_HT","DRA","MA_QH","DVH")</f>
        <v>0</v>
      </c>
      <c r="AG43" s="22">
        <f ca="1">+GETPIVOTDATA("XSN4",'suoinghe (2016)'!$A$3,"MA_HT","DRA","MA_QH","DYT")</f>
        <v>0</v>
      </c>
      <c r="AH43" s="22">
        <f ca="1">+GETPIVOTDATA("XSN4",'suoinghe (2016)'!$A$3,"MA_HT","DRA","MA_QH","DGD")</f>
        <v>0</v>
      </c>
      <c r="AI43" s="22">
        <f ca="1">+GETPIVOTDATA("XSN4",'suoinghe (2016)'!$A$3,"MA_HT","DRA","MA_QH","DTT")</f>
        <v>0</v>
      </c>
      <c r="AJ43" s="22">
        <f ca="1">+GETPIVOTDATA("XSN4",'suoinghe (2016)'!$A$3,"MA_HT","DRA","MA_QH","NCK")</f>
        <v>0</v>
      </c>
      <c r="AK43" s="22">
        <f ca="1">+GETPIVOTDATA("XSN4",'suoinghe (2016)'!$A$3,"MA_HT","DRA","MA_QH","DXH")</f>
        <v>0</v>
      </c>
      <c r="AL43" s="22">
        <f ca="1">+GETPIVOTDATA("XSN4",'suoinghe (2016)'!$A$3,"MA_HT","DRA","MA_QH","DCH")</f>
        <v>0</v>
      </c>
      <c r="AM43" s="22">
        <f ca="1">+GETPIVOTDATA("XSN4",'suoinghe (2016)'!$A$3,"MA_HT","DRA","MA_QH","DKG")</f>
        <v>0</v>
      </c>
      <c r="AN43" s="22">
        <f ca="1">+GETPIVOTDATA("XSN4",'suoinghe (2016)'!$A$3,"MA_HT","DRA","MA_QH","DDT")</f>
        <v>0</v>
      </c>
      <c r="AO43" s="22">
        <f ca="1">+GETPIVOTDATA("XSN4",'suoinghe (2016)'!$A$3,"MA_HT","DRA","MA_QH","DDL")</f>
        <v>0</v>
      </c>
      <c r="AP43" s="43" t="e">
        <f ca="1">$D43-$BF43</f>
        <v>#REF!</v>
      </c>
      <c r="AQ43" s="22">
        <f ca="1">+GETPIVOTDATA("XSN4",'suoinghe (2016)'!$A$3,"MA_HT","DRA","MA_QH","ONT")</f>
        <v>0</v>
      </c>
      <c r="AR43" s="22">
        <f ca="1">+GETPIVOTDATA("XSN4",'suoinghe (2016)'!$A$3,"MA_HT","DRA","MA_QH","ODT")</f>
        <v>0</v>
      </c>
      <c r="AS43" s="22">
        <f ca="1">+GETPIVOTDATA("XSN4",'suoinghe (2016)'!$A$3,"MA_HT","DRA","MA_QH","TSC")</f>
        <v>0</v>
      </c>
      <c r="AT43" s="22">
        <f ca="1">+GETPIVOTDATA("XSN4",'suoinghe (2016)'!$A$3,"MA_HT","DRA","MA_QH","DTS")</f>
        <v>0</v>
      </c>
      <c r="AU43" s="22">
        <f ca="1">+GETPIVOTDATA("XSN4",'suoinghe (2016)'!$A$3,"MA_HT","DRA","MA_QH","DNG")</f>
        <v>0</v>
      </c>
      <c r="AV43" s="22">
        <f ca="1">+GETPIVOTDATA("XSN4",'suoinghe (2016)'!$A$3,"MA_HT","DRA","MA_QH","TON")</f>
        <v>0</v>
      </c>
      <c r="AW43" s="22">
        <f ca="1">+GETPIVOTDATA("XSN4",'suoinghe (2016)'!$A$3,"MA_HT","DRA","MA_QH","NTD")</f>
        <v>0</v>
      </c>
      <c r="AX43" s="22">
        <f ca="1">+GETPIVOTDATA("XSN4",'suoinghe (2016)'!$A$3,"MA_HT","DRA","MA_QH","SKX")</f>
        <v>0</v>
      </c>
      <c r="AY43" s="22">
        <f ca="1">+GETPIVOTDATA("XSN4",'suoinghe (2016)'!$A$3,"MA_HT","DRA","MA_QH","DSH")</f>
        <v>0</v>
      </c>
      <c r="AZ43" s="22">
        <f ca="1">+GETPIVOTDATA("XSN4",'suoinghe (2016)'!$A$3,"MA_HT","DRA","MA_QH","DKV")</f>
        <v>0</v>
      </c>
      <c r="BA43" s="89">
        <f ca="1">+GETPIVOTDATA("XSN4",'suoinghe (2016)'!$A$3,"MA_HT","DRA","MA_QH","TIN")</f>
        <v>0</v>
      </c>
      <c r="BB43" s="50">
        <f ca="1">+GETPIVOTDATA("XSN4",'suoinghe (2016)'!$A$3,"MA_HT","DRA","MA_QH","SON")</f>
        <v>0</v>
      </c>
      <c r="BC43" s="50">
        <f ca="1">+GETPIVOTDATA("XSN4",'suoinghe (2016)'!$A$3,"MA_HT","DRA","MA_QH","MNC")</f>
        <v>0</v>
      </c>
      <c r="BD43" s="22">
        <f ca="1">+GETPIVOTDATA("XSN4",'suoinghe (2016)'!$A$3,"MA_HT","DRA","MA_QH","PNK")</f>
        <v>0</v>
      </c>
      <c r="BE43" s="71">
        <f ca="1">+GETPIVOTDATA("XSN4",'suoinghe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+GETPIVOTDATA("XSN4",'suoinghe (2016)'!$A$3,"MA_HT","ONT","MA_QH","LUC")</f>
        <v>0</v>
      </c>
      <c r="H44" s="22">
        <f ca="1">+GETPIVOTDATA("XSN4",'suoinghe (2016)'!$A$3,"MA_HT","ONT","MA_QH","LUK")</f>
        <v>0</v>
      </c>
      <c r="I44" s="22">
        <f ca="1">+GETPIVOTDATA("XSN4",'suoinghe (2016)'!$A$3,"MA_HT","ONT","MA_QH","LUN")</f>
        <v>0</v>
      </c>
      <c r="J44" s="22">
        <f ca="1">+GETPIVOTDATA("XSN4",'suoinghe (2016)'!$A$3,"MA_HT","ONT","MA_QH","HNK")</f>
        <v>0</v>
      </c>
      <c r="K44" s="22">
        <f ca="1">+GETPIVOTDATA("XSN4",'suoinghe (2016)'!$A$3,"MA_HT","ONT","MA_QH","CLN")</f>
        <v>0</v>
      </c>
      <c r="L44" s="22">
        <f ca="1">+GETPIVOTDATA("XSN4",'suoinghe (2016)'!$A$3,"MA_HT","ONT","MA_QH","RSX")</f>
        <v>0</v>
      </c>
      <c r="M44" s="22">
        <f ca="1">+GETPIVOTDATA("XSN4",'suoinghe (2016)'!$A$3,"MA_HT","ONT","MA_QH","RPH")</f>
        <v>0</v>
      </c>
      <c r="N44" s="22">
        <f ca="1">+GETPIVOTDATA("XSN4",'suoinghe (2016)'!$A$3,"MA_HT","ONT","MA_QH","RDD")</f>
        <v>0</v>
      </c>
      <c r="O44" s="22">
        <f ca="1">+GETPIVOTDATA("XSN4",'suoinghe (2016)'!$A$3,"MA_HT","ONT","MA_QH","NTS")</f>
        <v>0</v>
      </c>
      <c r="P44" s="22">
        <f ca="1">+GETPIVOTDATA("XSN4",'suoinghe (2016)'!$A$3,"MA_HT","ONT","MA_QH","LMU")</f>
        <v>0</v>
      </c>
      <c r="Q44" s="22">
        <f ca="1">+GETPIVOTDATA("XSN4",'suoinghe (2016)'!$A$3,"MA_HT","ONT","MA_QH","NKH")</f>
        <v>0</v>
      </c>
      <c r="R44" s="79">
        <f ca="1">SUM(S44:AA44,AN44:AP44,AR44:BD44)</f>
        <v>0</v>
      </c>
      <c r="S44" s="22">
        <f ca="1">+GETPIVOTDATA("XSN4",'suoinghe (2016)'!$A$3,"MA_HT","ONT","MA_QH","CQP")</f>
        <v>0</v>
      </c>
      <c r="T44" s="22">
        <f ca="1">+GETPIVOTDATA("XSN4",'suoinghe (2016)'!$A$3,"MA_HT","ONT","MA_QH","CAN")</f>
        <v>0</v>
      </c>
      <c r="U44" s="22">
        <f ca="1">+GETPIVOTDATA("XSN4",'suoinghe (2016)'!$A$3,"MA_HT","ONT","MA_QH","SKK")</f>
        <v>0</v>
      </c>
      <c r="V44" s="22">
        <f ca="1">+GETPIVOTDATA("XSN4",'suoinghe (2016)'!$A$3,"MA_HT","ONT","MA_QH","SKT")</f>
        <v>0</v>
      </c>
      <c r="W44" s="22">
        <f ca="1">+GETPIVOTDATA("XSN4",'suoinghe (2016)'!$A$3,"MA_HT","ONT","MA_QH","SKN")</f>
        <v>0</v>
      </c>
      <c r="X44" s="22">
        <f ca="1">+GETPIVOTDATA("XSN4",'suoinghe (2016)'!$A$3,"MA_HT","ONT","MA_QH","TMD")</f>
        <v>0</v>
      </c>
      <c r="Y44" s="22">
        <f ca="1">+GETPIVOTDATA("XSN4",'suoinghe (2016)'!$A$3,"MA_HT","ONT","MA_QH","SKC")</f>
        <v>0</v>
      </c>
      <c r="Z44" s="22">
        <f ca="1">+GETPIVOTDATA("XSN4",'suoinghe (2016)'!$A$3,"MA_HT","ONT","MA_QH","SKS")</f>
        <v>0</v>
      </c>
      <c r="AA44" s="52">
        <f ca="1" t="shared" si="21"/>
        <v>0</v>
      </c>
      <c r="AB44" s="22">
        <f ca="1">+GETPIVOTDATA("XSN4",'suoinghe (2016)'!$A$3,"MA_HT","ONT","MA_QH","DGT")</f>
        <v>0</v>
      </c>
      <c r="AC44" s="22">
        <f ca="1">+GETPIVOTDATA("XSN4",'suoinghe (2016)'!$A$3,"MA_HT","ONT","MA_QH","DTL")</f>
        <v>0</v>
      </c>
      <c r="AD44" s="22">
        <f ca="1">+GETPIVOTDATA("XSN4",'suoinghe (2016)'!$A$3,"MA_HT","ONT","MA_QH","DNL")</f>
        <v>0</v>
      </c>
      <c r="AE44" s="22">
        <f ca="1">+GETPIVOTDATA("XSN4",'suoinghe (2016)'!$A$3,"MA_HT","ONT","MA_QH","DBV")</f>
        <v>0</v>
      </c>
      <c r="AF44" s="22">
        <f ca="1">+GETPIVOTDATA("XSN4",'suoinghe (2016)'!$A$3,"MA_HT","ONT","MA_QH","DVH")</f>
        <v>0</v>
      </c>
      <c r="AG44" s="22">
        <f ca="1">+GETPIVOTDATA("XSN4",'suoinghe (2016)'!$A$3,"MA_HT","ONT","MA_QH","DYT")</f>
        <v>0</v>
      </c>
      <c r="AH44" s="22">
        <f ca="1">+GETPIVOTDATA("XSN4",'suoinghe (2016)'!$A$3,"MA_HT","ONT","MA_QH","DGD")</f>
        <v>0</v>
      </c>
      <c r="AI44" s="22">
        <f ca="1">+GETPIVOTDATA("XSN4",'suoinghe (2016)'!$A$3,"MA_HT","ONT","MA_QH","DTT")</f>
        <v>0</v>
      </c>
      <c r="AJ44" s="22">
        <f ca="1">+GETPIVOTDATA("XSN4",'suoinghe (2016)'!$A$3,"MA_HT","ONT","MA_QH","NCK")</f>
        <v>0</v>
      </c>
      <c r="AK44" s="22">
        <f ca="1">+GETPIVOTDATA("XSN4",'suoinghe (2016)'!$A$3,"MA_HT","ONT","MA_QH","DXH")</f>
        <v>0</v>
      </c>
      <c r="AL44" s="22">
        <f ca="1">+GETPIVOTDATA("XSN4",'suoinghe (2016)'!$A$3,"MA_HT","ONT","MA_QH","DCH")</f>
        <v>0</v>
      </c>
      <c r="AM44" s="22">
        <f ca="1">+GETPIVOTDATA("XSN4",'suoinghe (2016)'!$A$3,"MA_HT","ONT","MA_QH","DKG")</f>
        <v>0</v>
      </c>
      <c r="AN44" s="22">
        <f ca="1">+GETPIVOTDATA("XSN4",'suoinghe (2016)'!$A$3,"MA_HT","ONT","MA_QH","DDT")</f>
        <v>0</v>
      </c>
      <c r="AO44" s="22">
        <f ca="1">+GETPIVOTDATA("XSN4",'suoinghe (2016)'!$A$3,"MA_HT","ONT","MA_QH","DDL")</f>
        <v>0</v>
      </c>
      <c r="AP44" s="22">
        <f ca="1">+GETPIVOTDATA("XSN4",'suoinghe (2016)'!$A$3,"MA_HT","ONT","MA_QH","DRA")</f>
        <v>0</v>
      </c>
      <c r="AQ44" s="43" t="e">
        <f ca="1">$D44-$BF44</f>
        <v>#REF!</v>
      </c>
      <c r="AR44" s="22">
        <f ca="1">+GETPIVOTDATA("XSN4",'suoinghe (2016)'!$A$3,"MA_HT","ONT","MA_QH","ODT")</f>
        <v>0</v>
      </c>
      <c r="AS44" s="22">
        <f ca="1">+GETPIVOTDATA("XSN4",'suoinghe (2016)'!$A$3,"MA_HT","ONT","MA_QH","TSC")</f>
        <v>0</v>
      </c>
      <c r="AT44" s="22">
        <f ca="1">+GETPIVOTDATA("XSN4",'suoinghe (2016)'!$A$3,"MA_HT","ONT","MA_QH","DTS")</f>
        <v>0</v>
      </c>
      <c r="AU44" s="22">
        <f ca="1">+GETPIVOTDATA("XSN4",'suoinghe (2016)'!$A$3,"MA_HT","ONT","MA_QH","DNG")</f>
        <v>0</v>
      </c>
      <c r="AV44" s="22">
        <f ca="1">+GETPIVOTDATA("XSN4",'suoinghe (2016)'!$A$3,"MA_HT","ONT","MA_QH","TON")</f>
        <v>0</v>
      </c>
      <c r="AW44" s="22">
        <f ca="1">+GETPIVOTDATA("XSN4",'suoinghe (2016)'!$A$3,"MA_HT","ONT","MA_QH","NTD")</f>
        <v>0</v>
      </c>
      <c r="AX44" s="22">
        <f ca="1">+GETPIVOTDATA("XSN4",'suoinghe (2016)'!$A$3,"MA_HT","ONT","MA_QH","SKX")</f>
        <v>0</v>
      </c>
      <c r="AY44" s="22">
        <f ca="1">+GETPIVOTDATA("XSN4",'suoinghe (2016)'!$A$3,"MA_HT","ONT","MA_QH","DSH")</f>
        <v>0</v>
      </c>
      <c r="AZ44" s="22">
        <f ca="1">+GETPIVOTDATA("XSN4",'suoinghe (2016)'!$A$3,"MA_HT","ONT","MA_QH","DKV")</f>
        <v>0</v>
      </c>
      <c r="BA44" s="89">
        <f ca="1">+GETPIVOTDATA("XSN4",'suoinghe (2016)'!$A$3,"MA_HT","ONT","MA_QH","TIN")</f>
        <v>0</v>
      </c>
      <c r="BB44" s="50">
        <f ca="1">+GETPIVOTDATA("XSN4",'suoinghe (2016)'!$A$3,"MA_HT","ONT","MA_QH","SON")</f>
        <v>0</v>
      </c>
      <c r="BC44" s="50">
        <f ca="1">+GETPIVOTDATA("XSN4",'suoinghe (2016)'!$A$3,"MA_HT","ONT","MA_QH","MNC")</f>
        <v>0</v>
      </c>
      <c r="BD44" s="22">
        <f ca="1">+GETPIVOTDATA("XSN4",'suoinghe (2016)'!$A$3,"MA_HT","ONT","MA_QH","PNK")</f>
        <v>0</v>
      </c>
      <c r="BE44" s="71">
        <f ca="1">+GETPIVOTDATA("XSN4",'suoinghe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+GETPIVOTDATA("XSN4",'suoinghe (2016)'!$A$3,"MA_HT","ODT","MA_QH","LUC")</f>
        <v>0</v>
      </c>
      <c r="H45" s="67">
        <f ca="1">+GETPIVOTDATA("XSN4",'suoinghe (2016)'!$A$3,"MA_HT","ODT","MA_QH","LUK")</f>
        <v>0</v>
      </c>
      <c r="I45" s="67">
        <f ca="1">+GETPIVOTDATA("XSN4",'suoinghe (2016)'!$A$3,"MA_HT","ODT","MA_QH","LUN")</f>
        <v>0</v>
      </c>
      <c r="J45" s="67">
        <f ca="1">+GETPIVOTDATA("XSN4",'suoinghe (2016)'!$A$3,"MA_HT","ODT","MA_QH","HNK")</f>
        <v>0</v>
      </c>
      <c r="K45" s="67">
        <f ca="1">+GETPIVOTDATA("XSN4",'suoinghe (2016)'!$A$3,"MA_HT","ODT","MA_QH","CLN")</f>
        <v>0</v>
      </c>
      <c r="L45" s="67">
        <f ca="1">+GETPIVOTDATA("XSN4",'suoinghe (2016)'!$A$3,"MA_HT","ODT","MA_QH","RSX")</f>
        <v>0</v>
      </c>
      <c r="M45" s="67">
        <f ca="1">+GETPIVOTDATA("XSN4",'suoinghe (2016)'!$A$3,"MA_HT","ODT","MA_QH","RPH")</f>
        <v>0</v>
      </c>
      <c r="N45" s="67">
        <f ca="1">+GETPIVOTDATA("XSN4",'suoinghe (2016)'!$A$3,"MA_HT","ODT","MA_QH","RDD")</f>
        <v>0</v>
      </c>
      <c r="O45" s="67">
        <f ca="1">+GETPIVOTDATA("XSN4",'suoinghe (2016)'!$A$3,"MA_HT","ODT","MA_QH","NTS")</f>
        <v>0</v>
      </c>
      <c r="P45" s="67">
        <f ca="1">+GETPIVOTDATA("XSN4",'suoinghe (2016)'!$A$3,"MA_HT","ODT","MA_QH","LMU")</f>
        <v>0</v>
      </c>
      <c r="Q45" s="67">
        <f ca="1">+GETPIVOTDATA("XSN4",'suoinghe (2016)'!$A$3,"MA_HT","ODT","MA_QH","NKH")</f>
        <v>0</v>
      </c>
      <c r="R45" s="79">
        <f ca="1">SUM(S45:AA45,AN45:AQ45,AS45:BD45)</f>
        <v>0</v>
      </c>
      <c r="S45" s="67">
        <f ca="1">+GETPIVOTDATA("XSN4",'suoinghe (2016)'!$A$3,"MA_HT","ODT","MA_QH","CQP")</f>
        <v>0</v>
      </c>
      <c r="T45" s="67">
        <f ca="1">+GETPIVOTDATA("XSN4",'suoinghe (2016)'!$A$3,"MA_HT","ODT","MA_QH","CAN")</f>
        <v>0</v>
      </c>
      <c r="U45" s="67">
        <f ca="1">+GETPIVOTDATA("XSN4",'suoinghe (2016)'!$A$3,"MA_HT","ODT","MA_QH","SKK")</f>
        <v>0</v>
      </c>
      <c r="V45" s="67">
        <f ca="1">+GETPIVOTDATA("XSN4",'suoinghe (2016)'!$A$3,"MA_HT","ODT","MA_QH","SKT")</f>
        <v>0</v>
      </c>
      <c r="W45" s="67">
        <f ca="1">+GETPIVOTDATA("XSN4",'suoinghe (2016)'!$A$3,"MA_HT","ODT","MA_QH","SKN")</f>
        <v>0</v>
      </c>
      <c r="X45" s="67">
        <f ca="1">+GETPIVOTDATA("XSN4",'suoinghe (2016)'!$A$3,"MA_HT","ODT","MA_QH","TMD")</f>
        <v>0</v>
      </c>
      <c r="Y45" s="67">
        <f ca="1">+GETPIVOTDATA("XSN4",'suoinghe (2016)'!$A$3,"MA_HT","ODT","MA_QH","SKC")</f>
        <v>0</v>
      </c>
      <c r="Z45" s="67">
        <f ca="1">+GETPIVOTDATA("XSN4",'suoinghe (2016)'!$A$3,"MA_HT","ODT","MA_QH","SKS")</f>
        <v>0</v>
      </c>
      <c r="AA45" s="66">
        <f ca="1" t="shared" si="21"/>
        <v>0</v>
      </c>
      <c r="AB45" s="67">
        <f ca="1">+GETPIVOTDATA("XSN4",'suoinghe (2016)'!$A$3,"MA_HT","ODT","MA_QH","DGT")</f>
        <v>0</v>
      </c>
      <c r="AC45" s="67">
        <f ca="1">+GETPIVOTDATA("XSN4",'suoinghe (2016)'!$A$3,"MA_HT","ODT","MA_QH","DTL")</f>
        <v>0</v>
      </c>
      <c r="AD45" s="67">
        <f ca="1">+GETPIVOTDATA("XSN4",'suoinghe (2016)'!$A$3,"MA_HT","ODT","MA_QH","DNL")</f>
        <v>0</v>
      </c>
      <c r="AE45" s="67">
        <f ca="1">+GETPIVOTDATA("XSN4",'suoinghe (2016)'!$A$3,"MA_HT","ODT","MA_QH","DBV")</f>
        <v>0</v>
      </c>
      <c r="AF45" s="67">
        <f ca="1">+GETPIVOTDATA("XSN4",'suoinghe (2016)'!$A$3,"MA_HT","ODT","MA_QH","DVH")</f>
        <v>0</v>
      </c>
      <c r="AG45" s="67">
        <f ca="1">+GETPIVOTDATA("XSN4",'suoinghe (2016)'!$A$3,"MA_HT","ODT","MA_QH","DYT")</f>
        <v>0</v>
      </c>
      <c r="AH45" s="67">
        <f ca="1">+GETPIVOTDATA("XSN4",'suoinghe (2016)'!$A$3,"MA_HT","ODT","MA_QH","DGD")</f>
        <v>0</v>
      </c>
      <c r="AI45" s="67">
        <f ca="1">+GETPIVOTDATA("XSN4",'suoinghe (2016)'!$A$3,"MA_HT","ODT","MA_QH","DTT")</f>
        <v>0</v>
      </c>
      <c r="AJ45" s="67">
        <f ca="1">+GETPIVOTDATA("XSN4",'suoinghe (2016)'!$A$3,"MA_HT","ODT","MA_QH","NCK")</f>
        <v>0</v>
      </c>
      <c r="AK45" s="67">
        <f ca="1">+GETPIVOTDATA("XSN4",'suoinghe (2016)'!$A$3,"MA_HT","ODT","MA_QH","DXH")</f>
        <v>0</v>
      </c>
      <c r="AL45" s="67">
        <f ca="1">+GETPIVOTDATA("XSN4",'suoinghe (2016)'!$A$3,"MA_HT","ODT","MA_QH","DCH")</f>
        <v>0</v>
      </c>
      <c r="AM45" s="67">
        <f ca="1">+GETPIVOTDATA("XSN4",'suoinghe (2016)'!$A$3,"MA_HT","ODT","MA_QH","DKG")</f>
        <v>0</v>
      </c>
      <c r="AN45" s="67">
        <f ca="1">+GETPIVOTDATA("XSN4",'suoinghe (2016)'!$A$3,"MA_HT","ODT","MA_QH","DDT")</f>
        <v>0</v>
      </c>
      <c r="AO45" s="67">
        <f ca="1">+GETPIVOTDATA("XSN4",'suoinghe (2016)'!$A$3,"MA_HT","ODT","MA_QH","DDL")</f>
        <v>0</v>
      </c>
      <c r="AP45" s="67">
        <f ca="1">+GETPIVOTDATA("XSN4",'suoinghe (2016)'!$A$3,"MA_HT","ODT","MA_QH","DRA")</f>
        <v>0</v>
      </c>
      <c r="AQ45" s="67">
        <f ca="1">+GETPIVOTDATA("XSN4",'suoinghe (2016)'!$A$3,"MA_HT","ODT","MA_QH","ONT")</f>
        <v>0</v>
      </c>
      <c r="AR45" s="82" t="e">
        <f ca="1">$D45-$BF45</f>
        <v>#REF!</v>
      </c>
      <c r="AS45" s="67">
        <f ca="1">+GETPIVOTDATA("XSN4",'suoinghe (2016)'!$A$3,"MA_HT","ODT","MA_QH","TSC")</f>
        <v>0</v>
      </c>
      <c r="AT45" s="67">
        <f ca="1">+GETPIVOTDATA("XSN4",'suoinghe (2016)'!$A$3,"MA_HT","ODT","MA_QH","DTS")</f>
        <v>0</v>
      </c>
      <c r="AU45" s="67">
        <f ca="1">+GETPIVOTDATA("XSN4",'suoinghe (2016)'!$A$3,"MA_HT","ODT","MA_QH","DNG")</f>
        <v>0</v>
      </c>
      <c r="AV45" s="67">
        <f ca="1">+GETPIVOTDATA("XSN4",'suoinghe (2016)'!$A$3,"MA_HT","ODT","MA_QH","TON")</f>
        <v>0</v>
      </c>
      <c r="AW45" s="67">
        <f ca="1">+GETPIVOTDATA("XSN4",'suoinghe (2016)'!$A$3,"MA_HT","ODT","MA_QH","NTD")</f>
        <v>0</v>
      </c>
      <c r="AX45" s="67">
        <f ca="1">+GETPIVOTDATA("XSN4",'suoinghe (2016)'!$A$3,"MA_HT","ODT","MA_QH","SKX")</f>
        <v>0</v>
      </c>
      <c r="AY45" s="67">
        <f ca="1">+GETPIVOTDATA("XSN4",'suoinghe (2016)'!$A$3,"MA_HT","ODT","MA_QH","DSH")</f>
        <v>0</v>
      </c>
      <c r="AZ45" s="67">
        <f ca="1">+GETPIVOTDATA("XSN4",'suoinghe (2016)'!$A$3,"MA_HT","ODT","MA_QH","DKV")</f>
        <v>0</v>
      </c>
      <c r="BA45" s="92">
        <f ca="1">+GETPIVOTDATA("XSN4",'suoinghe (2016)'!$A$3,"MA_HT","ODT","MA_QH","TIN")</f>
        <v>0</v>
      </c>
      <c r="BB45" s="93">
        <f ca="1">+GETPIVOTDATA("XSN4",'suoinghe (2016)'!$A$3,"MA_HT","ODT","MA_QH","SON")</f>
        <v>0</v>
      </c>
      <c r="BC45" s="93">
        <f ca="1">+GETPIVOTDATA("XSN4",'suoinghe (2016)'!$A$3,"MA_HT","ODT","MA_QH","MNC")</f>
        <v>0</v>
      </c>
      <c r="BD45" s="67">
        <f ca="1">+GETPIVOTDATA("XSN4",'suoinghe (2016)'!$A$3,"MA_HT","ODT","MA_QH","PNK")</f>
        <v>0</v>
      </c>
      <c r="BE45" s="116">
        <f ca="1">+GETPIVOTDATA("XSN4",'suoinghe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+GETPIVOTDATA("XSN4",'suoinghe (2016)'!$A$3,"MA_HT","TSC","MA_QH","LUC")</f>
        <v>0</v>
      </c>
      <c r="H46" s="22">
        <f ca="1">+GETPIVOTDATA("XSN4",'suoinghe (2016)'!$A$3,"MA_HT","TSC","MA_QH","LUK")</f>
        <v>0</v>
      </c>
      <c r="I46" s="22">
        <f ca="1">+GETPIVOTDATA("XSN4",'suoinghe (2016)'!$A$3,"MA_HT","TSC","MA_QH","LUN")</f>
        <v>0</v>
      </c>
      <c r="J46" s="22">
        <f ca="1">+GETPIVOTDATA("XSN4",'suoinghe (2016)'!$A$3,"MA_HT","TSC","MA_QH","HNK")</f>
        <v>0</v>
      </c>
      <c r="K46" s="22">
        <f ca="1">+GETPIVOTDATA("XSN4",'suoinghe (2016)'!$A$3,"MA_HT","TSC","MA_QH","CLN")</f>
        <v>0</v>
      </c>
      <c r="L46" s="22">
        <f ca="1">+GETPIVOTDATA("XSN4",'suoinghe (2016)'!$A$3,"MA_HT","TSC","MA_QH","RSX")</f>
        <v>0</v>
      </c>
      <c r="M46" s="22">
        <f ca="1">+GETPIVOTDATA("XSN4",'suoinghe (2016)'!$A$3,"MA_HT","TSC","MA_QH","RPH")</f>
        <v>0</v>
      </c>
      <c r="N46" s="22">
        <f ca="1">+GETPIVOTDATA("XSN4",'suoinghe (2016)'!$A$3,"MA_HT","TSC","MA_QH","RDD")</f>
        <v>0</v>
      </c>
      <c r="O46" s="22">
        <f ca="1">+GETPIVOTDATA("XSN4",'suoinghe (2016)'!$A$3,"MA_HT","TSC","MA_QH","NTS")</f>
        <v>0</v>
      </c>
      <c r="P46" s="22">
        <f ca="1">+GETPIVOTDATA("XSN4",'suoinghe (2016)'!$A$3,"MA_HT","TSC","MA_QH","LMU")</f>
        <v>0</v>
      </c>
      <c r="Q46" s="22">
        <f ca="1">+GETPIVOTDATA("XSN4",'suoinghe (2016)'!$A$3,"MA_HT","TSC","MA_QH","NKH")</f>
        <v>0</v>
      </c>
      <c r="R46" s="48">
        <f ca="1">SUM(S46:AA46,AN46:AR46,AT46:BD46)</f>
        <v>0</v>
      </c>
      <c r="S46" s="22">
        <f ca="1">+GETPIVOTDATA("XSN4",'suoinghe (2016)'!$A$3,"MA_HT","TSC","MA_QH","CQP")</f>
        <v>0</v>
      </c>
      <c r="T46" s="22">
        <f ca="1">+GETPIVOTDATA("XSN4",'suoinghe (2016)'!$A$3,"MA_HT","TSC","MA_QH","CAN")</f>
        <v>0</v>
      </c>
      <c r="U46" s="22">
        <f ca="1">+GETPIVOTDATA("XSN4",'suoinghe (2016)'!$A$3,"MA_HT","TSC","MA_QH","SKK")</f>
        <v>0</v>
      </c>
      <c r="V46" s="22">
        <f ca="1">+GETPIVOTDATA("XSN4",'suoinghe (2016)'!$A$3,"MA_HT","TSC","MA_QH","SKT")</f>
        <v>0</v>
      </c>
      <c r="W46" s="22">
        <f ca="1">+GETPIVOTDATA("XSN4",'suoinghe (2016)'!$A$3,"MA_HT","TSC","MA_QH","SKN")</f>
        <v>0</v>
      </c>
      <c r="X46" s="22">
        <f ca="1">+GETPIVOTDATA("XSN4",'suoinghe (2016)'!$A$3,"MA_HT","TSC","MA_QH","TMD")</f>
        <v>0</v>
      </c>
      <c r="Y46" s="22">
        <f ca="1">+GETPIVOTDATA("XSN4",'suoinghe (2016)'!$A$3,"MA_HT","TSC","MA_QH","SKC")</f>
        <v>0</v>
      </c>
      <c r="Z46" s="22">
        <f ca="1">+GETPIVOTDATA("XSN4",'suoinghe (2016)'!$A$3,"MA_HT","TSC","MA_QH","SKS")</f>
        <v>0</v>
      </c>
      <c r="AA46" s="52">
        <f ca="1" t="shared" si="21"/>
        <v>0</v>
      </c>
      <c r="AB46" s="22">
        <f ca="1">+GETPIVOTDATA("XSN4",'suoinghe (2016)'!$A$3,"MA_HT","TSC","MA_QH","DGT")</f>
        <v>0</v>
      </c>
      <c r="AC46" s="22">
        <f ca="1">+GETPIVOTDATA("XSN4",'suoinghe (2016)'!$A$3,"MA_HT","TSC","MA_QH","DTL")</f>
        <v>0</v>
      </c>
      <c r="AD46" s="22">
        <f ca="1">+GETPIVOTDATA("XSN4",'suoinghe (2016)'!$A$3,"MA_HT","TSC","MA_QH","DNL")</f>
        <v>0</v>
      </c>
      <c r="AE46" s="22">
        <f ca="1">+GETPIVOTDATA("XSN4",'suoinghe (2016)'!$A$3,"MA_HT","TSC","MA_QH","DBV")</f>
        <v>0</v>
      </c>
      <c r="AF46" s="22">
        <f ca="1">+GETPIVOTDATA("XSN4",'suoinghe (2016)'!$A$3,"MA_HT","TSC","MA_QH","DVH")</f>
        <v>0</v>
      </c>
      <c r="AG46" s="22">
        <f ca="1">+GETPIVOTDATA("XSN4",'suoinghe (2016)'!$A$3,"MA_HT","TSC","MA_QH","DYT")</f>
        <v>0</v>
      </c>
      <c r="AH46" s="22">
        <f ca="1">+GETPIVOTDATA("XSN4",'suoinghe (2016)'!$A$3,"MA_HT","TSC","MA_QH","DGD")</f>
        <v>0</v>
      </c>
      <c r="AI46" s="22">
        <f ca="1">+GETPIVOTDATA("XSN4",'suoinghe (2016)'!$A$3,"MA_HT","TSC","MA_QH","DTT")</f>
        <v>0</v>
      </c>
      <c r="AJ46" s="22">
        <f ca="1">+GETPIVOTDATA("XSN4",'suoinghe (2016)'!$A$3,"MA_HT","TSC","MA_QH","NCK")</f>
        <v>0</v>
      </c>
      <c r="AK46" s="22">
        <f ca="1">+GETPIVOTDATA("XSN4",'suoinghe (2016)'!$A$3,"MA_HT","TSC","MA_QH","DXH")</f>
        <v>0</v>
      </c>
      <c r="AL46" s="22">
        <f ca="1">+GETPIVOTDATA("XSN4",'suoinghe (2016)'!$A$3,"MA_HT","TSC","MA_QH","DCH")</f>
        <v>0</v>
      </c>
      <c r="AM46" s="22">
        <f ca="1">+GETPIVOTDATA("XSN4",'suoinghe (2016)'!$A$3,"MA_HT","TSC","MA_QH","DKG")</f>
        <v>0</v>
      </c>
      <c r="AN46" s="22">
        <f ca="1">+GETPIVOTDATA("XSN4",'suoinghe (2016)'!$A$3,"MA_HT","TSC","MA_QH","DDT")</f>
        <v>0</v>
      </c>
      <c r="AO46" s="22">
        <f ca="1">+GETPIVOTDATA("XSN4",'suoinghe (2016)'!$A$3,"MA_HT","TSC","MA_QH","DDL")</f>
        <v>0</v>
      </c>
      <c r="AP46" s="22">
        <f ca="1">+GETPIVOTDATA("XSN4",'suoinghe (2016)'!$A$3,"MA_HT","TSC","MA_QH","DRA")</f>
        <v>0</v>
      </c>
      <c r="AQ46" s="22">
        <f ca="1">+GETPIVOTDATA("XSN4",'suoinghe (2016)'!$A$3,"MA_HT","TSC","MA_QH","ONT")</f>
        <v>0</v>
      </c>
      <c r="AR46" s="22">
        <f ca="1">+GETPIVOTDATA("XSN4",'suoinghe (2016)'!$A$3,"MA_HT","TSC","MA_QH","ODT")</f>
        <v>0</v>
      </c>
      <c r="AS46" s="43" t="e">
        <f ca="1">$D46-$BF46</f>
        <v>#REF!</v>
      </c>
      <c r="AT46" s="22">
        <f ca="1">+GETPIVOTDATA("XSN4",'suoinghe (2016)'!$A$3,"MA_HT","TSC","MA_QH","DTS")</f>
        <v>0</v>
      </c>
      <c r="AU46" s="22">
        <f ca="1">+GETPIVOTDATA("XSN4",'suoinghe (2016)'!$A$3,"MA_HT","TSC","MA_QH","DNG")</f>
        <v>0</v>
      </c>
      <c r="AV46" s="22">
        <f ca="1">+GETPIVOTDATA("XSN4",'suoinghe (2016)'!$A$3,"MA_HT","TSC","MA_QH","TON")</f>
        <v>0</v>
      </c>
      <c r="AW46" s="22">
        <f ca="1">+GETPIVOTDATA("XSN4",'suoinghe (2016)'!$A$3,"MA_HT","TSC","MA_QH","NTD")</f>
        <v>0</v>
      </c>
      <c r="AX46" s="22">
        <f ca="1">+GETPIVOTDATA("XSN4",'suoinghe (2016)'!$A$3,"MA_HT","TSC","MA_QH","SKX")</f>
        <v>0</v>
      </c>
      <c r="AY46" s="22">
        <f ca="1">+GETPIVOTDATA("XSN4",'suoinghe (2016)'!$A$3,"MA_HT","TSC","MA_QH","DSH")</f>
        <v>0</v>
      </c>
      <c r="AZ46" s="22">
        <f ca="1">+GETPIVOTDATA("XSN4",'suoinghe (2016)'!$A$3,"MA_HT","TSC","MA_QH","DKV")</f>
        <v>0</v>
      </c>
      <c r="BA46" s="89">
        <f ca="1">+GETPIVOTDATA("XSN4",'suoinghe (2016)'!$A$3,"MA_HT","TSC","MA_QH","TIN")</f>
        <v>0</v>
      </c>
      <c r="BB46" s="50">
        <f ca="1">+GETPIVOTDATA("XSN4",'suoinghe (2016)'!$A$3,"MA_HT","TSC","MA_QH","SON")</f>
        <v>0</v>
      </c>
      <c r="BC46" s="50">
        <f ca="1">+GETPIVOTDATA("XSN4",'suoinghe (2016)'!$A$3,"MA_HT","TSC","MA_QH","MNC")</f>
        <v>0</v>
      </c>
      <c r="BD46" s="22">
        <f ca="1">+GETPIVOTDATA("XSN4",'suoinghe (2016)'!$A$3,"MA_HT","TSC","MA_QH","PNK")</f>
        <v>0</v>
      </c>
      <c r="BE46" s="71">
        <f ca="1">+GETPIVOTDATA("XSN4",'suoinghe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+GETPIVOTDATA("XSN4",'suoinghe (2016)'!$A$3,"MA_HT","DTS","MA_QH","LUC")</f>
        <v>0</v>
      </c>
      <c r="H47" s="60">
        <f ca="1">+GETPIVOTDATA("XSN4",'suoinghe (2016)'!$A$3,"MA_HT","DTS","MA_QH","LUK")</f>
        <v>0</v>
      </c>
      <c r="I47" s="60">
        <f ca="1">+GETPIVOTDATA("XSN4",'suoinghe (2016)'!$A$3,"MA_HT","DTS","MA_QH","LUN")</f>
        <v>0</v>
      </c>
      <c r="J47" s="60">
        <f ca="1">+GETPIVOTDATA("XSN4",'suoinghe (2016)'!$A$3,"MA_HT","DTS","MA_QH","HNK")</f>
        <v>0</v>
      </c>
      <c r="K47" s="60">
        <f ca="1">+GETPIVOTDATA("XSN4",'suoinghe (2016)'!$A$3,"MA_HT","DTS","MA_QH","CLN")</f>
        <v>0</v>
      </c>
      <c r="L47" s="60">
        <f ca="1">+GETPIVOTDATA("XSN4",'suoinghe (2016)'!$A$3,"MA_HT","DTS","MA_QH","RSX")</f>
        <v>0</v>
      </c>
      <c r="M47" s="60">
        <f ca="1">+GETPIVOTDATA("XSN4",'suoinghe (2016)'!$A$3,"MA_HT","DTS","MA_QH","RPH")</f>
        <v>0</v>
      </c>
      <c r="N47" s="60">
        <f ca="1">+GETPIVOTDATA("XSN4",'suoinghe (2016)'!$A$3,"MA_HT","DTS","MA_QH","RDD")</f>
        <v>0</v>
      </c>
      <c r="O47" s="60">
        <f ca="1">+GETPIVOTDATA("XSN4",'suoinghe (2016)'!$A$3,"MA_HT","DTS","MA_QH","NTS")</f>
        <v>0</v>
      </c>
      <c r="P47" s="60">
        <f ca="1">+GETPIVOTDATA("XSN4",'suoinghe (2016)'!$A$3,"MA_HT","DTS","MA_QH","LMU")</f>
        <v>0</v>
      </c>
      <c r="Q47" s="60">
        <f ca="1">+GETPIVOTDATA("XSN4",'suoinghe (2016)'!$A$3,"MA_HT","DTS","MA_QH","NKH")</f>
        <v>0</v>
      </c>
      <c r="R47" s="78">
        <f ca="1">SUM(S47:AA47,AN47:AS47,AU47:BD47)</f>
        <v>0</v>
      </c>
      <c r="S47" s="60">
        <f ca="1">+GETPIVOTDATA("XSN4",'suoinghe (2016)'!$A$3,"MA_HT","DTS","MA_QH","CQP")</f>
        <v>0</v>
      </c>
      <c r="T47" s="60">
        <f ca="1">+GETPIVOTDATA("XSN4",'suoinghe (2016)'!$A$3,"MA_HT","DTS","MA_QH","CAN")</f>
        <v>0</v>
      </c>
      <c r="U47" s="60">
        <f ca="1">+GETPIVOTDATA("XSN4",'suoinghe (2016)'!$A$3,"MA_HT","DTS","MA_QH","SKK")</f>
        <v>0</v>
      </c>
      <c r="V47" s="60">
        <f ca="1">+GETPIVOTDATA("XSN4",'suoinghe (2016)'!$A$3,"MA_HT","DTS","MA_QH","SKT")</f>
        <v>0</v>
      </c>
      <c r="W47" s="60">
        <f ca="1">+GETPIVOTDATA("XSN4",'suoinghe (2016)'!$A$3,"MA_HT","DTS","MA_QH","SKN")</f>
        <v>0</v>
      </c>
      <c r="X47" s="60">
        <f ca="1">+GETPIVOTDATA("XSN4",'suoinghe (2016)'!$A$3,"MA_HT","DTS","MA_QH","TMD")</f>
        <v>0</v>
      </c>
      <c r="Y47" s="60">
        <f ca="1">+GETPIVOTDATA("XSN4",'suoinghe (2016)'!$A$3,"MA_HT","DTS","MA_QH","SKC")</f>
        <v>0</v>
      </c>
      <c r="Z47" s="60">
        <f ca="1">+GETPIVOTDATA("XSN4",'suoinghe (2016)'!$A$3,"MA_HT","DTS","MA_QH","SKS")</f>
        <v>0</v>
      </c>
      <c r="AA47" s="59">
        <f ca="1" t="shared" si="21"/>
        <v>0</v>
      </c>
      <c r="AB47" s="60">
        <f ca="1">+GETPIVOTDATA("XSN4",'suoinghe (2016)'!$A$3,"MA_HT","DTS","MA_QH","DGT")</f>
        <v>0</v>
      </c>
      <c r="AC47" s="60">
        <f ca="1">+GETPIVOTDATA("XSN4",'suoinghe (2016)'!$A$3,"MA_HT","DTS","MA_QH","DTL")</f>
        <v>0</v>
      </c>
      <c r="AD47" s="60">
        <f ca="1">+GETPIVOTDATA("XSN4",'suoinghe (2016)'!$A$3,"MA_HT","DTS","MA_QH","DNL")</f>
        <v>0</v>
      </c>
      <c r="AE47" s="60">
        <f ca="1">+GETPIVOTDATA("XSN4",'suoinghe (2016)'!$A$3,"MA_HT","DTS","MA_QH","DBV")</f>
        <v>0</v>
      </c>
      <c r="AF47" s="60">
        <f ca="1">+GETPIVOTDATA("XSN4",'suoinghe (2016)'!$A$3,"MA_HT","DTS","MA_QH","DVH")</f>
        <v>0</v>
      </c>
      <c r="AG47" s="60">
        <f ca="1">+GETPIVOTDATA("XSN4",'suoinghe (2016)'!$A$3,"MA_HT","DTS","MA_QH","DYT")</f>
        <v>0</v>
      </c>
      <c r="AH47" s="60">
        <f ca="1">+GETPIVOTDATA("XSN4",'suoinghe (2016)'!$A$3,"MA_HT","DTS","MA_QH","DGD")</f>
        <v>0</v>
      </c>
      <c r="AI47" s="60">
        <f ca="1">+GETPIVOTDATA("XSN4",'suoinghe (2016)'!$A$3,"MA_HT","DTS","MA_QH","DTT")</f>
        <v>0</v>
      </c>
      <c r="AJ47" s="60">
        <f ca="1">+GETPIVOTDATA("XSN4",'suoinghe (2016)'!$A$3,"MA_HT","DTS","MA_QH","NCK")</f>
        <v>0</v>
      </c>
      <c r="AK47" s="60">
        <f ca="1">+GETPIVOTDATA("XSN4",'suoinghe (2016)'!$A$3,"MA_HT","DTS","MA_QH","DXH")</f>
        <v>0</v>
      </c>
      <c r="AL47" s="60">
        <f ca="1">+GETPIVOTDATA("XSN4",'suoinghe (2016)'!$A$3,"MA_HT","DTS","MA_QH","DCH")</f>
        <v>0</v>
      </c>
      <c r="AM47" s="60">
        <f ca="1">+GETPIVOTDATA("XSN4",'suoinghe (2016)'!$A$3,"MA_HT","DTS","MA_QH","DKG")</f>
        <v>0</v>
      </c>
      <c r="AN47" s="60">
        <f ca="1">+GETPIVOTDATA("XSN4",'suoinghe (2016)'!$A$3,"MA_HT","DTS","MA_QH","DDT")</f>
        <v>0</v>
      </c>
      <c r="AO47" s="60">
        <f ca="1">+GETPIVOTDATA("XSN4",'suoinghe (2016)'!$A$3,"MA_HT","DTS","MA_QH","DDL")</f>
        <v>0</v>
      </c>
      <c r="AP47" s="60">
        <f ca="1">+GETPIVOTDATA("XSN4",'suoinghe (2016)'!$A$3,"MA_HT","DTS","MA_QH","DRA")</f>
        <v>0</v>
      </c>
      <c r="AQ47" s="60">
        <f ca="1">+GETPIVOTDATA("XSN4",'suoinghe (2016)'!$A$3,"MA_HT","DTS","MA_QH","ONT")</f>
        <v>0</v>
      </c>
      <c r="AR47" s="60">
        <f ca="1">+GETPIVOTDATA("XSN4",'suoinghe (2016)'!$A$3,"MA_HT","DTS","MA_QH","ODT")</f>
        <v>0</v>
      </c>
      <c r="AS47" s="60">
        <f ca="1">+GETPIVOTDATA("XSN4",'suoinghe (2016)'!$A$3,"MA_HT","DTS","MA_QH","TSC")</f>
        <v>0</v>
      </c>
      <c r="AT47" s="81" t="e">
        <f ca="1">$D47-$BF47</f>
        <v>#REF!</v>
      </c>
      <c r="AU47" s="60">
        <f ca="1">+GETPIVOTDATA("XSN4",'suoinghe (2016)'!$A$3,"MA_HT","DTS","MA_QH","DNG")</f>
        <v>0</v>
      </c>
      <c r="AV47" s="60">
        <f ca="1">+GETPIVOTDATA("XSN4",'suoinghe (2016)'!$A$3,"MA_HT","DTS","MA_QH","TON")</f>
        <v>0</v>
      </c>
      <c r="AW47" s="60">
        <f ca="1">+GETPIVOTDATA("XSN4",'suoinghe (2016)'!$A$3,"MA_HT","DTS","MA_QH","NTD")</f>
        <v>0</v>
      </c>
      <c r="AX47" s="60">
        <f ca="1">+GETPIVOTDATA("XSN4",'suoinghe (2016)'!$A$3,"MA_HT","DTS","MA_QH","SKX")</f>
        <v>0</v>
      </c>
      <c r="AY47" s="60">
        <f ca="1">+GETPIVOTDATA("XSN4",'suoinghe (2016)'!$A$3,"MA_HT","DTS","MA_QH","DSH")</f>
        <v>0</v>
      </c>
      <c r="AZ47" s="60">
        <f ca="1">+GETPIVOTDATA("XSN4",'suoinghe (2016)'!$A$3,"MA_HT","DTS","MA_QH","DKV")</f>
        <v>0</v>
      </c>
      <c r="BA47" s="90">
        <f ca="1">+GETPIVOTDATA("XSN4",'suoinghe (2016)'!$A$3,"MA_HT","DTS","MA_QH","TIN")</f>
        <v>0</v>
      </c>
      <c r="BB47" s="91">
        <f ca="1">+GETPIVOTDATA("XSN4",'suoinghe (2016)'!$A$3,"MA_HT","DTS","MA_QH","SON")</f>
        <v>0</v>
      </c>
      <c r="BC47" s="91">
        <f ca="1">+GETPIVOTDATA("XSN4",'suoinghe (2016)'!$A$3,"MA_HT","DTS","MA_QH","MNC")</f>
        <v>0</v>
      </c>
      <c r="BD47" s="60">
        <f ca="1">+GETPIVOTDATA("XSN4",'suoinghe (2016)'!$A$3,"MA_HT","DTS","MA_QH","PNK")</f>
        <v>0</v>
      </c>
      <c r="BE47" s="111">
        <f ca="1">+GETPIVOTDATA("XSN4",'suoinghe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+GETPIVOTDATA("XSN4",'suoinghe (2016)'!$A$3,"MA_HT","DNG","MA_QH","LUC")</f>
        <v>0</v>
      </c>
      <c r="H48" s="22">
        <f ca="1">+GETPIVOTDATA("XSN4",'suoinghe (2016)'!$A$3,"MA_HT","DNG","MA_QH","LUK")</f>
        <v>0</v>
      </c>
      <c r="I48" s="22">
        <f ca="1">+GETPIVOTDATA("XSN4",'suoinghe (2016)'!$A$3,"MA_HT","DNG","MA_QH","LUN")</f>
        <v>0</v>
      </c>
      <c r="J48" s="22">
        <f ca="1">+GETPIVOTDATA("XSN4",'suoinghe (2016)'!$A$3,"MA_HT","DNG","MA_QH","HNK")</f>
        <v>0</v>
      </c>
      <c r="K48" s="22">
        <f ca="1">+GETPIVOTDATA("XSN4",'suoinghe (2016)'!$A$3,"MA_HT","DNG","MA_QH","CLN")</f>
        <v>0</v>
      </c>
      <c r="L48" s="22">
        <f ca="1">+GETPIVOTDATA("XSN4",'suoinghe (2016)'!$A$3,"MA_HT","DNG","MA_QH","RSX")</f>
        <v>0</v>
      </c>
      <c r="M48" s="22">
        <f ca="1">+GETPIVOTDATA("XSN4",'suoinghe (2016)'!$A$3,"MA_HT","DNG","MA_QH","RPH")</f>
        <v>0</v>
      </c>
      <c r="N48" s="22">
        <f ca="1">+GETPIVOTDATA("XSN4",'suoinghe (2016)'!$A$3,"MA_HT","DNG","MA_QH","RDD")</f>
        <v>0</v>
      </c>
      <c r="O48" s="22">
        <f ca="1">+GETPIVOTDATA("XSN4",'suoinghe (2016)'!$A$3,"MA_HT","DNG","MA_QH","NTS")</f>
        <v>0</v>
      </c>
      <c r="P48" s="22">
        <f ca="1">+GETPIVOTDATA("XSN4",'suoinghe (2016)'!$A$3,"MA_HT","DNG","MA_QH","LMU")</f>
        <v>0</v>
      </c>
      <c r="Q48" s="22">
        <f ca="1">+GETPIVOTDATA("XSN4",'suoinghe (2016)'!$A$3,"MA_HT","DNG","MA_QH","NKH")</f>
        <v>0</v>
      </c>
      <c r="R48" s="79">
        <f ca="1">SUM(S48:AA48,AN48:AT48,AV48:BD48)</f>
        <v>0</v>
      </c>
      <c r="S48" s="22">
        <f ca="1">+GETPIVOTDATA("XSN4",'suoinghe (2016)'!$A$3,"MA_HT","DNG","MA_QH","CQP")</f>
        <v>0</v>
      </c>
      <c r="T48" s="22">
        <f ca="1">+GETPIVOTDATA("XSN4",'suoinghe (2016)'!$A$3,"MA_HT","DNG","MA_QH","CAN")</f>
        <v>0</v>
      </c>
      <c r="U48" s="22">
        <f ca="1">+GETPIVOTDATA("XSN4",'suoinghe (2016)'!$A$3,"MA_HT","DNG","MA_QH","SKK")</f>
        <v>0</v>
      </c>
      <c r="V48" s="22">
        <f ca="1">+GETPIVOTDATA("XSN4",'suoinghe (2016)'!$A$3,"MA_HT","DNG","MA_QH","SKT")</f>
        <v>0</v>
      </c>
      <c r="W48" s="22">
        <f ca="1">+GETPIVOTDATA("XSN4",'suoinghe (2016)'!$A$3,"MA_HT","DNG","MA_QH","SKN")</f>
        <v>0</v>
      </c>
      <c r="X48" s="22">
        <f ca="1">+GETPIVOTDATA("XSN4",'suoinghe (2016)'!$A$3,"MA_HT","DNG","MA_QH","TMD")</f>
        <v>0</v>
      </c>
      <c r="Y48" s="22">
        <f ca="1">+GETPIVOTDATA("XSN4",'suoinghe (2016)'!$A$3,"MA_HT","DNG","MA_QH","SKC")</f>
        <v>0</v>
      </c>
      <c r="Z48" s="22">
        <f ca="1">+GETPIVOTDATA("XSN4",'suoinghe (2016)'!$A$3,"MA_HT","DNG","MA_QH","SKS")</f>
        <v>0</v>
      </c>
      <c r="AA48" s="52">
        <f ca="1" t="shared" si="21"/>
        <v>0</v>
      </c>
      <c r="AB48" s="22">
        <f ca="1">+GETPIVOTDATA("XSN4",'suoinghe (2016)'!$A$3,"MA_HT","DNG","MA_QH","DGT")</f>
        <v>0</v>
      </c>
      <c r="AC48" s="22">
        <f ca="1">+GETPIVOTDATA("XSN4",'suoinghe (2016)'!$A$3,"MA_HT","DNG","MA_QH","DTL")</f>
        <v>0</v>
      </c>
      <c r="AD48" s="22">
        <f ca="1">+GETPIVOTDATA("XSN4",'suoinghe (2016)'!$A$3,"MA_HT","DNG","MA_QH","DNL")</f>
        <v>0</v>
      </c>
      <c r="AE48" s="22">
        <f ca="1">+GETPIVOTDATA("XSN4",'suoinghe (2016)'!$A$3,"MA_HT","DNG","MA_QH","DBV")</f>
        <v>0</v>
      </c>
      <c r="AF48" s="22">
        <f ca="1">+GETPIVOTDATA("XSN4",'suoinghe (2016)'!$A$3,"MA_HT","DNG","MA_QH","DVH")</f>
        <v>0</v>
      </c>
      <c r="AG48" s="22">
        <f ca="1">+GETPIVOTDATA("XSN4",'suoinghe (2016)'!$A$3,"MA_HT","DNG","MA_QH","DYT")</f>
        <v>0</v>
      </c>
      <c r="AH48" s="22">
        <f ca="1">+GETPIVOTDATA("XSN4",'suoinghe (2016)'!$A$3,"MA_HT","DNG","MA_QH","DGD")</f>
        <v>0</v>
      </c>
      <c r="AI48" s="22">
        <f ca="1">+GETPIVOTDATA("XSN4",'suoinghe (2016)'!$A$3,"MA_HT","DNG","MA_QH","DTT")</f>
        <v>0</v>
      </c>
      <c r="AJ48" s="22">
        <f ca="1">+GETPIVOTDATA("XSN4",'suoinghe (2016)'!$A$3,"MA_HT","DNG","MA_QH","NCK")</f>
        <v>0</v>
      </c>
      <c r="AK48" s="22">
        <f ca="1">+GETPIVOTDATA("XSN4",'suoinghe (2016)'!$A$3,"MA_HT","DNG","MA_QH","DXH")</f>
        <v>0</v>
      </c>
      <c r="AL48" s="22">
        <f ca="1">+GETPIVOTDATA("XSN4",'suoinghe (2016)'!$A$3,"MA_HT","DNG","MA_QH","DCH")</f>
        <v>0</v>
      </c>
      <c r="AM48" s="22">
        <f ca="1">+GETPIVOTDATA("XSN4",'suoinghe (2016)'!$A$3,"MA_HT","DNG","MA_QH","DKG")</f>
        <v>0</v>
      </c>
      <c r="AN48" s="22">
        <f ca="1">+GETPIVOTDATA("XSN4",'suoinghe (2016)'!$A$3,"MA_HT","DNG","MA_QH","DDT")</f>
        <v>0</v>
      </c>
      <c r="AO48" s="22">
        <f ca="1">+GETPIVOTDATA("XSN4",'suoinghe (2016)'!$A$3,"MA_HT","DNG","MA_QH","DDL")</f>
        <v>0</v>
      </c>
      <c r="AP48" s="22">
        <f ca="1">+GETPIVOTDATA("XSN4",'suoinghe (2016)'!$A$3,"MA_HT","DNG","MA_QH","DRA")</f>
        <v>0</v>
      </c>
      <c r="AQ48" s="22">
        <f ca="1">+GETPIVOTDATA("XSN4",'suoinghe (2016)'!$A$3,"MA_HT","DNG","MA_QH","ONT")</f>
        <v>0</v>
      </c>
      <c r="AR48" s="22">
        <f ca="1">+GETPIVOTDATA("XSN4",'suoinghe (2016)'!$A$3,"MA_HT","DNG","MA_QH","ODT")</f>
        <v>0</v>
      </c>
      <c r="AS48" s="22">
        <f ca="1">+GETPIVOTDATA("XSN4",'suoinghe (2016)'!$A$3,"MA_HT","DNG","MA_QH","TSC")</f>
        <v>0</v>
      </c>
      <c r="AT48" s="22">
        <f ca="1">+GETPIVOTDATA("XSN4",'suoinghe (2016)'!$A$3,"MA_HT","DNG","MA_QH","DTS")</f>
        <v>0</v>
      </c>
      <c r="AU48" s="43" t="e">
        <f ca="1">$D48-$BF48</f>
        <v>#REF!</v>
      </c>
      <c r="AV48" s="22">
        <f ca="1">+GETPIVOTDATA("XSN4",'suoinghe (2016)'!$A$3,"MA_HT","DNG","MA_QH","TON")</f>
        <v>0</v>
      </c>
      <c r="AW48" s="22">
        <f ca="1">+GETPIVOTDATA("XSN4",'suoinghe (2016)'!$A$3,"MA_HT","DNG","MA_QH","NTD")</f>
        <v>0</v>
      </c>
      <c r="AX48" s="22">
        <f ca="1">+GETPIVOTDATA("XSN4",'suoinghe (2016)'!$A$3,"MA_HT","DNG","MA_QH","SKX")</f>
        <v>0</v>
      </c>
      <c r="AY48" s="22">
        <f ca="1">+GETPIVOTDATA("XSN4",'suoinghe (2016)'!$A$3,"MA_HT","DNG","MA_QH","DSH")</f>
        <v>0</v>
      </c>
      <c r="AZ48" s="22">
        <f ca="1">+GETPIVOTDATA("XSN4",'suoinghe (2016)'!$A$3,"MA_HT","DNG","MA_QH","DKV")</f>
        <v>0</v>
      </c>
      <c r="BA48" s="89">
        <f ca="1">+GETPIVOTDATA("XSN4",'suoinghe (2016)'!$A$3,"MA_HT","DNG","MA_QH","TIN")</f>
        <v>0</v>
      </c>
      <c r="BB48" s="50">
        <f ca="1">+GETPIVOTDATA("XSN4",'suoinghe (2016)'!$A$3,"MA_HT","DNG","MA_QH","SON")</f>
        <v>0</v>
      </c>
      <c r="BC48" s="50">
        <f ca="1">+GETPIVOTDATA("XSN4",'suoinghe (2016)'!$A$3,"MA_HT","DNG","MA_QH","MNC")</f>
        <v>0</v>
      </c>
      <c r="BD48" s="22">
        <f ca="1">+GETPIVOTDATA("XSN4",'suoinghe (2016)'!$A$3,"MA_HT","DNG","MA_QH","PNK")</f>
        <v>0</v>
      </c>
      <c r="BE48" s="71">
        <f ca="1">+GETPIVOTDATA("XSN4",'suoinghe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+GETPIVOTDATA("XSN4",'suoinghe (2016)'!$A$3,"MA_HT","TON","MA_QH","LUC")</f>
        <v>0</v>
      </c>
      <c r="H49" s="22">
        <f ca="1">+GETPIVOTDATA("XSN4",'suoinghe (2016)'!$A$3,"MA_HT","TON","MA_QH","LUK")</f>
        <v>0</v>
      </c>
      <c r="I49" s="22">
        <f ca="1">+GETPIVOTDATA("XSN4",'suoinghe (2016)'!$A$3,"MA_HT","TON","MA_QH","LUN")</f>
        <v>0</v>
      </c>
      <c r="J49" s="22">
        <f ca="1">+GETPIVOTDATA("XSN4",'suoinghe (2016)'!$A$3,"MA_HT","TON","MA_QH","HNK")</f>
        <v>0</v>
      </c>
      <c r="K49" s="22">
        <f ca="1">+GETPIVOTDATA("XSN4",'suoinghe (2016)'!$A$3,"MA_HT","TON","MA_QH","CLN")</f>
        <v>0</v>
      </c>
      <c r="L49" s="22">
        <f ca="1">+GETPIVOTDATA("XSN4",'suoinghe (2016)'!$A$3,"MA_HT","TON","MA_QH","RSX")</f>
        <v>0</v>
      </c>
      <c r="M49" s="22">
        <f ca="1">+GETPIVOTDATA("XSN4",'suoinghe (2016)'!$A$3,"MA_HT","TON","MA_QH","RPH")</f>
        <v>0</v>
      </c>
      <c r="N49" s="22">
        <f ca="1">+GETPIVOTDATA("XSN4",'suoinghe (2016)'!$A$3,"MA_HT","TON","MA_QH","RDD")</f>
        <v>0</v>
      </c>
      <c r="O49" s="22">
        <f ca="1">+GETPIVOTDATA("XSN4",'suoinghe (2016)'!$A$3,"MA_HT","TON","MA_QH","NTS")</f>
        <v>0</v>
      </c>
      <c r="P49" s="22">
        <f ca="1">+GETPIVOTDATA("XSN4",'suoinghe (2016)'!$A$3,"MA_HT","TON","MA_QH","LMU")</f>
        <v>0</v>
      </c>
      <c r="Q49" s="22">
        <f ca="1">+GETPIVOTDATA("XSN4",'suoinghe (2016)'!$A$3,"MA_HT","TON","MA_QH","NKH")</f>
        <v>0</v>
      </c>
      <c r="R49" s="79">
        <f ca="1">SUM(S49:AA49,AN49:AU49,AW49:BD49)</f>
        <v>0</v>
      </c>
      <c r="S49" s="22">
        <f ca="1">+GETPIVOTDATA("XSN4",'suoinghe (2016)'!$A$3,"MA_HT","TON","MA_QH","CQP")</f>
        <v>0</v>
      </c>
      <c r="T49" s="22">
        <f ca="1">+GETPIVOTDATA("XSN4",'suoinghe (2016)'!$A$3,"MA_HT","TON","MA_QH","CAN")</f>
        <v>0</v>
      </c>
      <c r="U49" s="22">
        <f ca="1">+GETPIVOTDATA("XSN4",'suoinghe (2016)'!$A$3,"MA_HT","TON","MA_QH","SKK")</f>
        <v>0</v>
      </c>
      <c r="V49" s="22">
        <f ca="1">+GETPIVOTDATA("XSN4",'suoinghe (2016)'!$A$3,"MA_HT","TON","MA_QH","SKT")</f>
        <v>0</v>
      </c>
      <c r="W49" s="22">
        <f ca="1">+GETPIVOTDATA("XSN4",'suoinghe (2016)'!$A$3,"MA_HT","TON","MA_QH","SKN")</f>
        <v>0</v>
      </c>
      <c r="X49" s="22">
        <f ca="1">+GETPIVOTDATA("XSN4",'suoinghe (2016)'!$A$3,"MA_HT","TON","MA_QH","TMD")</f>
        <v>0</v>
      </c>
      <c r="Y49" s="22">
        <f ca="1">+GETPIVOTDATA("XSN4",'suoinghe (2016)'!$A$3,"MA_HT","TON","MA_QH","SKC")</f>
        <v>0</v>
      </c>
      <c r="Z49" s="22">
        <f ca="1">+GETPIVOTDATA("XSN4",'suoinghe (2016)'!$A$3,"MA_HT","TON","MA_QH","SKS")</f>
        <v>0</v>
      </c>
      <c r="AA49" s="52">
        <f ca="1" t="shared" si="21"/>
        <v>0</v>
      </c>
      <c r="AB49" s="22">
        <f ca="1">+GETPIVOTDATA("XSN4",'suoinghe (2016)'!$A$3,"MA_HT","TON","MA_QH","DGT")</f>
        <v>0</v>
      </c>
      <c r="AC49" s="22">
        <f ca="1">+GETPIVOTDATA("XSN4",'suoinghe (2016)'!$A$3,"MA_HT","TON","MA_QH","DTL")</f>
        <v>0</v>
      </c>
      <c r="AD49" s="22">
        <f ca="1">+GETPIVOTDATA("XSN4",'suoinghe (2016)'!$A$3,"MA_HT","TON","MA_QH","DNL")</f>
        <v>0</v>
      </c>
      <c r="AE49" s="22">
        <f ca="1">+GETPIVOTDATA("XSN4",'suoinghe (2016)'!$A$3,"MA_HT","TON","MA_QH","DBV")</f>
        <v>0</v>
      </c>
      <c r="AF49" s="22">
        <f ca="1">+GETPIVOTDATA("XSN4",'suoinghe (2016)'!$A$3,"MA_HT","TON","MA_QH","DVH")</f>
        <v>0</v>
      </c>
      <c r="AG49" s="22">
        <f ca="1">+GETPIVOTDATA("XSN4",'suoinghe (2016)'!$A$3,"MA_HT","TON","MA_QH","DYT")</f>
        <v>0</v>
      </c>
      <c r="AH49" s="22">
        <f ca="1">+GETPIVOTDATA("XSN4",'suoinghe (2016)'!$A$3,"MA_HT","TON","MA_QH","DGD")</f>
        <v>0</v>
      </c>
      <c r="AI49" s="22">
        <f ca="1">+GETPIVOTDATA("XSN4",'suoinghe (2016)'!$A$3,"MA_HT","TON","MA_QH","DTT")</f>
        <v>0</v>
      </c>
      <c r="AJ49" s="22">
        <f ca="1">+GETPIVOTDATA("XSN4",'suoinghe (2016)'!$A$3,"MA_HT","TON","MA_QH","NCK")</f>
        <v>0</v>
      </c>
      <c r="AK49" s="22">
        <f ca="1">+GETPIVOTDATA("XSN4",'suoinghe (2016)'!$A$3,"MA_HT","TON","MA_QH","DXH")</f>
        <v>0</v>
      </c>
      <c r="AL49" s="22">
        <f ca="1">+GETPIVOTDATA("XSN4",'suoinghe (2016)'!$A$3,"MA_HT","TON","MA_QH","DCH")</f>
        <v>0</v>
      </c>
      <c r="AM49" s="22">
        <f ca="1">+GETPIVOTDATA("XSN4",'suoinghe (2016)'!$A$3,"MA_HT","TON","MA_QH","DKG")</f>
        <v>0</v>
      </c>
      <c r="AN49" s="22">
        <f ca="1">+GETPIVOTDATA("XSN4",'suoinghe (2016)'!$A$3,"MA_HT","TON","MA_QH","DDT")</f>
        <v>0</v>
      </c>
      <c r="AO49" s="22">
        <f ca="1">+GETPIVOTDATA("XSN4",'suoinghe (2016)'!$A$3,"MA_HT","TON","MA_QH","DDL")</f>
        <v>0</v>
      </c>
      <c r="AP49" s="22">
        <f ca="1">+GETPIVOTDATA("XSN4",'suoinghe (2016)'!$A$3,"MA_HT","TON","MA_QH","DRA")</f>
        <v>0</v>
      </c>
      <c r="AQ49" s="22">
        <f ca="1">+GETPIVOTDATA("XSN4",'suoinghe (2016)'!$A$3,"MA_HT","TON","MA_QH","ONT")</f>
        <v>0</v>
      </c>
      <c r="AR49" s="22">
        <f ca="1">+GETPIVOTDATA("XSN4",'suoinghe (2016)'!$A$3,"MA_HT","TON","MA_QH","ODT")</f>
        <v>0</v>
      </c>
      <c r="AS49" s="22">
        <f ca="1">+GETPIVOTDATA("XSN4",'suoinghe (2016)'!$A$3,"MA_HT","TON","MA_QH","TSC")</f>
        <v>0</v>
      </c>
      <c r="AT49" s="22">
        <f ca="1">+GETPIVOTDATA("XSN4",'suoinghe (2016)'!$A$3,"MA_HT","TON","MA_QH","DTS")</f>
        <v>0</v>
      </c>
      <c r="AU49" s="22">
        <f ca="1">+GETPIVOTDATA("XSN4",'suoinghe (2016)'!$A$3,"MA_HT","TON","MA_QH","DNG")</f>
        <v>0</v>
      </c>
      <c r="AV49" s="43" t="e">
        <f ca="1">$D49-$BF49</f>
        <v>#REF!</v>
      </c>
      <c r="AW49" s="22">
        <f ca="1">+GETPIVOTDATA("XSN4",'suoinghe (2016)'!$A$3,"MA_HT","TON","MA_QH","NTD")</f>
        <v>0</v>
      </c>
      <c r="AX49" s="22">
        <f ca="1">+GETPIVOTDATA("XSN4",'suoinghe (2016)'!$A$3,"MA_HT","TON","MA_QH","SKX")</f>
        <v>0</v>
      </c>
      <c r="AY49" s="22">
        <f ca="1">+GETPIVOTDATA("XSN4",'suoinghe (2016)'!$A$3,"MA_HT","TON","MA_QH","DSH")</f>
        <v>0</v>
      </c>
      <c r="AZ49" s="22">
        <f ca="1">+GETPIVOTDATA("XSN4",'suoinghe (2016)'!$A$3,"MA_HT","TON","MA_QH","DKV")</f>
        <v>0</v>
      </c>
      <c r="BA49" s="89">
        <f ca="1">+GETPIVOTDATA("XSN4",'suoinghe (2016)'!$A$3,"MA_HT","TON","MA_QH","TIN")</f>
        <v>0</v>
      </c>
      <c r="BB49" s="50">
        <f ca="1">+GETPIVOTDATA("XSN4",'suoinghe (2016)'!$A$3,"MA_HT","TON","MA_QH","SON")</f>
        <v>0</v>
      </c>
      <c r="BC49" s="50">
        <f ca="1">+GETPIVOTDATA("XSN4",'suoinghe (2016)'!$A$3,"MA_HT","TON","MA_QH","MNC")</f>
        <v>0</v>
      </c>
      <c r="BD49" s="22">
        <f ca="1">+GETPIVOTDATA("XSN4",'suoinghe (2016)'!$A$3,"MA_HT","TON","MA_QH","PNK")</f>
        <v>0</v>
      </c>
      <c r="BE49" s="71">
        <f ca="1">+GETPIVOTDATA("XSN4",'suoinghe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+GETPIVOTDATA("XSN4",'suoinghe (2016)'!$A$3,"MA_HT","NTD","MA_QH","LUC")</f>
        <v>0</v>
      </c>
      <c r="H50" s="22">
        <f ca="1">+GETPIVOTDATA("XSN4",'suoinghe (2016)'!$A$3,"MA_HT","NTD","MA_QH","LUK")</f>
        <v>0</v>
      </c>
      <c r="I50" s="22">
        <f ca="1">+GETPIVOTDATA("XSN4",'suoinghe (2016)'!$A$3,"MA_HT","NTD","MA_QH","LUN")</f>
        <v>0</v>
      </c>
      <c r="J50" s="22">
        <f ca="1">+GETPIVOTDATA("XSN4",'suoinghe (2016)'!$A$3,"MA_HT","NTD","MA_QH","HNK")</f>
        <v>0</v>
      </c>
      <c r="K50" s="22">
        <f ca="1">+GETPIVOTDATA("XSN4",'suoinghe (2016)'!$A$3,"MA_HT","NTD","MA_QH","CLN")</f>
        <v>0</v>
      </c>
      <c r="L50" s="22">
        <f ca="1">+GETPIVOTDATA("XSN4",'suoinghe (2016)'!$A$3,"MA_HT","NTD","MA_QH","RSX")</f>
        <v>0</v>
      </c>
      <c r="M50" s="22">
        <f ca="1">+GETPIVOTDATA("XSN4",'suoinghe (2016)'!$A$3,"MA_HT","NTD","MA_QH","RPH")</f>
        <v>0</v>
      </c>
      <c r="N50" s="22">
        <f ca="1">+GETPIVOTDATA("XSN4",'suoinghe (2016)'!$A$3,"MA_HT","NTD","MA_QH","RDD")</f>
        <v>0</v>
      </c>
      <c r="O50" s="22">
        <f ca="1">+GETPIVOTDATA("XSN4",'suoinghe (2016)'!$A$3,"MA_HT","NTD","MA_QH","NTS")</f>
        <v>0</v>
      </c>
      <c r="P50" s="22">
        <f ca="1">+GETPIVOTDATA("XSN4",'suoinghe (2016)'!$A$3,"MA_HT","NTD","MA_QH","LMU")</f>
        <v>0</v>
      </c>
      <c r="Q50" s="22">
        <f ca="1">+GETPIVOTDATA("XSN4",'suoinghe (2016)'!$A$3,"MA_HT","NTD","MA_QH","NKH")</f>
        <v>0</v>
      </c>
      <c r="R50" s="79">
        <f ca="1">SUM(S50:AA50,AN50:AV50,AX50:BD50)</f>
        <v>0</v>
      </c>
      <c r="S50" s="22">
        <f ca="1">+GETPIVOTDATA("XSN4",'suoinghe (2016)'!$A$3,"MA_HT","NTD","MA_QH","CQP")</f>
        <v>0</v>
      </c>
      <c r="T50" s="22">
        <f ca="1">+GETPIVOTDATA("XSN4",'suoinghe (2016)'!$A$3,"MA_HT","NTD","MA_QH","CAN")</f>
        <v>0</v>
      </c>
      <c r="U50" s="22">
        <f ca="1">+GETPIVOTDATA("XSN4",'suoinghe (2016)'!$A$3,"MA_HT","NTD","MA_QH","SKK")</f>
        <v>0</v>
      </c>
      <c r="V50" s="22">
        <f ca="1">+GETPIVOTDATA("XSN4",'suoinghe (2016)'!$A$3,"MA_HT","NTD","MA_QH","SKT")</f>
        <v>0</v>
      </c>
      <c r="W50" s="22">
        <f ca="1">+GETPIVOTDATA("XSN4",'suoinghe (2016)'!$A$3,"MA_HT","NTD","MA_QH","SKN")</f>
        <v>0</v>
      </c>
      <c r="X50" s="22">
        <f ca="1">+GETPIVOTDATA("XSN4",'suoinghe (2016)'!$A$3,"MA_HT","NTD","MA_QH","TMD")</f>
        <v>0</v>
      </c>
      <c r="Y50" s="22">
        <f ca="1">+GETPIVOTDATA("XSN4",'suoinghe (2016)'!$A$3,"MA_HT","NTD","MA_QH","SKC")</f>
        <v>0</v>
      </c>
      <c r="Z50" s="22">
        <f ca="1">+GETPIVOTDATA("XSN4",'suoinghe (2016)'!$A$3,"MA_HT","NTD","MA_QH","SKS")</f>
        <v>0</v>
      </c>
      <c r="AA50" s="52">
        <f ca="1" t="shared" si="21"/>
        <v>0</v>
      </c>
      <c r="AB50" s="22">
        <f ca="1">+GETPIVOTDATA("XSN4",'suoinghe (2016)'!$A$3,"MA_HT","NTD","MA_QH","DGT")</f>
        <v>0</v>
      </c>
      <c r="AC50" s="22">
        <f ca="1">+GETPIVOTDATA("XSN4",'suoinghe (2016)'!$A$3,"MA_HT","NTD","MA_QH","DTL")</f>
        <v>0</v>
      </c>
      <c r="AD50" s="22">
        <f ca="1">+GETPIVOTDATA("XSN4",'suoinghe (2016)'!$A$3,"MA_HT","NTD","MA_QH","DNL")</f>
        <v>0</v>
      </c>
      <c r="AE50" s="22">
        <f ca="1">+GETPIVOTDATA("XSN4",'suoinghe (2016)'!$A$3,"MA_HT","NTD","MA_QH","DBV")</f>
        <v>0</v>
      </c>
      <c r="AF50" s="22">
        <f ca="1">+GETPIVOTDATA("XSN4",'suoinghe (2016)'!$A$3,"MA_HT","NTD","MA_QH","DVH")</f>
        <v>0</v>
      </c>
      <c r="AG50" s="22">
        <f ca="1">+GETPIVOTDATA("XSN4",'suoinghe (2016)'!$A$3,"MA_HT","NTD","MA_QH","DYT")</f>
        <v>0</v>
      </c>
      <c r="AH50" s="22">
        <f ca="1">+GETPIVOTDATA("XSN4",'suoinghe (2016)'!$A$3,"MA_HT","NTD","MA_QH","DGD")</f>
        <v>0</v>
      </c>
      <c r="AI50" s="22">
        <f ca="1">+GETPIVOTDATA("XSN4",'suoinghe (2016)'!$A$3,"MA_HT","NTD","MA_QH","DTT")</f>
        <v>0</v>
      </c>
      <c r="AJ50" s="22">
        <f ca="1">+GETPIVOTDATA("XSN4",'suoinghe (2016)'!$A$3,"MA_HT","NTD","MA_QH","NCK")</f>
        <v>0</v>
      </c>
      <c r="AK50" s="22">
        <f ca="1">+GETPIVOTDATA("XSN4",'suoinghe (2016)'!$A$3,"MA_HT","NTD","MA_QH","DXH")</f>
        <v>0</v>
      </c>
      <c r="AL50" s="22">
        <f ca="1">+GETPIVOTDATA("XSN4",'suoinghe (2016)'!$A$3,"MA_HT","NTD","MA_QH","DCH")</f>
        <v>0</v>
      </c>
      <c r="AM50" s="22">
        <f ca="1">+GETPIVOTDATA("XSN4",'suoinghe (2016)'!$A$3,"MA_HT","NTD","MA_QH","DKG")</f>
        <v>0</v>
      </c>
      <c r="AN50" s="22">
        <f ca="1">+GETPIVOTDATA("XSN4",'suoinghe (2016)'!$A$3,"MA_HT","NTD","MA_QH","DDT")</f>
        <v>0</v>
      </c>
      <c r="AO50" s="22">
        <f ca="1">+GETPIVOTDATA("XSN4",'suoinghe (2016)'!$A$3,"MA_HT","NTD","MA_QH","DDL")</f>
        <v>0</v>
      </c>
      <c r="AP50" s="22">
        <f ca="1">+GETPIVOTDATA("XSN4",'suoinghe (2016)'!$A$3,"MA_HT","NTD","MA_QH","DRA")</f>
        <v>0</v>
      </c>
      <c r="AQ50" s="22">
        <f ca="1">+GETPIVOTDATA("XSN4",'suoinghe (2016)'!$A$3,"MA_HT","NTD","MA_QH","ONT")</f>
        <v>0</v>
      </c>
      <c r="AR50" s="22">
        <f ca="1">+GETPIVOTDATA("XSN4",'suoinghe (2016)'!$A$3,"MA_HT","NTD","MA_QH","ODT")</f>
        <v>0</v>
      </c>
      <c r="AS50" s="22">
        <f ca="1">+GETPIVOTDATA("XSN4",'suoinghe (2016)'!$A$3,"MA_HT","NTD","MA_QH","TSC")</f>
        <v>0</v>
      </c>
      <c r="AT50" s="22">
        <f ca="1">+GETPIVOTDATA("XSN4",'suoinghe (2016)'!$A$3,"MA_HT","NTD","MA_QH","DTS")</f>
        <v>0</v>
      </c>
      <c r="AU50" s="22">
        <f ca="1">+GETPIVOTDATA("XSN4",'suoinghe (2016)'!$A$3,"MA_HT","NTD","MA_QH","DNG")</f>
        <v>0</v>
      </c>
      <c r="AV50" s="22">
        <f ca="1">+GETPIVOTDATA("XSN4",'suoinghe (2016)'!$A$3,"MA_HT","NTD","MA_QH","TON")</f>
        <v>0</v>
      </c>
      <c r="AW50" s="43" t="e">
        <f ca="1">$D50-$BF50</f>
        <v>#REF!</v>
      </c>
      <c r="AX50" s="22">
        <f ca="1">+GETPIVOTDATA("XSN4",'suoinghe (2016)'!$A$3,"MA_HT","NTD","MA_QH","SKX")</f>
        <v>0</v>
      </c>
      <c r="AY50" s="22">
        <f ca="1">+GETPIVOTDATA("XSN4",'suoinghe (2016)'!$A$3,"MA_HT","NTD","MA_QH","DSH")</f>
        <v>0</v>
      </c>
      <c r="AZ50" s="22">
        <f ca="1">+GETPIVOTDATA("XSN4",'suoinghe (2016)'!$A$3,"MA_HT","NTD","MA_QH","DKV")</f>
        <v>0</v>
      </c>
      <c r="BA50" s="89">
        <f ca="1">+GETPIVOTDATA("XSN4",'suoinghe (2016)'!$A$3,"MA_HT","NTD","MA_QH","TIN")</f>
        <v>0</v>
      </c>
      <c r="BB50" s="50">
        <f ca="1">+GETPIVOTDATA("XSN4",'suoinghe (2016)'!$A$3,"MA_HT","NTD","MA_QH","SON")</f>
        <v>0</v>
      </c>
      <c r="BC50" s="50">
        <f ca="1">+GETPIVOTDATA("XSN4",'suoinghe (2016)'!$A$3,"MA_HT","NTD","MA_QH","MNC")</f>
        <v>0</v>
      </c>
      <c r="BD50" s="22">
        <f ca="1">+GETPIVOTDATA("XSN4",'suoinghe (2016)'!$A$3,"MA_HT","NTD","MA_QH","PNK")</f>
        <v>0</v>
      </c>
      <c r="BE50" s="71">
        <f ca="1">+GETPIVOTDATA("XSN4",'suoinghe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+GETPIVOTDATA("XSN4",'suoinghe (2016)'!$A$3,"MA_HT","SKX","MA_QH","LUC")</f>
        <v>0</v>
      </c>
      <c r="H51" s="22">
        <f ca="1">+GETPIVOTDATA("XSN4",'suoinghe (2016)'!$A$3,"MA_HT","SKX","MA_QH","LUK")</f>
        <v>0</v>
      </c>
      <c r="I51" s="22">
        <f ca="1">+GETPIVOTDATA("XSN4",'suoinghe (2016)'!$A$3,"MA_HT","SKX","MA_QH","LUN")</f>
        <v>0</v>
      </c>
      <c r="J51" s="22">
        <f ca="1">+GETPIVOTDATA("XSN4",'suoinghe (2016)'!$A$3,"MA_HT","SKX","MA_QH","HNK")</f>
        <v>0</v>
      </c>
      <c r="K51" s="22">
        <f ca="1">+GETPIVOTDATA("XSN4",'suoinghe (2016)'!$A$3,"MA_HT","SKX","MA_QH","CLN")</f>
        <v>0</v>
      </c>
      <c r="L51" s="22">
        <f ca="1">+GETPIVOTDATA("XSN4",'suoinghe (2016)'!$A$3,"MA_HT","SKX","MA_QH","RSX")</f>
        <v>0</v>
      </c>
      <c r="M51" s="22">
        <f ca="1">+GETPIVOTDATA("XSN4",'suoinghe (2016)'!$A$3,"MA_HT","SKX","MA_QH","RPH")</f>
        <v>0</v>
      </c>
      <c r="N51" s="22">
        <f ca="1">+GETPIVOTDATA("XSN4",'suoinghe (2016)'!$A$3,"MA_HT","SKX","MA_QH","RDD")</f>
        <v>0</v>
      </c>
      <c r="O51" s="22">
        <f ca="1">+GETPIVOTDATA("XSN4",'suoinghe (2016)'!$A$3,"MA_HT","SKX","MA_QH","NTS")</f>
        <v>0</v>
      </c>
      <c r="P51" s="22">
        <f ca="1">+GETPIVOTDATA("XSN4",'suoinghe (2016)'!$A$3,"MA_HT","SKX","MA_QH","LMU")</f>
        <v>0</v>
      </c>
      <c r="Q51" s="22">
        <f ca="1">+GETPIVOTDATA("XSN4",'suoinghe (2016)'!$A$3,"MA_HT","SKX","MA_QH","NKH")</f>
        <v>0</v>
      </c>
      <c r="R51" s="79">
        <f ca="1">SUM(S51:AA51,AN51:AW51,AY51:BD51)</f>
        <v>0</v>
      </c>
      <c r="S51" s="22">
        <f ca="1">+GETPIVOTDATA("XSN4",'suoinghe (2016)'!$A$3,"MA_HT","SKX","MA_QH","CQP")</f>
        <v>0</v>
      </c>
      <c r="T51" s="22">
        <f ca="1">+GETPIVOTDATA("XSN4",'suoinghe (2016)'!$A$3,"MA_HT","SKX","MA_QH","CAN")</f>
        <v>0</v>
      </c>
      <c r="U51" s="22">
        <f ca="1">+GETPIVOTDATA("XSN4",'suoinghe (2016)'!$A$3,"MA_HT","SKX","MA_QH","SKK")</f>
        <v>0</v>
      </c>
      <c r="V51" s="22">
        <f ca="1">+GETPIVOTDATA("XSN4",'suoinghe (2016)'!$A$3,"MA_HT","SKX","MA_QH","SKT")</f>
        <v>0</v>
      </c>
      <c r="W51" s="22">
        <f ca="1">+GETPIVOTDATA("XSN4",'suoinghe (2016)'!$A$3,"MA_HT","SKX","MA_QH","SKN")</f>
        <v>0</v>
      </c>
      <c r="X51" s="22">
        <f ca="1">+GETPIVOTDATA("XSN4",'suoinghe (2016)'!$A$3,"MA_HT","SKX","MA_QH","TMD")</f>
        <v>0</v>
      </c>
      <c r="Y51" s="22">
        <f ca="1">+GETPIVOTDATA("XSN4",'suoinghe (2016)'!$A$3,"MA_HT","SKX","MA_QH","SKC")</f>
        <v>0</v>
      </c>
      <c r="Z51" s="22">
        <f ca="1">+GETPIVOTDATA("XSN4",'suoinghe (2016)'!$A$3,"MA_HT","SKX","MA_QH","SKS")</f>
        <v>0</v>
      </c>
      <c r="AA51" s="52">
        <f ca="1" t="shared" si="21"/>
        <v>0</v>
      </c>
      <c r="AB51" s="22">
        <f ca="1">+GETPIVOTDATA("XSN4",'suoinghe (2016)'!$A$3,"MA_HT","SKX","MA_QH","DGT")</f>
        <v>0</v>
      </c>
      <c r="AC51" s="22">
        <f ca="1">+GETPIVOTDATA("XSN4",'suoinghe (2016)'!$A$3,"MA_HT","SKX","MA_QH","DTL")</f>
        <v>0</v>
      </c>
      <c r="AD51" s="22">
        <f ca="1">+GETPIVOTDATA("XSN4",'suoinghe (2016)'!$A$3,"MA_HT","SKX","MA_QH","DNL")</f>
        <v>0</v>
      </c>
      <c r="AE51" s="22">
        <f ca="1">+GETPIVOTDATA("XSN4",'suoinghe (2016)'!$A$3,"MA_HT","SKX","MA_QH","DBV")</f>
        <v>0</v>
      </c>
      <c r="AF51" s="22">
        <f ca="1">+GETPIVOTDATA("XSN4",'suoinghe (2016)'!$A$3,"MA_HT","SKX","MA_QH","DVH")</f>
        <v>0</v>
      </c>
      <c r="AG51" s="22">
        <f ca="1">+GETPIVOTDATA("XSN4",'suoinghe (2016)'!$A$3,"MA_HT","SKX","MA_QH","DYT")</f>
        <v>0</v>
      </c>
      <c r="AH51" s="22">
        <f ca="1">+GETPIVOTDATA("XSN4",'suoinghe (2016)'!$A$3,"MA_HT","SKX","MA_QH","DGD")</f>
        <v>0</v>
      </c>
      <c r="AI51" s="22">
        <f ca="1">+GETPIVOTDATA("XSN4",'suoinghe (2016)'!$A$3,"MA_HT","SKX","MA_QH","DTT")</f>
        <v>0</v>
      </c>
      <c r="AJ51" s="22">
        <f ca="1">+GETPIVOTDATA("XSN4",'suoinghe (2016)'!$A$3,"MA_HT","SKX","MA_QH","NCK")</f>
        <v>0</v>
      </c>
      <c r="AK51" s="22">
        <f ca="1">+GETPIVOTDATA("XSN4",'suoinghe (2016)'!$A$3,"MA_HT","SKX","MA_QH","DXH")</f>
        <v>0</v>
      </c>
      <c r="AL51" s="22">
        <f ca="1">+GETPIVOTDATA("XSN4",'suoinghe (2016)'!$A$3,"MA_HT","SKX","MA_QH","DCH")</f>
        <v>0</v>
      </c>
      <c r="AM51" s="22">
        <f ca="1">+GETPIVOTDATA("XSN4",'suoinghe (2016)'!$A$3,"MA_HT","SKX","MA_QH","DKG")</f>
        <v>0</v>
      </c>
      <c r="AN51" s="22">
        <f ca="1">+GETPIVOTDATA("XSN4",'suoinghe (2016)'!$A$3,"MA_HT","SKX","MA_QH","DDT")</f>
        <v>0</v>
      </c>
      <c r="AO51" s="22">
        <f ca="1">+GETPIVOTDATA("XSN4",'suoinghe (2016)'!$A$3,"MA_HT","SKX","MA_QH","DDL")</f>
        <v>0</v>
      </c>
      <c r="AP51" s="22">
        <f ca="1">+GETPIVOTDATA("XSN4",'suoinghe (2016)'!$A$3,"MA_HT","SKX","MA_QH","DRA")</f>
        <v>0</v>
      </c>
      <c r="AQ51" s="22">
        <f ca="1">+GETPIVOTDATA("XSN4",'suoinghe (2016)'!$A$3,"MA_HT","SKX","MA_QH","ONT")</f>
        <v>0</v>
      </c>
      <c r="AR51" s="22">
        <f ca="1">+GETPIVOTDATA("XSN4",'suoinghe (2016)'!$A$3,"MA_HT","SKX","MA_QH","ODT")</f>
        <v>0</v>
      </c>
      <c r="AS51" s="22">
        <f ca="1">+GETPIVOTDATA("XSN4",'suoinghe (2016)'!$A$3,"MA_HT","SKX","MA_QH","TSC")</f>
        <v>0</v>
      </c>
      <c r="AT51" s="22">
        <f ca="1">+GETPIVOTDATA("XSN4",'suoinghe (2016)'!$A$3,"MA_HT","SKX","MA_QH","DTS")</f>
        <v>0</v>
      </c>
      <c r="AU51" s="22">
        <f ca="1">+GETPIVOTDATA("XSN4",'suoinghe (2016)'!$A$3,"MA_HT","SKX","MA_QH","DNG")</f>
        <v>0</v>
      </c>
      <c r="AV51" s="22">
        <f ca="1">+GETPIVOTDATA("XSN4",'suoinghe (2016)'!$A$3,"MA_HT","SKX","MA_QH","TON")</f>
        <v>0</v>
      </c>
      <c r="AW51" s="22">
        <f ca="1">+GETPIVOTDATA("XSN4",'suoinghe (2016)'!$A$3,"MA_HT","SKX","MA_QH","NTD")</f>
        <v>0</v>
      </c>
      <c r="AX51" s="43" t="e">
        <f ca="1">$D51-$BF51</f>
        <v>#REF!</v>
      </c>
      <c r="AY51" s="22">
        <f ca="1">+GETPIVOTDATA("XSN4",'suoinghe (2016)'!$A$3,"MA_HT","SKX","MA_QH","DSH")</f>
        <v>0</v>
      </c>
      <c r="AZ51" s="22">
        <f ca="1">+GETPIVOTDATA("XSN4",'suoinghe (2016)'!$A$3,"MA_HT","SKX","MA_QH","DKV")</f>
        <v>0</v>
      </c>
      <c r="BA51" s="89">
        <f ca="1">+GETPIVOTDATA("XSN4",'suoinghe (2016)'!$A$3,"MA_HT","SKX","MA_QH","TIN")</f>
        <v>0</v>
      </c>
      <c r="BB51" s="50">
        <f ca="1">+GETPIVOTDATA("XSN4",'suoinghe (2016)'!$A$3,"MA_HT","SKX","MA_QH","SON")</f>
        <v>0</v>
      </c>
      <c r="BC51" s="50">
        <f ca="1">+GETPIVOTDATA("XSN4",'suoinghe (2016)'!$A$3,"MA_HT","SKX","MA_QH","MNC")</f>
        <v>0</v>
      </c>
      <c r="BD51" s="22">
        <f ca="1">+GETPIVOTDATA("XSN4",'suoinghe (2016)'!$A$3,"MA_HT","SKX","MA_QH","PNK")</f>
        <v>0</v>
      </c>
      <c r="BE51" s="71">
        <f ca="1">+GETPIVOTDATA("XSN4",'suoinghe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+GETPIVOTDATA("XSN4",'suoinghe (2016)'!$A$3,"MA_HT","DSH","MA_QH","LUC")</f>
        <v>0</v>
      </c>
      <c r="H52" s="22">
        <f ca="1">+GETPIVOTDATA("XSN4",'suoinghe (2016)'!$A$3,"MA_HT","DSH","MA_QH","LUK")</f>
        <v>0</v>
      </c>
      <c r="I52" s="22">
        <f ca="1">+GETPIVOTDATA("XSN4",'suoinghe (2016)'!$A$3,"MA_HT","DSH","MA_QH","LUN")</f>
        <v>0</v>
      </c>
      <c r="J52" s="22">
        <f ca="1">+GETPIVOTDATA("XSN4",'suoinghe (2016)'!$A$3,"MA_HT","DSH","MA_QH","HNK")</f>
        <v>0</v>
      </c>
      <c r="K52" s="22">
        <f ca="1">+GETPIVOTDATA("XSN4",'suoinghe (2016)'!$A$3,"MA_HT","DSH","MA_QH","CLN")</f>
        <v>0</v>
      </c>
      <c r="L52" s="22">
        <f ca="1">+GETPIVOTDATA("XSN4",'suoinghe (2016)'!$A$3,"MA_HT","DSH","MA_QH","RSX")</f>
        <v>0</v>
      </c>
      <c r="M52" s="22">
        <f ca="1">+GETPIVOTDATA("XSN4",'suoinghe (2016)'!$A$3,"MA_HT","DSH","MA_QH","RPH")</f>
        <v>0</v>
      </c>
      <c r="N52" s="22">
        <f ca="1">+GETPIVOTDATA("XSN4",'suoinghe (2016)'!$A$3,"MA_HT","DSH","MA_QH","RDD")</f>
        <v>0</v>
      </c>
      <c r="O52" s="22">
        <f ca="1">+GETPIVOTDATA("XSN4",'suoinghe (2016)'!$A$3,"MA_HT","DSH","MA_QH","NTS")</f>
        <v>0</v>
      </c>
      <c r="P52" s="22">
        <f ca="1">+GETPIVOTDATA("XSN4",'suoinghe (2016)'!$A$3,"MA_HT","DSH","MA_QH","LMU")</f>
        <v>0</v>
      </c>
      <c r="Q52" s="22">
        <f ca="1">+GETPIVOTDATA("XSN4",'suoinghe (2016)'!$A$3,"MA_HT","DSH","MA_QH","NKH")</f>
        <v>0</v>
      </c>
      <c r="R52" s="79">
        <f ca="1">SUM(S52:AA52,AN52:AX52,AZ52:BD52)</f>
        <v>0</v>
      </c>
      <c r="S52" s="22">
        <f ca="1">+GETPIVOTDATA("XSN4",'suoinghe (2016)'!$A$3,"MA_HT","DSH","MA_QH","CQP")</f>
        <v>0</v>
      </c>
      <c r="T52" s="22">
        <f ca="1">+GETPIVOTDATA("XSN4",'suoinghe (2016)'!$A$3,"MA_HT","DSH","MA_QH","CAN")</f>
        <v>0</v>
      </c>
      <c r="U52" s="22">
        <f ca="1">+GETPIVOTDATA("XSN4",'suoinghe (2016)'!$A$3,"MA_HT","DSH","MA_QH","SKK")</f>
        <v>0</v>
      </c>
      <c r="V52" s="22">
        <f ca="1">+GETPIVOTDATA("XSN4",'suoinghe (2016)'!$A$3,"MA_HT","DSH","MA_QH","SKT")</f>
        <v>0</v>
      </c>
      <c r="W52" s="22">
        <f ca="1">+GETPIVOTDATA("XSN4",'suoinghe (2016)'!$A$3,"MA_HT","DSH","MA_QH","SKN")</f>
        <v>0</v>
      </c>
      <c r="X52" s="22">
        <f ca="1">+GETPIVOTDATA("XSN4",'suoinghe (2016)'!$A$3,"MA_HT","DSH","MA_QH","TMD")</f>
        <v>0</v>
      </c>
      <c r="Y52" s="22">
        <f ca="1">+GETPIVOTDATA("XSN4",'suoinghe (2016)'!$A$3,"MA_HT","DSH","MA_QH","SKC")</f>
        <v>0</v>
      </c>
      <c r="Z52" s="22">
        <f ca="1">+GETPIVOTDATA("XSN4",'suoinghe (2016)'!$A$3,"MA_HT","DSH","MA_QH","SKS")</f>
        <v>0</v>
      </c>
      <c r="AA52" s="52">
        <f ca="1" t="shared" si="21"/>
        <v>0</v>
      </c>
      <c r="AB52" s="22">
        <f ca="1">+GETPIVOTDATA("XSN4",'suoinghe (2016)'!$A$3,"MA_HT","DSH","MA_QH","DGT")</f>
        <v>0</v>
      </c>
      <c r="AC52" s="22">
        <f ca="1">+GETPIVOTDATA("XSN4",'suoinghe (2016)'!$A$3,"MA_HT","DSH","MA_QH","DTL")</f>
        <v>0</v>
      </c>
      <c r="AD52" s="22">
        <f ca="1">+GETPIVOTDATA("XSN4",'suoinghe (2016)'!$A$3,"MA_HT","DSH","MA_QH","DNL")</f>
        <v>0</v>
      </c>
      <c r="AE52" s="22">
        <f ca="1">+GETPIVOTDATA("XSN4",'suoinghe (2016)'!$A$3,"MA_HT","DSH","MA_QH","DBV")</f>
        <v>0</v>
      </c>
      <c r="AF52" s="22">
        <f ca="1">+GETPIVOTDATA("XSN4",'suoinghe (2016)'!$A$3,"MA_HT","DSH","MA_QH","DVH")</f>
        <v>0</v>
      </c>
      <c r="AG52" s="22">
        <f ca="1">+GETPIVOTDATA("XSN4",'suoinghe (2016)'!$A$3,"MA_HT","DSH","MA_QH","DYT")</f>
        <v>0</v>
      </c>
      <c r="AH52" s="22">
        <f ca="1">+GETPIVOTDATA("XSN4",'suoinghe (2016)'!$A$3,"MA_HT","DSH","MA_QH","DGD")</f>
        <v>0</v>
      </c>
      <c r="AI52" s="22">
        <f ca="1">+GETPIVOTDATA("XSN4",'suoinghe (2016)'!$A$3,"MA_HT","DSH","MA_QH","DTT")</f>
        <v>0</v>
      </c>
      <c r="AJ52" s="22">
        <f ca="1">+GETPIVOTDATA("XSN4",'suoinghe (2016)'!$A$3,"MA_HT","DSH","MA_QH","NCK")</f>
        <v>0</v>
      </c>
      <c r="AK52" s="22">
        <f ca="1">+GETPIVOTDATA("XSN4",'suoinghe (2016)'!$A$3,"MA_HT","DSH","MA_QH","DXH")</f>
        <v>0</v>
      </c>
      <c r="AL52" s="22">
        <f ca="1">+GETPIVOTDATA("XSN4",'suoinghe (2016)'!$A$3,"MA_HT","DSH","MA_QH","DCH")</f>
        <v>0</v>
      </c>
      <c r="AM52" s="22">
        <f ca="1">+GETPIVOTDATA("XSN4",'suoinghe (2016)'!$A$3,"MA_HT","DSH","MA_QH","DKG")</f>
        <v>0</v>
      </c>
      <c r="AN52" s="22">
        <f ca="1">+GETPIVOTDATA("XSN4",'suoinghe (2016)'!$A$3,"MA_HT","DSH","MA_QH","DDT")</f>
        <v>0</v>
      </c>
      <c r="AO52" s="22">
        <f ca="1">+GETPIVOTDATA("XSN4",'suoinghe (2016)'!$A$3,"MA_HT","DSH","MA_QH","DDL")</f>
        <v>0</v>
      </c>
      <c r="AP52" s="22">
        <f ca="1">+GETPIVOTDATA("XSN4",'suoinghe (2016)'!$A$3,"MA_HT","DSH","MA_QH","DRA")</f>
        <v>0</v>
      </c>
      <c r="AQ52" s="22">
        <f ca="1">+GETPIVOTDATA("XSN4",'suoinghe (2016)'!$A$3,"MA_HT","DSH","MA_QH","ONT")</f>
        <v>0</v>
      </c>
      <c r="AR52" s="22">
        <f ca="1">+GETPIVOTDATA("XSN4",'suoinghe (2016)'!$A$3,"MA_HT","DSH","MA_QH","ODT")</f>
        <v>0</v>
      </c>
      <c r="AS52" s="22">
        <f ca="1">+GETPIVOTDATA("XSN4",'suoinghe (2016)'!$A$3,"MA_HT","DSH","MA_QH","TSC")</f>
        <v>0</v>
      </c>
      <c r="AT52" s="22">
        <f ca="1">+GETPIVOTDATA("XSN4",'suoinghe (2016)'!$A$3,"MA_HT","DSH","MA_QH","DTS")</f>
        <v>0</v>
      </c>
      <c r="AU52" s="22">
        <f ca="1">+GETPIVOTDATA("XSN4",'suoinghe (2016)'!$A$3,"MA_HT","DSH","MA_QH","DNG")</f>
        <v>0</v>
      </c>
      <c r="AV52" s="22">
        <f ca="1">+GETPIVOTDATA("XSN4",'suoinghe (2016)'!$A$3,"MA_HT","DSH","MA_QH","TON")</f>
        <v>0</v>
      </c>
      <c r="AW52" s="22">
        <f ca="1">+GETPIVOTDATA("XSN4",'suoinghe (2016)'!$A$3,"MA_HT","DSH","MA_QH","NTD")</f>
        <v>0</v>
      </c>
      <c r="AX52" s="22">
        <f ca="1">+GETPIVOTDATA("XSN4",'suoinghe (2016)'!$A$3,"MA_HT","DSH","MA_QH","SKX")</f>
        <v>0</v>
      </c>
      <c r="AY52" s="43" t="e">
        <f ca="1">$D52-$BF52</f>
        <v>#REF!</v>
      </c>
      <c r="AZ52" s="22">
        <f ca="1">+GETPIVOTDATA("XSN4",'suoinghe (2016)'!$A$3,"MA_HT","DSH","MA_QH","DKV")</f>
        <v>0</v>
      </c>
      <c r="BA52" s="89">
        <f ca="1">+GETPIVOTDATA("XSN4",'suoinghe (2016)'!$A$3,"MA_HT","DSH","MA_QH","TIN")</f>
        <v>0</v>
      </c>
      <c r="BB52" s="50">
        <f ca="1">+GETPIVOTDATA("XSN4",'suoinghe (2016)'!$A$3,"MA_HT","DSH","MA_QH","SON")</f>
        <v>0</v>
      </c>
      <c r="BC52" s="50">
        <f ca="1">+GETPIVOTDATA("XSN4",'suoinghe (2016)'!$A$3,"MA_HT","DSH","MA_QH","MNC")</f>
        <v>0</v>
      </c>
      <c r="BD52" s="22">
        <f ca="1">+GETPIVOTDATA("XSN4",'suoinghe (2016)'!$A$3,"MA_HT","DSH","MA_QH","PNK")</f>
        <v>0</v>
      </c>
      <c r="BE52" s="71">
        <f ca="1">+GETPIVOTDATA("XSN4",'suoinghe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+GETPIVOTDATA("XSN4",'suoinghe (2016)'!$A$3,"MA_HT","DKV","MA_QH","LUC")</f>
        <v>0</v>
      </c>
      <c r="H53" s="22">
        <f ca="1">+GETPIVOTDATA("XSN4",'suoinghe (2016)'!$A$3,"MA_HT","DKV","MA_QH","LUK")</f>
        <v>0</v>
      </c>
      <c r="I53" s="22">
        <f ca="1">+GETPIVOTDATA("XSN4",'suoinghe (2016)'!$A$3,"MA_HT","DKV","MA_QH","LUN")</f>
        <v>0</v>
      </c>
      <c r="J53" s="22">
        <f ca="1">+GETPIVOTDATA("XSN4",'suoinghe (2016)'!$A$3,"MA_HT","DKV","MA_QH","HNK")</f>
        <v>0</v>
      </c>
      <c r="K53" s="22">
        <f ca="1">+GETPIVOTDATA("XSN4",'suoinghe (2016)'!$A$3,"MA_HT","DKV","MA_QH","CLN")</f>
        <v>0</v>
      </c>
      <c r="L53" s="22">
        <f ca="1">+GETPIVOTDATA("XSN4",'suoinghe (2016)'!$A$3,"MA_HT","DKV","MA_QH","RSX")</f>
        <v>0</v>
      </c>
      <c r="M53" s="22">
        <f ca="1">+GETPIVOTDATA("XSN4",'suoinghe (2016)'!$A$3,"MA_HT","DKV","MA_QH","RPH")</f>
        <v>0</v>
      </c>
      <c r="N53" s="22">
        <f ca="1">+GETPIVOTDATA("XSN4",'suoinghe (2016)'!$A$3,"MA_HT","DKV","MA_QH","RDD")</f>
        <v>0</v>
      </c>
      <c r="O53" s="22">
        <f ca="1">+GETPIVOTDATA("XSN4",'suoinghe (2016)'!$A$3,"MA_HT","DKV","MA_QH","NTS")</f>
        <v>0</v>
      </c>
      <c r="P53" s="22">
        <f ca="1">+GETPIVOTDATA("XSN4",'suoinghe (2016)'!$A$3,"MA_HT","DKV","MA_QH","LMU")</f>
        <v>0</v>
      </c>
      <c r="Q53" s="22">
        <f ca="1">+GETPIVOTDATA("XSN4",'suoinghe (2016)'!$A$3,"MA_HT","DKV","MA_QH","NKH")</f>
        <v>0</v>
      </c>
      <c r="R53" s="79">
        <f ca="1">SUM(S53:AA53,AN53:AY53,BB53:BD53)</f>
        <v>0</v>
      </c>
      <c r="S53" s="22">
        <f ca="1">+GETPIVOTDATA("XSN4",'suoinghe (2016)'!$A$3,"MA_HT","DKV","MA_QH","CQP")</f>
        <v>0</v>
      </c>
      <c r="T53" s="22">
        <f ca="1">+GETPIVOTDATA("XSN4",'suoinghe (2016)'!$A$3,"MA_HT","DKV","MA_QH","CAN")</f>
        <v>0</v>
      </c>
      <c r="U53" s="22">
        <f ca="1">+GETPIVOTDATA("XSN4",'suoinghe (2016)'!$A$3,"MA_HT","DKV","MA_QH","SKK")</f>
        <v>0</v>
      </c>
      <c r="V53" s="22">
        <f ca="1">+GETPIVOTDATA("XSN4",'suoinghe (2016)'!$A$3,"MA_HT","DKV","MA_QH","SKT")</f>
        <v>0</v>
      </c>
      <c r="W53" s="22">
        <f ca="1">+GETPIVOTDATA("XSN4",'suoinghe (2016)'!$A$3,"MA_HT","DKV","MA_QH","SKN")</f>
        <v>0</v>
      </c>
      <c r="X53" s="22">
        <f ca="1">+GETPIVOTDATA("XSN4",'suoinghe (2016)'!$A$3,"MA_HT","DKV","MA_QH","TMD")</f>
        <v>0</v>
      </c>
      <c r="Y53" s="22">
        <f ca="1">+GETPIVOTDATA("XSN4",'suoinghe (2016)'!$A$3,"MA_HT","DKV","MA_QH","SKC")</f>
        <v>0</v>
      </c>
      <c r="Z53" s="22">
        <f ca="1">+GETPIVOTDATA("XSN4",'suoinghe (2016)'!$A$3,"MA_HT","DKV","MA_QH","SKS")</f>
        <v>0</v>
      </c>
      <c r="AA53" s="52">
        <f ca="1" t="shared" si="21"/>
        <v>0</v>
      </c>
      <c r="AB53" s="22">
        <f ca="1">+GETPIVOTDATA("XSN4",'suoinghe (2016)'!$A$3,"MA_HT","DKV","MA_QH","DGT")</f>
        <v>0</v>
      </c>
      <c r="AC53" s="22">
        <f ca="1">+GETPIVOTDATA("XSN4",'suoinghe (2016)'!$A$3,"MA_HT","DKV","MA_QH","DTL")</f>
        <v>0</v>
      </c>
      <c r="AD53" s="22">
        <f ca="1">+GETPIVOTDATA("XSN4",'suoinghe (2016)'!$A$3,"MA_HT","DKV","MA_QH","DNL")</f>
        <v>0</v>
      </c>
      <c r="AE53" s="22">
        <f ca="1">+GETPIVOTDATA("XSN4",'suoinghe (2016)'!$A$3,"MA_HT","DKV","MA_QH","DBV")</f>
        <v>0</v>
      </c>
      <c r="AF53" s="22">
        <f ca="1">+GETPIVOTDATA("XSN4",'suoinghe (2016)'!$A$3,"MA_HT","DKV","MA_QH","DVH")</f>
        <v>0</v>
      </c>
      <c r="AG53" s="22">
        <f ca="1">+GETPIVOTDATA("XSN4",'suoinghe (2016)'!$A$3,"MA_HT","DKV","MA_QH","DYT")</f>
        <v>0</v>
      </c>
      <c r="AH53" s="22">
        <f ca="1">+GETPIVOTDATA("XSN4",'suoinghe (2016)'!$A$3,"MA_HT","DKV","MA_QH","DGD")</f>
        <v>0</v>
      </c>
      <c r="AI53" s="22">
        <f ca="1">+GETPIVOTDATA("XSN4",'suoinghe (2016)'!$A$3,"MA_HT","DKV","MA_QH","DTT")</f>
        <v>0</v>
      </c>
      <c r="AJ53" s="22">
        <f ca="1">+GETPIVOTDATA("XSN4",'suoinghe (2016)'!$A$3,"MA_HT","DKV","MA_QH","NCK")</f>
        <v>0</v>
      </c>
      <c r="AK53" s="22">
        <f ca="1">+GETPIVOTDATA("XSN4",'suoinghe (2016)'!$A$3,"MA_HT","DKV","MA_QH","DXH")</f>
        <v>0</v>
      </c>
      <c r="AL53" s="22">
        <f ca="1">+GETPIVOTDATA("XSN4",'suoinghe (2016)'!$A$3,"MA_HT","DKV","MA_QH","DCH")</f>
        <v>0</v>
      </c>
      <c r="AM53" s="22">
        <f ca="1">+GETPIVOTDATA("XSN4",'suoinghe (2016)'!$A$3,"MA_HT","DKV","MA_QH","DKG")</f>
        <v>0</v>
      </c>
      <c r="AN53" s="22">
        <f ca="1">+GETPIVOTDATA("XSN4",'suoinghe (2016)'!$A$3,"MA_HT","DKV","MA_QH","DDT")</f>
        <v>0</v>
      </c>
      <c r="AO53" s="22">
        <f ca="1">+GETPIVOTDATA("XSN4",'suoinghe (2016)'!$A$3,"MA_HT","DKV","MA_QH","DDL")</f>
        <v>0</v>
      </c>
      <c r="AP53" s="22">
        <f ca="1">+GETPIVOTDATA("XSN4",'suoinghe (2016)'!$A$3,"MA_HT","DKV","MA_QH","DRA")</f>
        <v>0</v>
      </c>
      <c r="AQ53" s="22">
        <f ca="1">+GETPIVOTDATA("XSN4",'suoinghe (2016)'!$A$3,"MA_HT","DKV","MA_QH","ONT")</f>
        <v>0</v>
      </c>
      <c r="AR53" s="22">
        <f ca="1">+GETPIVOTDATA("XSN4",'suoinghe (2016)'!$A$3,"MA_HT","DKV","MA_QH","ODT")</f>
        <v>0</v>
      </c>
      <c r="AS53" s="22">
        <f ca="1">+GETPIVOTDATA("XSN4",'suoinghe (2016)'!$A$3,"MA_HT","DKV","MA_QH","TSC")</f>
        <v>0</v>
      </c>
      <c r="AT53" s="22">
        <f ca="1">+GETPIVOTDATA("XSN4",'suoinghe (2016)'!$A$3,"MA_HT","DKV","MA_QH","DTS")</f>
        <v>0</v>
      </c>
      <c r="AU53" s="22">
        <f ca="1">+GETPIVOTDATA("XSN4",'suoinghe (2016)'!$A$3,"MA_HT","DKV","MA_QH","DNG")</f>
        <v>0</v>
      </c>
      <c r="AV53" s="22">
        <f ca="1">+GETPIVOTDATA("XSN4",'suoinghe (2016)'!$A$3,"MA_HT","DKV","MA_QH","TON")</f>
        <v>0</v>
      </c>
      <c r="AW53" s="22">
        <f ca="1">+GETPIVOTDATA("XSN4",'suoinghe (2016)'!$A$3,"MA_HT","DKV","MA_QH","NTD")</f>
        <v>0</v>
      </c>
      <c r="AX53" s="22">
        <f ca="1">+GETPIVOTDATA("XSN4",'suoinghe (2016)'!$A$3,"MA_HT","DKV","MA_QH","SKX")</f>
        <v>0</v>
      </c>
      <c r="AY53" s="22">
        <f ca="1">+GETPIVOTDATA("XSN4",'suoinghe (2016)'!$A$3,"MA_HT","DKV","MA_QH","DSH")</f>
        <v>0</v>
      </c>
      <c r="AZ53" s="43" t="e">
        <f ca="1">$D53-$BF53</f>
        <v>#REF!</v>
      </c>
      <c r="BA53" s="89">
        <f ca="1">+GETPIVOTDATA("XSN4",'suoinghe (2016)'!$A$3,"MA_HT","DKV","MA_QH","TIN")</f>
        <v>0</v>
      </c>
      <c r="BB53" s="50">
        <f ca="1">+GETPIVOTDATA("XSN4",'suoinghe (2016)'!$A$3,"MA_HT","DKV","MA_QH","SON")</f>
        <v>0</v>
      </c>
      <c r="BC53" s="50">
        <f ca="1">+GETPIVOTDATA("XSN4",'suoinghe (2016)'!$A$3,"MA_HT","DKV","MA_QH","MNC")</f>
        <v>0</v>
      </c>
      <c r="BD53" s="22">
        <f ca="1">+GETPIVOTDATA("XSN4",'suoinghe (2016)'!$A$3,"MA_HT","DKV","MA_QH","PNK")</f>
        <v>0</v>
      </c>
      <c r="BE53" s="71">
        <f ca="1">+GETPIVOTDATA("XSN4",'suoinghe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+GETPIVOTDATA("XSN4",'suoinghe (2016)'!$A$3,"MA_HT","TIN","MA_QH","LUC")</f>
        <v>0</v>
      </c>
      <c r="H54" s="22">
        <f ca="1">+GETPIVOTDATA("XSN4",'suoinghe (2016)'!$A$3,"MA_HT","TIN","MA_QH","LUK")</f>
        <v>0</v>
      </c>
      <c r="I54" s="22">
        <f ca="1">+GETPIVOTDATA("XSN4",'suoinghe (2016)'!$A$3,"MA_HT","TIN","MA_QH","LUN")</f>
        <v>0</v>
      </c>
      <c r="J54" s="22">
        <f ca="1">+GETPIVOTDATA("XSN4",'suoinghe (2016)'!$A$3,"MA_HT","TIN","MA_QH","HNK")</f>
        <v>0</v>
      </c>
      <c r="K54" s="22">
        <f ca="1">+GETPIVOTDATA("XSN4",'suoinghe (2016)'!$A$3,"MA_HT","TIN","MA_QH","CLN")</f>
        <v>0</v>
      </c>
      <c r="L54" s="22">
        <f ca="1">+GETPIVOTDATA("XSN4",'suoinghe (2016)'!$A$3,"MA_HT","TIN","MA_QH","RSX")</f>
        <v>0</v>
      </c>
      <c r="M54" s="22">
        <f ca="1">+GETPIVOTDATA("XSN4",'suoinghe (2016)'!$A$3,"MA_HT","TIN","MA_QH","RPH")</f>
        <v>0</v>
      </c>
      <c r="N54" s="22">
        <f ca="1">+GETPIVOTDATA("XSN4",'suoinghe (2016)'!$A$3,"MA_HT","TIN","MA_QH","RDD")</f>
        <v>0</v>
      </c>
      <c r="O54" s="22">
        <f ca="1">+GETPIVOTDATA("XSN4",'suoinghe (2016)'!$A$3,"MA_HT","TIN","MA_QH","NTS")</f>
        <v>0</v>
      </c>
      <c r="P54" s="22">
        <f ca="1">+GETPIVOTDATA("XSN4",'suoinghe (2016)'!$A$3,"MA_HT","TIN","MA_QH","LMU")</f>
        <v>0</v>
      </c>
      <c r="Q54" s="22">
        <f ca="1">+GETPIVOTDATA("XSN4",'suoinghe (2016)'!$A$3,"MA_HT","TIN","MA_QH","NKH")</f>
        <v>0</v>
      </c>
      <c r="R54" s="79">
        <f ca="1">SUM(S54:AA54,AN54:AZ54,BB54:BD54)</f>
        <v>0</v>
      </c>
      <c r="S54" s="22">
        <f ca="1">+GETPIVOTDATA("XSN4",'suoinghe (2016)'!$A$3,"MA_HT","TIN","MA_QH","CQP")</f>
        <v>0</v>
      </c>
      <c r="T54" s="22">
        <f ca="1">+GETPIVOTDATA("XSN4",'suoinghe (2016)'!$A$3,"MA_HT","TIN","MA_QH","CAN")</f>
        <v>0</v>
      </c>
      <c r="U54" s="22">
        <f ca="1">+GETPIVOTDATA("XSN4",'suoinghe (2016)'!$A$3,"MA_HT","TIN","MA_QH","SKK")</f>
        <v>0</v>
      </c>
      <c r="V54" s="22">
        <f ca="1">+GETPIVOTDATA("XSN4",'suoinghe (2016)'!$A$3,"MA_HT","TIN","MA_QH","SKT")</f>
        <v>0</v>
      </c>
      <c r="W54" s="22">
        <f ca="1">+GETPIVOTDATA("XSN4",'suoinghe (2016)'!$A$3,"MA_HT","TIN","MA_QH","SKN")</f>
        <v>0</v>
      </c>
      <c r="X54" s="22">
        <f ca="1">+GETPIVOTDATA("XSN4",'suoinghe (2016)'!$A$3,"MA_HT","TIN","MA_QH","TMD")</f>
        <v>0</v>
      </c>
      <c r="Y54" s="22">
        <f ca="1">+GETPIVOTDATA("XSN4",'suoinghe (2016)'!$A$3,"MA_HT","TIN","MA_QH","SKC")</f>
        <v>0</v>
      </c>
      <c r="Z54" s="22">
        <f ca="1">+GETPIVOTDATA("XSN4",'suoinghe (2016)'!$A$3,"MA_HT","TIN","MA_QH","SKS")</f>
        <v>0</v>
      </c>
      <c r="AA54" s="52">
        <f ca="1" t="shared" si="21"/>
        <v>0</v>
      </c>
      <c r="AB54" s="22">
        <f ca="1">+GETPIVOTDATA("XSN4",'suoinghe (2016)'!$A$3,"MA_HT","TIN","MA_QH","DGT")</f>
        <v>0</v>
      </c>
      <c r="AC54" s="22">
        <f ca="1">+GETPIVOTDATA("XSN4",'suoinghe (2016)'!$A$3,"MA_HT","TIN","MA_QH","DTL")</f>
        <v>0</v>
      </c>
      <c r="AD54" s="22">
        <f ca="1">+GETPIVOTDATA("XSN4",'suoinghe (2016)'!$A$3,"MA_HT","TIN","MA_QH","DNL")</f>
        <v>0</v>
      </c>
      <c r="AE54" s="22">
        <f ca="1">+GETPIVOTDATA("XSN4",'suoinghe (2016)'!$A$3,"MA_HT","TIN","MA_QH","DBV")</f>
        <v>0</v>
      </c>
      <c r="AF54" s="22">
        <f ca="1">+GETPIVOTDATA("XSN4",'suoinghe (2016)'!$A$3,"MA_HT","TIN","MA_QH","DVH")</f>
        <v>0</v>
      </c>
      <c r="AG54" s="22">
        <f ca="1">+GETPIVOTDATA("XSN4",'suoinghe (2016)'!$A$3,"MA_HT","TIN","MA_QH","DYT")</f>
        <v>0</v>
      </c>
      <c r="AH54" s="22">
        <f ca="1">+GETPIVOTDATA("XSN4",'suoinghe (2016)'!$A$3,"MA_HT","TIN","MA_QH","DGD")</f>
        <v>0</v>
      </c>
      <c r="AI54" s="22">
        <f ca="1">+GETPIVOTDATA("XSN4",'suoinghe (2016)'!$A$3,"MA_HT","TIN","MA_QH","DTT")</f>
        <v>0</v>
      </c>
      <c r="AJ54" s="22">
        <f ca="1">+GETPIVOTDATA("XSN4",'suoinghe (2016)'!$A$3,"MA_HT","TIN","MA_QH","NCK")</f>
        <v>0</v>
      </c>
      <c r="AK54" s="22">
        <f ca="1">+GETPIVOTDATA("XSN4",'suoinghe (2016)'!$A$3,"MA_HT","TIN","MA_QH","DXH")</f>
        <v>0</v>
      </c>
      <c r="AL54" s="22">
        <f ca="1">+GETPIVOTDATA("XSN4",'suoinghe (2016)'!$A$3,"MA_HT","TIN","MA_QH","DCH")</f>
        <v>0</v>
      </c>
      <c r="AM54" s="22">
        <f ca="1">+GETPIVOTDATA("XSN4",'suoinghe (2016)'!$A$3,"MA_HT","TIN","MA_QH","DKG")</f>
        <v>0</v>
      </c>
      <c r="AN54" s="22">
        <f ca="1">+GETPIVOTDATA("XSN4",'suoinghe (2016)'!$A$3,"MA_HT","TIN","MA_QH","DDT")</f>
        <v>0</v>
      </c>
      <c r="AO54" s="22">
        <f ca="1">+GETPIVOTDATA("XSN4",'suoinghe (2016)'!$A$3,"MA_HT","TIN","MA_QH","DDL")</f>
        <v>0</v>
      </c>
      <c r="AP54" s="22">
        <f ca="1">+GETPIVOTDATA("XSN4",'suoinghe (2016)'!$A$3,"MA_HT","TIN","MA_QH","DRA")</f>
        <v>0</v>
      </c>
      <c r="AQ54" s="22">
        <f ca="1">+GETPIVOTDATA("XSN4",'suoinghe (2016)'!$A$3,"MA_HT","TIN","MA_QH","ONT")</f>
        <v>0</v>
      </c>
      <c r="AR54" s="22">
        <f ca="1">+GETPIVOTDATA("XSN4",'suoinghe (2016)'!$A$3,"MA_HT","TIN","MA_QH","ODT")</f>
        <v>0</v>
      </c>
      <c r="AS54" s="22">
        <f ca="1">+GETPIVOTDATA("XSN4",'suoinghe (2016)'!$A$3,"MA_HT","TIN","MA_QH","TSC")</f>
        <v>0</v>
      </c>
      <c r="AT54" s="22">
        <f ca="1">+GETPIVOTDATA("XSN4",'suoinghe (2016)'!$A$3,"MA_HT","TIN","MA_QH","DTS")</f>
        <v>0</v>
      </c>
      <c r="AU54" s="22">
        <f ca="1">+GETPIVOTDATA("XSN4",'suoinghe (2016)'!$A$3,"MA_HT","TIN","MA_QH","DNG")</f>
        <v>0</v>
      </c>
      <c r="AV54" s="22">
        <f ca="1">+GETPIVOTDATA("XSN4",'suoinghe (2016)'!$A$3,"MA_HT","TIN","MA_QH","TON")</f>
        <v>0</v>
      </c>
      <c r="AW54" s="22">
        <f ca="1">+GETPIVOTDATA("XSN4",'suoinghe (2016)'!$A$3,"MA_HT","TIN","MA_QH","NTD")</f>
        <v>0</v>
      </c>
      <c r="AX54" s="22">
        <f ca="1">+GETPIVOTDATA("XSN4",'suoinghe (2016)'!$A$3,"MA_HT","TIN","MA_QH","SKX")</f>
        <v>0</v>
      </c>
      <c r="AY54" s="22">
        <f ca="1">+GETPIVOTDATA("XSN4",'suoinghe (2016)'!$A$3,"MA_HT","TIN","MA_QH","DSH")</f>
        <v>0</v>
      </c>
      <c r="AZ54" s="22">
        <f ca="1">+GETPIVOTDATA("XSN4",'suoinghe (2016)'!$A$3,"MA_HT","TIN","MA_QH","DKV")</f>
        <v>0</v>
      </c>
      <c r="BA54" s="43" t="e">
        <f ca="1">$D54-$BF54</f>
        <v>#REF!</v>
      </c>
      <c r="BB54" s="22">
        <f ca="1">+GETPIVOTDATA("XSN4",'suoinghe (2016)'!$A$3,"MA_HT","TIN","MA_QH","SON")</f>
        <v>0</v>
      </c>
      <c r="BC54" s="22">
        <f ca="1">+GETPIVOTDATA("XSN4",'suoinghe (2016)'!$A$3,"MA_HT","TIN","MA_QH","MNC")</f>
        <v>0</v>
      </c>
      <c r="BD54" s="22">
        <f ca="1">+GETPIVOTDATA("XSN4",'suoinghe (2016)'!$A$3,"MA_HT","TIN","MA_QH","PNK")</f>
        <v>0</v>
      </c>
      <c r="BE54" s="71">
        <f ca="1">+GETPIVOTDATA("XSN4",'suoinghe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+GETPIVOTDATA("XSN4",'suoinghe (2016)'!$A$3,"MA_HT","SON","MA_QH","LUC")</f>
        <v>0</v>
      </c>
      <c r="H55" s="22">
        <f ca="1">+GETPIVOTDATA("XSN4",'suoinghe (2016)'!$A$3,"MA_HT","SON","MA_QH","LUK")</f>
        <v>0</v>
      </c>
      <c r="I55" s="22">
        <f ca="1">+GETPIVOTDATA("XSN4",'suoinghe (2016)'!$A$3,"MA_HT","SON","MA_QH","LUN")</f>
        <v>0</v>
      </c>
      <c r="J55" s="22">
        <f ca="1">+GETPIVOTDATA("XSN4",'suoinghe (2016)'!$A$3,"MA_HT","SON","MA_QH","HNK")</f>
        <v>0</v>
      </c>
      <c r="K55" s="22">
        <f ca="1">+GETPIVOTDATA("XSN4",'suoinghe (2016)'!$A$3,"MA_HT","SON","MA_QH","CLN")</f>
        <v>0</v>
      </c>
      <c r="L55" s="22">
        <f ca="1">+GETPIVOTDATA("XSN4",'suoinghe (2016)'!$A$3,"MA_HT","SON","MA_QH","RSX")</f>
        <v>0</v>
      </c>
      <c r="M55" s="22">
        <f ca="1">+GETPIVOTDATA("XSN4",'suoinghe (2016)'!$A$3,"MA_HT","SON","MA_QH","RPH")</f>
        <v>0</v>
      </c>
      <c r="N55" s="22">
        <f ca="1">+GETPIVOTDATA("XSN4",'suoinghe (2016)'!$A$3,"MA_HT","SON","MA_QH","RDD")</f>
        <v>0</v>
      </c>
      <c r="O55" s="22">
        <f ca="1">+GETPIVOTDATA("XSN4",'suoinghe (2016)'!$A$3,"MA_HT","SON","MA_QH","NTS")</f>
        <v>0</v>
      </c>
      <c r="P55" s="22">
        <f ca="1">+GETPIVOTDATA("XSN4",'suoinghe (2016)'!$A$3,"MA_HT","SON","MA_QH","LMU")</f>
        <v>0</v>
      </c>
      <c r="Q55" s="22">
        <f ca="1">+GETPIVOTDATA("XSN4",'suoinghe (2016)'!$A$3,"MA_HT","SON","MA_QH","NKH")</f>
        <v>0</v>
      </c>
      <c r="R55" s="79">
        <f ca="1">SUM(S55:AA55,AN55:AZ55,BC55:BD55)</f>
        <v>0</v>
      </c>
      <c r="S55" s="22">
        <f ca="1">+GETPIVOTDATA("XSN4",'suoinghe (2016)'!$A$3,"MA_HT","SON","MA_QH","CQP")</f>
        <v>0</v>
      </c>
      <c r="T55" s="22">
        <f ca="1">+GETPIVOTDATA("XSN4",'suoinghe (2016)'!$A$3,"MA_HT","SON","MA_QH","CAN")</f>
        <v>0</v>
      </c>
      <c r="U55" s="22">
        <f ca="1">+GETPIVOTDATA("XSN4",'suoinghe (2016)'!$A$3,"MA_HT","SON","MA_QH","SKK")</f>
        <v>0</v>
      </c>
      <c r="V55" s="22">
        <f ca="1">+GETPIVOTDATA("XSN4",'suoinghe (2016)'!$A$3,"MA_HT","SON","MA_QH","SKT")</f>
        <v>0</v>
      </c>
      <c r="W55" s="22">
        <f ca="1">+GETPIVOTDATA("XSN4",'suoinghe (2016)'!$A$3,"MA_HT","SON","MA_QH","SKN")</f>
        <v>0</v>
      </c>
      <c r="X55" s="22">
        <f ca="1">+GETPIVOTDATA("XSN4",'suoinghe (2016)'!$A$3,"MA_HT","SON","MA_QH","TMD")</f>
        <v>0</v>
      </c>
      <c r="Y55" s="22">
        <f ca="1">+GETPIVOTDATA("XSN4",'suoinghe (2016)'!$A$3,"MA_HT","SON","MA_QH","SKC")</f>
        <v>0</v>
      </c>
      <c r="Z55" s="22">
        <f ca="1">+GETPIVOTDATA("XSN4",'suoinghe (2016)'!$A$3,"MA_HT","SON","MA_QH","SKS")</f>
        <v>0</v>
      </c>
      <c r="AA55" s="52">
        <f ca="1" t="shared" si="21"/>
        <v>0</v>
      </c>
      <c r="AB55" s="22">
        <f ca="1">+GETPIVOTDATA("XSN4",'suoinghe (2016)'!$A$3,"MA_HT","SON","MA_QH","DGT")</f>
        <v>0</v>
      </c>
      <c r="AC55" s="22">
        <f ca="1">+GETPIVOTDATA("XSN4",'suoinghe (2016)'!$A$3,"MA_HT","SON","MA_QH","DTL")</f>
        <v>0</v>
      </c>
      <c r="AD55" s="22">
        <f ca="1">+GETPIVOTDATA("XSN4",'suoinghe (2016)'!$A$3,"MA_HT","SON","MA_QH","DNL")</f>
        <v>0</v>
      </c>
      <c r="AE55" s="22">
        <f ca="1">+GETPIVOTDATA("XSN4",'suoinghe (2016)'!$A$3,"MA_HT","SON","MA_QH","DBV")</f>
        <v>0</v>
      </c>
      <c r="AF55" s="22">
        <f ca="1">+GETPIVOTDATA("XSN4",'suoinghe (2016)'!$A$3,"MA_HT","SON","MA_QH","DVH")</f>
        <v>0</v>
      </c>
      <c r="AG55" s="22">
        <f ca="1">+GETPIVOTDATA("XSN4",'suoinghe (2016)'!$A$3,"MA_HT","SON","MA_QH","DYT")</f>
        <v>0</v>
      </c>
      <c r="AH55" s="22">
        <f ca="1">+GETPIVOTDATA("XSN4",'suoinghe (2016)'!$A$3,"MA_HT","SON","MA_QH","DGD")</f>
        <v>0</v>
      </c>
      <c r="AI55" s="22">
        <f ca="1">+GETPIVOTDATA("XSN4",'suoinghe (2016)'!$A$3,"MA_HT","SON","MA_QH","DTT")</f>
        <v>0</v>
      </c>
      <c r="AJ55" s="22">
        <f ca="1">+GETPIVOTDATA("XSN4",'suoinghe (2016)'!$A$3,"MA_HT","SON","MA_QH","NCK")</f>
        <v>0</v>
      </c>
      <c r="AK55" s="22">
        <f ca="1">+GETPIVOTDATA("XSN4",'suoinghe (2016)'!$A$3,"MA_HT","SON","MA_QH","DXH")</f>
        <v>0</v>
      </c>
      <c r="AL55" s="22">
        <f ca="1">+GETPIVOTDATA("XSN4",'suoinghe (2016)'!$A$3,"MA_HT","SON","MA_QH","DCH")</f>
        <v>0</v>
      </c>
      <c r="AM55" s="22">
        <f ca="1">+GETPIVOTDATA("XSN4",'suoinghe (2016)'!$A$3,"MA_HT","SON","MA_QH","DKG")</f>
        <v>0</v>
      </c>
      <c r="AN55" s="22">
        <f ca="1">+GETPIVOTDATA("XSN4",'suoinghe (2016)'!$A$3,"MA_HT","SON","MA_QH","DDT")</f>
        <v>0</v>
      </c>
      <c r="AO55" s="22">
        <f ca="1">+GETPIVOTDATA("XSN4",'suoinghe (2016)'!$A$3,"MA_HT","SON","MA_QH","DDL")</f>
        <v>0</v>
      </c>
      <c r="AP55" s="22">
        <f ca="1">+GETPIVOTDATA("XSN4",'suoinghe (2016)'!$A$3,"MA_HT","SON","MA_QH","DRA")</f>
        <v>0</v>
      </c>
      <c r="AQ55" s="22">
        <f ca="1">+GETPIVOTDATA("XSN4",'suoinghe (2016)'!$A$3,"MA_HT","SON","MA_QH","ONT")</f>
        <v>0</v>
      </c>
      <c r="AR55" s="22">
        <f ca="1">+GETPIVOTDATA("XSN4",'suoinghe (2016)'!$A$3,"MA_HT","SON","MA_QH","ODT")</f>
        <v>0</v>
      </c>
      <c r="AS55" s="22">
        <f ca="1">+GETPIVOTDATA("XSN4",'suoinghe (2016)'!$A$3,"MA_HT","SON","MA_QH","TSC")</f>
        <v>0</v>
      </c>
      <c r="AT55" s="22">
        <f ca="1">+GETPIVOTDATA("XSN4",'suoinghe (2016)'!$A$3,"MA_HT","SON","MA_QH","DTS")</f>
        <v>0</v>
      </c>
      <c r="AU55" s="22">
        <f ca="1">+GETPIVOTDATA("XSN4",'suoinghe (2016)'!$A$3,"MA_HT","SON","MA_QH","DNG")</f>
        <v>0</v>
      </c>
      <c r="AV55" s="22">
        <f ca="1">+GETPIVOTDATA("XSN4",'suoinghe (2016)'!$A$3,"MA_HT","SON","MA_QH","TON")</f>
        <v>0</v>
      </c>
      <c r="AW55" s="22">
        <f ca="1">+GETPIVOTDATA("XSN4",'suoinghe (2016)'!$A$3,"MA_HT","SON","MA_QH","NTD")</f>
        <v>0</v>
      </c>
      <c r="AX55" s="22">
        <f ca="1">+GETPIVOTDATA("XSN4",'suoinghe (2016)'!$A$3,"MA_HT","SON","MA_QH","SKX")</f>
        <v>0</v>
      </c>
      <c r="AY55" s="22">
        <f ca="1">+GETPIVOTDATA("XSN4",'suoinghe (2016)'!$A$3,"MA_HT","SON","MA_QH","DSH")</f>
        <v>0</v>
      </c>
      <c r="AZ55" s="22">
        <f ca="1">+GETPIVOTDATA("XSN4",'suoinghe (2016)'!$A$3,"MA_HT","SON","MA_QH","DKV")</f>
        <v>0</v>
      </c>
      <c r="BA55" s="89">
        <f ca="1">+GETPIVOTDATA("XSN4",'suoinghe (2016)'!$A$3,"MA_HT","SON","MA_QH","TIN")</f>
        <v>0</v>
      </c>
      <c r="BB55" s="43" t="e">
        <f ca="1">$D55-$BF55</f>
        <v>#REF!</v>
      </c>
      <c r="BC55" s="50">
        <f ca="1">+GETPIVOTDATA("XSN4",'suoinghe (2016)'!$A$3,"MA_HT","SON","MA_QH","MNC")</f>
        <v>0</v>
      </c>
      <c r="BD55" s="22">
        <f ca="1">+GETPIVOTDATA("XSN4",'suoinghe (2016)'!$A$3,"MA_HT","SON","MA_QH","PNK")</f>
        <v>0</v>
      </c>
      <c r="BE55" s="71">
        <f ca="1">+GETPIVOTDATA("XSN4",'suoinghe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+GETPIVOTDATA("XSN4",'suoinghe (2016)'!$A$3,"MA_HT","MNC","MA_QH","LUC")</f>
        <v>0</v>
      </c>
      <c r="H56" s="22">
        <f ca="1">+GETPIVOTDATA("XSN4",'suoinghe (2016)'!$A$3,"MA_HT","MNC","MA_QH","LUK")</f>
        <v>0</v>
      </c>
      <c r="I56" s="22">
        <f ca="1">+GETPIVOTDATA("XSN4",'suoinghe (2016)'!$A$3,"MA_HT","MNC","MA_QH","LUN")</f>
        <v>0</v>
      </c>
      <c r="J56" s="22">
        <f ca="1">+GETPIVOTDATA("XSN4",'suoinghe (2016)'!$A$3,"MA_HT","MNC","MA_QH","HNK")</f>
        <v>0</v>
      </c>
      <c r="K56" s="22">
        <f ca="1">+GETPIVOTDATA("XSN4",'suoinghe (2016)'!$A$3,"MA_HT","MNC","MA_QH","CLN")</f>
        <v>0</v>
      </c>
      <c r="L56" s="22">
        <f ca="1">+GETPIVOTDATA("XSN4",'suoinghe (2016)'!$A$3,"MA_HT","MNC","MA_QH","RSX")</f>
        <v>0</v>
      </c>
      <c r="M56" s="22">
        <f ca="1">+GETPIVOTDATA("XSN4",'suoinghe (2016)'!$A$3,"MA_HT","MNC","MA_QH","RPH")</f>
        <v>0</v>
      </c>
      <c r="N56" s="22">
        <f ca="1">+GETPIVOTDATA("XSN4",'suoinghe (2016)'!$A$3,"MA_HT","MNC","MA_QH","RDD")</f>
        <v>0</v>
      </c>
      <c r="O56" s="22">
        <f ca="1">+GETPIVOTDATA("XSN4",'suoinghe (2016)'!$A$3,"MA_HT","MNC","MA_QH","NTS")</f>
        <v>0</v>
      </c>
      <c r="P56" s="22">
        <f ca="1">+GETPIVOTDATA("XSN4",'suoinghe (2016)'!$A$3,"MA_HT","MNC","MA_QH","LMU")</f>
        <v>0</v>
      </c>
      <c r="Q56" s="22">
        <f ca="1">+GETPIVOTDATA("XSN4",'suoinghe (2016)'!$A$3,"MA_HT","MNC","MA_QH","NKH")</f>
        <v>0</v>
      </c>
      <c r="R56" s="79">
        <f ca="1">SUM(S56:AA56,AN56:BB56,BD56)</f>
        <v>0</v>
      </c>
      <c r="S56" s="22">
        <f ca="1">+GETPIVOTDATA("XSN4",'suoinghe (2016)'!$A$3,"MA_HT","MNC","MA_QH","CQP")</f>
        <v>0</v>
      </c>
      <c r="T56" s="22">
        <f ca="1">+GETPIVOTDATA("XSN4",'suoinghe (2016)'!$A$3,"MA_HT","MNC","MA_QH","CAN")</f>
        <v>0</v>
      </c>
      <c r="U56" s="22">
        <f ca="1">+GETPIVOTDATA("XSN4",'suoinghe (2016)'!$A$3,"MA_HT","MNC","MA_QH","SKK")</f>
        <v>0</v>
      </c>
      <c r="V56" s="22">
        <f ca="1">+GETPIVOTDATA("XSN4",'suoinghe (2016)'!$A$3,"MA_HT","MNC","MA_QH","SKT")</f>
        <v>0</v>
      </c>
      <c r="W56" s="22">
        <f ca="1">+GETPIVOTDATA("XSN4",'suoinghe (2016)'!$A$3,"MA_HT","MNC","MA_QH","SKN")</f>
        <v>0</v>
      </c>
      <c r="X56" s="22">
        <f ca="1">+GETPIVOTDATA("XSN4",'suoinghe (2016)'!$A$3,"MA_HT","MNC","MA_QH","TMD")</f>
        <v>0</v>
      </c>
      <c r="Y56" s="22">
        <f ca="1">+GETPIVOTDATA("XSN4",'suoinghe (2016)'!$A$3,"MA_HT","MNC","MA_QH","SKC")</f>
        <v>0</v>
      </c>
      <c r="Z56" s="22">
        <f ca="1">+GETPIVOTDATA("XSN4",'suoinghe (2016)'!$A$3,"MA_HT","MNC","MA_QH","SKS")</f>
        <v>0</v>
      </c>
      <c r="AA56" s="52">
        <f ca="1" t="shared" si="21"/>
        <v>0</v>
      </c>
      <c r="AB56" s="22">
        <f ca="1">+GETPIVOTDATA("XSN4",'suoinghe (2016)'!$A$3,"MA_HT","MNC","MA_QH","DGT")</f>
        <v>0</v>
      </c>
      <c r="AC56" s="22">
        <f ca="1">+GETPIVOTDATA("XSN4",'suoinghe (2016)'!$A$3,"MA_HT","MNC","MA_QH","DTL")</f>
        <v>0</v>
      </c>
      <c r="AD56" s="22">
        <f ca="1">+GETPIVOTDATA("XSN4",'suoinghe (2016)'!$A$3,"MA_HT","MNC","MA_QH","DNL")</f>
        <v>0</v>
      </c>
      <c r="AE56" s="22">
        <f ca="1">+GETPIVOTDATA("XSN4",'suoinghe (2016)'!$A$3,"MA_HT","MNC","MA_QH","DBV")</f>
        <v>0</v>
      </c>
      <c r="AF56" s="22">
        <f ca="1">+GETPIVOTDATA("XSN4",'suoinghe (2016)'!$A$3,"MA_HT","MNC","MA_QH","DVH")</f>
        <v>0</v>
      </c>
      <c r="AG56" s="22">
        <f ca="1">+GETPIVOTDATA("XSN4",'suoinghe (2016)'!$A$3,"MA_HT","MNC","MA_QH","DYT")</f>
        <v>0</v>
      </c>
      <c r="AH56" s="22">
        <f ca="1">+GETPIVOTDATA("XSN4",'suoinghe (2016)'!$A$3,"MA_HT","MNC","MA_QH","DGD")</f>
        <v>0</v>
      </c>
      <c r="AI56" s="22">
        <f ca="1">+GETPIVOTDATA("XSN4",'suoinghe (2016)'!$A$3,"MA_HT","MNC","MA_QH","DTT")</f>
        <v>0</v>
      </c>
      <c r="AJ56" s="22">
        <f ca="1">+GETPIVOTDATA("XSN4",'suoinghe (2016)'!$A$3,"MA_HT","MNC","MA_QH","NCK")</f>
        <v>0</v>
      </c>
      <c r="AK56" s="22">
        <f ca="1">+GETPIVOTDATA("XSN4",'suoinghe (2016)'!$A$3,"MA_HT","MNC","MA_QH","DXH")</f>
        <v>0</v>
      </c>
      <c r="AL56" s="22">
        <f ca="1">+GETPIVOTDATA("XSN4",'suoinghe (2016)'!$A$3,"MA_HT","MNC","MA_QH","DCH")</f>
        <v>0</v>
      </c>
      <c r="AM56" s="22">
        <f ca="1">+GETPIVOTDATA("XSN4",'suoinghe (2016)'!$A$3,"MA_HT","MNC","MA_QH","DKG")</f>
        <v>0</v>
      </c>
      <c r="AN56" s="22">
        <f ca="1">+GETPIVOTDATA("XSN4",'suoinghe (2016)'!$A$3,"MA_HT","MNC","MA_QH","DDT")</f>
        <v>0</v>
      </c>
      <c r="AO56" s="22">
        <f ca="1">+GETPIVOTDATA("XSN4",'suoinghe (2016)'!$A$3,"MA_HT","MNC","MA_QH","DDL")</f>
        <v>0</v>
      </c>
      <c r="AP56" s="22">
        <f ca="1">+GETPIVOTDATA("XSN4",'suoinghe (2016)'!$A$3,"MA_HT","MNC","MA_QH","DRA")</f>
        <v>0</v>
      </c>
      <c r="AQ56" s="22">
        <f ca="1">+GETPIVOTDATA("XSN4",'suoinghe (2016)'!$A$3,"MA_HT","MNC","MA_QH","ONT")</f>
        <v>0</v>
      </c>
      <c r="AR56" s="22">
        <f ca="1">+GETPIVOTDATA("XSN4",'suoinghe (2016)'!$A$3,"MA_HT","MNC","MA_QH","ODT")</f>
        <v>0</v>
      </c>
      <c r="AS56" s="22">
        <f ca="1">+GETPIVOTDATA("XSN4",'suoinghe (2016)'!$A$3,"MA_HT","MNC","MA_QH","TSC")</f>
        <v>0</v>
      </c>
      <c r="AT56" s="22">
        <f ca="1">+GETPIVOTDATA("XSN4",'suoinghe (2016)'!$A$3,"MA_HT","MNC","MA_QH","DTS")</f>
        <v>0</v>
      </c>
      <c r="AU56" s="22">
        <f ca="1">+GETPIVOTDATA("XSN4",'suoinghe (2016)'!$A$3,"MA_HT","MNC","MA_QH","DNG")</f>
        <v>0</v>
      </c>
      <c r="AV56" s="22">
        <f ca="1">+GETPIVOTDATA("XSN4",'suoinghe (2016)'!$A$3,"MA_HT","MNC","MA_QH","TON")</f>
        <v>0</v>
      </c>
      <c r="AW56" s="22">
        <f ca="1">+GETPIVOTDATA("XSN4",'suoinghe (2016)'!$A$3,"MA_HT","MNC","MA_QH","NTD")</f>
        <v>0</v>
      </c>
      <c r="AX56" s="22">
        <f ca="1">+GETPIVOTDATA("XSN4",'suoinghe (2016)'!$A$3,"MA_HT","MNC","MA_QH","SKX")</f>
        <v>0</v>
      </c>
      <c r="AY56" s="22">
        <f ca="1">+GETPIVOTDATA("XSN4",'suoinghe (2016)'!$A$3,"MA_HT","MNC","MA_QH","DSH")</f>
        <v>0</v>
      </c>
      <c r="AZ56" s="22">
        <f ca="1">+GETPIVOTDATA("XSN4",'suoinghe (2016)'!$A$3,"MA_HT","MNC","MA_QH","DKV")</f>
        <v>0</v>
      </c>
      <c r="BA56" s="89">
        <f ca="1">+GETPIVOTDATA("XSN4",'suoinghe (2016)'!$A$3,"MA_HT","MNC","MA_QH","TIN")</f>
        <v>0</v>
      </c>
      <c r="BB56" s="50">
        <f ca="1">+GETPIVOTDATA("XSN4",'suoinghe (2016)'!$A$3,"MA_HT","MNC","MA_QH","SON")</f>
        <v>0</v>
      </c>
      <c r="BC56" s="43" t="e">
        <f ca="1">$D56-$BF56</f>
        <v>#REF!</v>
      </c>
      <c r="BD56" s="22">
        <f ca="1">+GETPIVOTDATA("XSN4",'suoinghe (2016)'!$A$3,"MA_HT","MNC","MA_QH","PNK")</f>
        <v>0</v>
      </c>
      <c r="BE56" s="71">
        <f ca="1">+GETPIVOTDATA("XSN4",'suoinghe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+GETPIVOTDATA("XSN4",'suoinghe (2016)'!$A$3,"MA_HT","PNK","MA_QH","LUC")</f>
        <v>0</v>
      </c>
      <c r="H57" s="22">
        <f ca="1">+GETPIVOTDATA("XSN4",'suoinghe (2016)'!$A$3,"MA_HT","PNK","MA_QH","LUK")</f>
        <v>0</v>
      </c>
      <c r="I57" s="22">
        <f ca="1">+GETPIVOTDATA("XSN4",'suoinghe (2016)'!$A$3,"MA_HT","PNK","MA_QH","LUN")</f>
        <v>0</v>
      </c>
      <c r="J57" s="22">
        <f ca="1">+GETPIVOTDATA("XSN4",'suoinghe (2016)'!$A$3,"MA_HT","PNK","MA_QH","HNK")</f>
        <v>0</v>
      </c>
      <c r="K57" s="22">
        <f ca="1">+GETPIVOTDATA("XSN4",'suoinghe (2016)'!$A$3,"MA_HT","PNK","MA_QH","CLN")</f>
        <v>0</v>
      </c>
      <c r="L57" s="22">
        <f ca="1">+GETPIVOTDATA("XSN4",'suoinghe (2016)'!$A$3,"MA_HT","PNK","MA_QH","RSX")</f>
        <v>0</v>
      </c>
      <c r="M57" s="22">
        <f ca="1">+GETPIVOTDATA("XSN4",'suoinghe (2016)'!$A$3,"MA_HT","PNK","MA_QH","RPH")</f>
        <v>0</v>
      </c>
      <c r="N57" s="22">
        <f ca="1">+GETPIVOTDATA("XSN4",'suoinghe (2016)'!$A$3,"MA_HT","PNK","MA_QH","RDD")</f>
        <v>0</v>
      </c>
      <c r="O57" s="22">
        <f ca="1">+GETPIVOTDATA("XSN4",'suoinghe (2016)'!$A$3,"MA_HT","PNK","MA_QH","NTS")</f>
        <v>0</v>
      </c>
      <c r="P57" s="22">
        <f ca="1">+GETPIVOTDATA("XSN4",'suoinghe (2016)'!$A$3,"MA_HT","PNK","MA_QH","LMU")</f>
        <v>0</v>
      </c>
      <c r="Q57" s="22">
        <f ca="1">+GETPIVOTDATA("XSN4",'suoinghe (2016)'!$A$3,"MA_HT","PNK","MA_QH","NKH")</f>
        <v>0</v>
      </c>
      <c r="R57" s="79">
        <f ca="1">SUM(S57:AA57,AN57:BC57)</f>
        <v>0</v>
      </c>
      <c r="S57" s="22">
        <f ca="1">+GETPIVOTDATA("XSN4",'suoinghe (2016)'!$A$3,"MA_HT","PNK","MA_QH","CQP")</f>
        <v>0</v>
      </c>
      <c r="T57" s="22">
        <f ca="1">+GETPIVOTDATA("XSN4",'suoinghe (2016)'!$A$3,"MA_HT","PNK","MA_QH","CAN")</f>
        <v>0</v>
      </c>
      <c r="U57" s="22">
        <f ca="1">+GETPIVOTDATA("XSN4",'suoinghe (2016)'!$A$3,"MA_HT","PNK","MA_QH","SKK")</f>
        <v>0</v>
      </c>
      <c r="V57" s="22">
        <f ca="1">+GETPIVOTDATA("XSN4",'suoinghe (2016)'!$A$3,"MA_HT","PNK","MA_QH","SKT")</f>
        <v>0</v>
      </c>
      <c r="W57" s="22">
        <f ca="1">+GETPIVOTDATA("XSN4",'suoinghe (2016)'!$A$3,"MA_HT","PNK","MA_QH","SKN")</f>
        <v>0</v>
      </c>
      <c r="X57" s="22">
        <f ca="1">+GETPIVOTDATA("XSN4",'suoinghe (2016)'!$A$3,"MA_HT","PNK","MA_QH","TMD")</f>
        <v>0</v>
      </c>
      <c r="Y57" s="22">
        <f ca="1">+GETPIVOTDATA("XSN4",'suoinghe (2016)'!$A$3,"MA_HT","PNK","MA_QH","SKC")</f>
        <v>0</v>
      </c>
      <c r="Z57" s="22">
        <f ca="1">+GETPIVOTDATA("XSN4",'suoinghe (2016)'!$A$3,"MA_HT","PNK","MA_QH","SKS")</f>
        <v>0</v>
      </c>
      <c r="AA57" s="52">
        <f ca="1" t="shared" si="21"/>
        <v>0</v>
      </c>
      <c r="AB57" s="22">
        <f ca="1">+GETPIVOTDATA("XSN4",'suoinghe (2016)'!$A$3,"MA_HT","PNK","MA_QH","DGT")</f>
        <v>0</v>
      </c>
      <c r="AC57" s="22">
        <f ca="1">+GETPIVOTDATA("XSN4",'suoinghe (2016)'!$A$3,"MA_HT","PNK","MA_QH","DTL")</f>
        <v>0</v>
      </c>
      <c r="AD57" s="22">
        <f ca="1">+GETPIVOTDATA("XSN4",'suoinghe (2016)'!$A$3,"MA_HT","PNK","MA_QH","DNL")</f>
        <v>0</v>
      </c>
      <c r="AE57" s="22">
        <f ca="1">+GETPIVOTDATA("XSN4",'suoinghe (2016)'!$A$3,"MA_HT","PNK","MA_QH","DBV")</f>
        <v>0</v>
      </c>
      <c r="AF57" s="22">
        <f ca="1">+GETPIVOTDATA("XSN4",'suoinghe (2016)'!$A$3,"MA_HT","PNK","MA_QH","DVH")</f>
        <v>0</v>
      </c>
      <c r="AG57" s="22">
        <f ca="1">+GETPIVOTDATA("XSN4",'suoinghe (2016)'!$A$3,"MA_HT","PNK","MA_QH","DYT")</f>
        <v>0</v>
      </c>
      <c r="AH57" s="22">
        <f ca="1">+GETPIVOTDATA("XSN4",'suoinghe (2016)'!$A$3,"MA_HT","PNK","MA_QH","DGD")</f>
        <v>0</v>
      </c>
      <c r="AI57" s="22">
        <f ca="1">+GETPIVOTDATA("XSN4",'suoinghe (2016)'!$A$3,"MA_HT","PNK","MA_QH","DTT")</f>
        <v>0</v>
      </c>
      <c r="AJ57" s="22">
        <f ca="1">+GETPIVOTDATA("XSN4",'suoinghe (2016)'!$A$3,"MA_HT","PNK","MA_QH","NCK")</f>
        <v>0</v>
      </c>
      <c r="AK57" s="22">
        <f ca="1">+GETPIVOTDATA("XSN4",'suoinghe (2016)'!$A$3,"MA_HT","PNK","MA_QH","DXH")</f>
        <v>0</v>
      </c>
      <c r="AL57" s="22">
        <f ca="1">+GETPIVOTDATA("XSN4",'suoinghe (2016)'!$A$3,"MA_HT","PNK","MA_QH","DCH")</f>
        <v>0</v>
      </c>
      <c r="AM57" s="22">
        <f ca="1">+GETPIVOTDATA("XSN4",'suoinghe (2016)'!$A$3,"MA_HT","PNK","MA_QH","DKG")</f>
        <v>0</v>
      </c>
      <c r="AN57" s="22">
        <f ca="1">+GETPIVOTDATA("XSN4",'suoinghe (2016)'!$A$3,"MA_HT","PNK","MA_QH","DDT")</f>
        <v>0</v>
      </c>
      <c r="AO57" s="22">
        <f ca="1">+GETPIVOTDATA("XSN4",'suoinghe (2016)'!$A$3,"MA_HT","PNK","MA_QH","DDL")</f>
        <v>0</v>
      </c>
      <c r="AP57" s="22">
        <f ca="1">+GETPIVOTDATA("XSN4",'suoinghe (2016)'!$A$3,"MA_HT","PNK","MA_QH","DRA")</f>
        <v>0</v>
      </c>
      <c r="AQ57" s="22">
        <f ca="1">+GETPIVOTDATA("XSN4",'suoinghe (2016)'!$A$3,"MA_HT","PNK","MA_QH","ONT")</f>
        <v>0</v>
      </c>
      <c r="AR57" s="22">
        <f ca="1">+GETPIVOTDATA("XSN4",'suoinghe (2016)'!$A$3,"MA_HT","PNK","MA_QH","ODT")</f>
        <v>0</v>
      </c>
      <c r="AS57" s="22">
        <f ca="1">+GETPIVOTDATA("XSN4",'suoinghe (2016)'!$A$3,"MA_HT","PNK","MA_QH","TSC")</f>
        <v>0</v>
      </c>
      <c r="AT57" s="22">
        <f ca="1">+GETPIVOTDATA("XSN4",'suoinghe (2016)'!$A$3,"MA_HT","PNK","MA_QH","DTS")</f>
        <v>0</v>
      </c>
      <c r="AU57" s="22">
        <f ca="1">+GETPIVOTDATA("XSN4",'suoinghe (2016)'!$A$3,"MA_HT","PNK","MA_QH","DNG")</f>
        <v>0</v>
      </c>
      <c r="AV57" s="22">
        <f ca="1">+GETPIVOTDATA("XSN4",'suoinghe (2016)'!$A$3,"MA_HT","PNK","MA_QH","TON")</f>
        <v>0</v>
      </c>
      <c r="AW57" s="22">
        <f ca="1">+GETPIVOTDATA("XSN4",'suoinghe (2016)'!$A$3,"MA_HT","PNK","MA_QH","NTD")</f>
        <v>0</v>
      </c>
      <c r="AX57" s="22">
        <f ca="1">+GETPIVOTDATA("XSN4",'suoinghe (2016)'!$A$3,"MA_HT","PNK","MA_QH","SKX")</f>
        <v>0</v>
      </c>
      <c r="AY57" s="22">
        <f ca="1">+GETPIVOTDATA("XSN4",'suoinghe (2016)'!$A$3,"MA_HT","PNK","MA_QH","DSH")</f>
        <v>0</v>
      </c>
      <c r="AZ57" s="22">
        <f ca="1">+GETPIVOTDATA("XSN4",'suoinghe (2016)'!$A$3,"MA_HT","PNK","MA_QH","DKV")</f>
        <v>0</v>
      </c>
      <c r="BA57" s="89">
        <f ca="1">+GETPIVOTDATA("XSN4",'suoinghe (2016)'!$A$3,"MA_HT","PNK","MA_QH","TIN")</f>
        <v>0</v>
      </c>
      <c r="BB57" s="50">
        <f ca="1">+GETPIVOTDATA("XSN4",'suoinghe (2016)'!$A$3,"MA_HT","PNK","MA_QH","SON")</f>
        <v>0</v>
      </c>
      <c r="BC57" s="50">
        <f ca="1">+GETPIVOTDATA("XSN4",'suoinghe (2016)'!$A$3,"MA_HT","PNK","MA_QH","MNC")</f>
        <v>0</v>
      </c>
      <c r="BD57" s="43" t="e">
        <f ca="1">$D57-$BF57</f>
        <v>#REF!</v>
      </c>
      <c r="BE57" s="71">
        <f ca="1">+GETPIVOTDATA("XSN4",'suoinghe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+GETPIVOTDATA("XSN4",'suoinghe (2016)'!$A$3,"MA_HT","CSD","MA_QH","LUC")</f>
        <v>0</v>
      </c>
      <c r="H58" s="71">
        <f ca="1">+GETPIVOTDATA("XSN4",'suoinghe (2016)'!$A$3,"MA_HT","CSD","MA_QH","LUK")</f>
        <v>0</v>
      </c>
      <c r="I58" s="71">
        <f ca="1">+GETPIVOTDATA("XSN4",'suoinghe (2016)'!$A$3,"MA_HT","CSD","MA_QH","LUN")</f>
        <v>0</v>
      </c>
      <c r="J58" s="71">
        <f ca="1">+GETPIVOTDATA("XSN4",'suoinghe (2016)'!$A$3,"MA_HT","CSD","MA_QH","HNK")</f>
        <v>0</v>
      </c>
      <c r="K58" s="71">
        <f ca="1">+GETPIVOTDATA("XSN4",'suoinghe (2016)'!$A$3,"MA_HT","CSD","MA_QH","CLN")</f>
        <v>0</v>
      </c>
      <c r="L58" s="71">
        <f ca="1">+GETPIVOTDATA("XSN4",'suoinghe (2016)'!$A$3,"MA_HT","CSD","MA_QH","RSX")</f>
        <v>0</v>
      </c>
      <c r="M58" s="71">
        <f ca="1">+GETPIVOTDATA("XSN4",'suoinghe (2016)'!$A$3,"MA_HT","CSD","MA_QH","RPH")</f>
        <v>0</v>
      </c>
      <c r="N58" s="71">
        <f ca="1">+GETPIVOTDATA("XSN4",'suoinghe (2016)'!$A$3,"MA_HT","CSD","MA_QH","RDD")</f>
        <v>0</v>
      </c>
      <c r="O58" s="71">
        <f ca="1">+GETPIVOTDATA("XSN4",'suoinghe (2016)'!$A$3,"MA_HT","CSD","MA_QH","NTS")</f>
        <v>0</v>
      </c>
      <c r="P58" s="71">
        <f ca="1">+GETPIVOTDATA("XSN4",'suoinghe (2016)'!$A$3,"MA_HT","CSD","MA_QH","LMU")</f>
        <v>0</v>
      </c>
      <c r="Q58" s="71">
        <f ca="1">+GETPIVOTDATA("XSN4",'suoinghe (2016)'!$A$3,"MA_HT","CSD","MA_QH","NKH")</f>
        <v>0</v>
      </c>
      <c r="R58" s="79">
        <f ca="1">SUM(S58:AA58,AN58:BD58)</f>
        <v>0</v>
      </c>
      <c r="S58" s="80">
        <f ca="1">+GETPIVOTDATA("XSN4",'suoinghe (2016)'!$A$3,"MA_HT","CSD","MA_QH","CQP")</f>
        <v>0</v>
      </c>
      <c r="T58" s="80">
        <f ca="1">+GETPIVOTDATA("XSN4",'suoinghe (2016)'!$A$3,"MA_HT","CSD","MA_QH","CAN")</f>
        <v>0</v>
      </c>
      <c r="U58" s="71">
        <f ca="1">+GETPIVOTDATA("XSN4",'suoinghe (2016)'!$A$3,"MA_HT","CSD","MA_QH","SKK")</f>
        <v>0</v>
      </c>
      <c r="V58" s="71">
        <f ca="1">+GETPIVOTDATA("XSN4",'suoinghe (2016)'!$A$3,"MA_HT","CSD","MA_QH","SKT")</f>
        <v>0</v>
      </c>
      <c r="W58" s="71">
        <f ca="1">+GETPIVOTDATA("XSN4",'suoinghe (2016)'!$A$3,"MA_HT","CSD","MA_QH","SKN")</f>
        <v>0</v>
      </c>
      <c r="X58" s="71">
        <f ca="1">+GETPIVOTDATA("XSN4",'suoinghe (2016)'!$A$3,"MA_HT","CSD","MA_QH","TMD")</f>
        <v>0</v>
      </c>
      <c r="Y58" s="71">
        <f ca="1">+GETPIVOTDATA("XSN4",'suoinghe (2016)'!$A$3,"MA_HT","CSD","MA_QH","SKC")</f>
        <v>0</v>
      </c>
      <c r="Z58" s="71">
        <f ca="1">+GETPIVOTDATA("XSN4",'suoinghe (2016)'!$A$3,"MA_HT","CSD","MA_QH","SKS")</f>
        <v>0</v>
      </c>
      <c r="AA58" s="52">
        <f ca="1" t="shared" si="21"/>
        <v>0</v>
      </c>
      <c r="AB58" s="80">
        <f ca="1">+GETPIVOTDATA("XSN4",'suoinghe (2016)'!$A$3,"MA_HT","CSD","MA_QH","DGT")</f>
        <v>0</v>
      </c>
      <c r="AC58" s="80">
        <f ca="1">+GETPIVOTDATA("XSN4",'suoinghe (2016)'!$A$3,"MA_HT","CSD","MA_QH","DTL")</f>
        <v>0</v>
      </c>
      <c r="AD58" s="80">
        <f ca="1">+GETPIVOTDATA("XSN4",'suoinghe (2016)'!$A$3,"MA_HT","CSD","MA_QH","DNL")</f>
        <v>0</v>
      </c>
      <c r="AE58" s="80">
        <f ca="1">+GETPIVOTDATA("XSN4",'suoinghe (2016)'!$A$3,"MA_HT","CSD","MA_QH","DBV")</f>
        <v>0</v>
      </c>
      <c r="AF58" s="80">
        <f ca="1">+GETPIVOTDATA("XSN4",'suoinghe (2016)'!$A$3,"MA_HT","CSD","MA_QH","DVH")</f>
        <v>0</v>
      </c>
      <c r="AG58" s="80">
        <f ca="1">+GETPIVOTDATA("XSN4",'suoinghe (2016)'!$A$3,"MA_HT","CSD","MA_QH","DYT")</f>
        <v>0</v>
      </c>
      <c r="AH58" s="80">
        <f ca="1">+GETPIVOTDATA("XSN4",'suoinghe (2016)'!$A$3,"MA_HT","CSD","MA_QH","DGD")</f>
        <v>0</v>
      </c>
      <c r="AI58" s="80">
        <f ca="1">+GETPIVOTDATA("XSN4",'suoinghe (2016)'!$A$3,"MA_HT","CSD","MA_QH","DTT")</f>
        <v>0</v>
      </c>
      <c r="AJ58" s="80">
        <f ca="1">+GETPIVOTDATA("XSN4",'suoinghe (2016)'!$A$3,"MA_HT","CSD","MA_QH","NCK")</f>
        <v>0</v>
      </c>
      <c r="AK58" s="80">
        <f ca="1">+GETPIVOTDATA("XSN4",'suoinghe (2016)'!$A$3,"MA_HT","CSD","MA_QH","DXH")</f>
        <v>0</v>
      </c>
      <c r="AL58" s="80">
        <f ca="1">+GETPIVOTDATA("XSN4",'suoinghe (2016)'!$A$3,"MA_HT","CSD","MA_QH","DCH")</f>
        <v>0</v>
      </c>
      <c r="AM58" s="80">
        <f ca="1">+GETPIVOTDATA("XSN4",'suoinghe (2016)'!$A$3,"MA_HT","CSD","MA_QH","DKG")</f>
        <v>0</v>
      </c>
      <c r="AN58" s="71">
        <f ca="1">+GETPIVOTDATA("XSN4",'suoinghe (2016)'!$A$3,"MA_HT","CSD","MA_QH","DDT")</f>
        <v>0</v>
      </c>
      <c r="AO58" s="71">
        <f ca="1">+GETPIVOTDATA("XSN4",'suoinghe (2016)'!$A$3,"MA_HT","CSD","MA_QH","DDL")</f>
        <v>0</v>
      </c>
      <c r="AP58" s="71">
        <f ca="1">+GETPIVOTDATA("XSN4",'suoinghe (2016)'!$A$3,"MA_HT","CSD","MA_QH","DRA")</f>
        <v>0</v>
      </c>
      <c r="AQ58" s="71">
        <f ca="1">+GETPIVOTDATA("XSN4",'suoinghe (2016)'!$A$3,"MA_HT","CSD","MA_QH","ONT")</f>
        <v>0</v>
      </c>
      <c r="AR58" s="71">
        <f ca="1">+GETPIVOTDATA("XSN4",'suoinghe (2016)'!$A$3,"MA_HT","CSD","MA_QH","ODT")</f>
        <v>0</v>
      </c>
      <c r="AS58" s="71">
        <f ca="1">+GETPIVOTDATA("XSN4",'suoinghe (2016)'!$A$3,"MA_HT","CSD","MA_QH","TSC")</f>
        <v>0</v>
      </c>
      <c r="AT58" s="71">
        <f ca="1">+GETPIVOTDATA("XSN4",'suoinghe (2016)'!$A$3,"MA_HT","CSD","MA_QH","DTS")</f>
        <v>0</v>
      </c>
      <c r="AU58" s="71">
        <f ca="1">+GETPIVOTDATA("XSN4",'suoinghe (2016)'!$A$3,"MA_HT","CSD","MA_QH","DNG")</f>
        <v>0</v>
      </c>
      <c r="AV58" s="71">
        <f ca="1">+GETPIVOTDATA("XSN4",'suoinghe (2016)'!$A$3,"MA_HT","CSD","MA_QH","TON")</f>
        <v>0</v>
      </c>
      <c r="AW58" s="71">
        <f ca="1">+GETPIVOTDATA("XSN4",'suoinghe (2016)'!$A$3,"MA_HT","CSD","MA_QH","NTD")</f>
        <v>0</v>
      </c>
      <c r="AX58" s="71">
        <f ca="1">+GETPIVOTDATA("XSN4",'suoinghe (2016)'!$A$3,"MA_HT","CSD","MA_QH","SKX")</f>
        <v>0</v>
      </c>
      <c r="AY58" s="71">
        <f ca="1">+GETPIVOTDATA("XSN4",'suoinghe (2016)'!$A$3,"MA_HT","CSD","MA_QH","DSH")</f>
        <v>0</v>
      </c>
      <c r="AZ58" s="71">
        <f ca="1">+GETPIVOTDATA("XSN4",'suoinghe (2016)'!$A$3,"MA_HT","CSD","MA_QH","DKV")</f>
        <v>0</v>
      </c>
      <c r="BA58" s="89">
        <f ca="1">+GETPIVOTDATA("XSN4",'suoinghe (2016)'!$A$3,"MA_HT","CSD","MA_QH","TIN")</f>
        <v>0</v>
      </c>
      <c r="BB58" s="80">
        <f ca="1">+GETPIVOTDATA("XSN4",'suoinghe (2016)'!$A$3,"MA_HT","CSD","MA_QH","SON")</f>
        <v>0</v>
      </c>
      <c r="BC58" s="80">
        <f ca="1">+GETPIVOTDATA("XSN4",'suoinghe (2016)'!$A$3,"MA_HT","CSD","MA_QH","MNC")</f>
        <v>0</v>
      </c>
      <c r="BD58" s="71">
        <f ca="1">+GETPIVOTDATA("XSN4",'suoinghe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2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+GETPIVOTDATA("XSR4",'suoirao (2016)'!$A$3,"MA_HT","LUC","MA_QH","LUK")</f>
        <v>0</v>
      </c>
      <c r="I8" s="50">
        <f ca="1">+GETPIVOTDATA("XSR4",'suoirao (2016)'!$A$3,"MA_HT","LUC","MA_QH","LUN")</f>
        <v>0</v>
      </c>
      <c r="J8" s="50">
        <f ca="1">+GETPIVOTDATA("XSR4",'suoirao (2016)'!$A$3,"MA_HT","LUC","MA_QH","HNK")</f>
        <v>0</v>
      </c>
      <c r="K8" s="50">
        <f ca="1">+GETPIVOTDATA("XSR4",'suoirao (2016)'!$A$3,"MA_HT","LUC","MA_QH","CLN")</f>
        <v>0</v>
      </c>
      <c r="L8" s="50">
        <f ca="1">+GETPIVOTDATA("XSR4",'suoirao (2016)'!$A$3,"MA_HT","LUC","MA_QH","RSX")</f>
        <v>0</v>
      </c>
      <c r="M8" s="50">
        <f ca="1">+GETPIVOTDATA("XSR4",'suoirao (2016)'!$A$3,"MA_HT","LUC","MA_QH","RPH")</f>
        <v>0</v>
      </c>
      <c r="N8" s="50">
        <f ca="1">+GETPIVOTDATA("XSR4",'suoirao (2016)'!$A$3,"MA_HT","LUC","MA_QH","RDD")</f>
        <v>0</v>
      </c>
      <c r="O8" s="50">
        <f ca="1">+GETPIVOTDATA("XSR4",'suoirao (2016)'!$A$3,"MA_HT","LUC","MA_QH","NTS")</f>
        <v>0</v>
      </c>
      <c r="P8" s="50">
        <f ca="1">+GETPIVOTDATA("XSR4",'suoirao (2016)'!$A$3,"MA_HT","LUC","MA_QH","LMU")</f>
        <v>0</v>
      </c>
      <c r="Q8" s="50">
        <f ca="1">+GETPIVOTDATA("XSR4",'suoirao (2016)'!$A$3,"MA_HT","LUC","MA_QH","NKH")</f>
        <v>0</v>
      </c>
      <c r="R8" s="48">
        <f ca="1" t="shared" si="2"/>
        <v>0</v>
      </c>
      <c r="S8" s="50">
        <f ca="1">+GETPIVOTDATA("XSR4",'suoirao (2016)'!$A$3,"MA_HT","LUC","MA_QH","CQP")</f>
        <v>0</v>
      </c>
      <c r="T8" s="50">
        <f ca="1">+GETPIVOTDATA("XSR4",'suoirao (2016)'!$A$3,"MA_HT","LUC","MA_QH","CAN")</f>
        <v>0</v>
      </c>
      <c r="U8" s="50">
        <f ca="1">+GETPIVOTDATA("XSR4",'suoirao (2016)'!$A$3,"MA_HT","LUC","MA_QH","SKK")</f>
        <v>0</v>
      </c>
      <c r="V8" s="50">
        <f ca="1">+GETPIVOTDATA("XSR4",'suoirao (2016)'!$A$3,"MA_HT","LUC","MA_QH","SKT")</f>
        <v>0</v>
      </c>
      <c r="W8" s="50">
        <f ca="1">+GETPIVOTDATA("XSR4",'suoirao (2016)'!$A$3,"MA_HT","LUC","MA_QH","SKN")</f>
        <v>0</v>
      </c>
      <c r="X8" s="50">
        <f ca="1">+GETPIVOTDATA("XSR4",'suoirao (2016)'!$A$3,"MA_HT","LUC","MA_QH","TMD")</f>
        <v>0</v>
      </c>
      <c r="Y8" s="50">
        <f ca="1">+GETPIVOTDATA("XSR4",'suoirao (2016)'!$A$3,"MA_HT","LUC","MA_QH","SKC")</f>
        <v>0</v>
      </c>
      <c r="Z8" s="50">
        <f ca="1">+GETPIVOTDATA("XSR4",'suoirao (2016)'!$A$3,"MA_HT","LUC","MA_QH","SKS")</f>
        <v>0</v>
      </c>
      <c r="AA8" s="52">
        <f ca="1" t="shared" si="4"/>
        <v>0</v>
      </c>
      <c r="AB8" s="50">
        <f ca="1">+GETPIVOTDATA("XSR4",'suoirao (2016)'!$A$3,"MA_HT","LUC","MA_QH","DGT")</f>
        <v>0</v>
      </c>
      <c r="AC8" s="50">
        <f ca="1">+GETPIVOTDATA("XSR4",'suoirao (2016)'!$A$3,"MA_HT","LUC","MA_QH","DTL")</f>
        <v>0</v>
      </c>
      <c r="AD8" s="50">
        <f ca="1">+GETPIVOTDATA("XSR4",'suoirao (2016)'!$A$3,"MA_HT","LUC","MA_QH","DNL")</f>
        <v>0</v>
      </c>
      <c r="AE8" s="50">
        <f ca="1">+GETPIVOTDATA("XSR4",'suoirao (2016)'!$A$3,"MA_HT","LUC","MA_QH","DBV")</f>
        <v>0</v>
      </c>
      <c r="AF8" s="50">
        <f ca="1">+GETPIVOTDATA("XSR4",'suoirao (2016)'!$A$3,"MA_HT","LUC","MA_QH","DVH")</f>
        <v>0</v>
      </c>
      <c r="AG8" s="50">
        <f ca="1">+GETPIVOTDATA("XSR4",'suoirao (2016)'!$A$3,"MA_HT","LUC","MA_QH","DYT")</f>
        <v>0</v>
      </c>
      <c r="AH8" s="50">
        <f ca="1">+GETPIVOTDATA("XSR4",'suoirao (2016)'!$A$3,"MA_HT","LUC","MA_QH","DGD")</f>
        <v>0</v>
      </c>
      <c r="AI8" s="50">
        <f ca="1">+GETPIVOTDATA("XSR4",'suoirao (2016)'!$A$3,"MA_HT","LUC","MA_QH","DTT")</f>
        <v>0</v>
      </c>
      <c r="AJ8" s="50">
        <f ca="1">+GETPIVOTDATA("XSR4",'suoirao (2016)'!$A$3,"MA_HT","LUC","MA_QH","NCK")</f>
        <v>0</v>
      </c>
      <c r="AK8" s="50">
        <f ca="1">+GETPIVOTDATA("XSR4",'suoirao (2016)'!$A$3,"MA_HT","LUC","MA_QH","DXH")</f>
        <v>0</v>
      </c>
      <c r="AL8" s="50">
        <f ca="1">+GETPIVOTDATA("XSR4",'suoirao (2016)'!$A$3,"MA_HT","LUC","MA_QH","DCH")</f>
        <v>0</v>
      </c>
      <c r="AM8" s="50">
        <f ca="1">+GETPIVOTDATA("XSR4",'suoirao (2016)'!$A$3,"MA_HT","LUC","MA_QH","DKG")</f>
        <v>0</v>
      </c>
      <c r="AN8" s="50">
        <f ca="1">+GETPIVOTDATA("XSR4",'suoirao (2016)'!$A$3,"MA_HT","LUC","MA_QH","DDT")</f>
        <v>0</v>
      </c>
      <c r="AO8" s="50">
        <f ca="1">+GETPIVOTDATA("XSR4",'suoirao (2016)'!$A$3,"MA_HT","LUC","MA_QH","DDL")</f>
        <v>0</v>
      </c>
      <c r="AP8" s="50">
        <f ca="1">+GETPIVOTDATA("XSR4",'suoirao (2016)'!$A$3,"MA_HT","LUC","MA_QH","DRA")</f>
        <v>0</v>
      </c>
      <c r="AQ8" s="50">
        <f ca="1">+GETPIVOTDATA("XSR4",'suoirao (2016)'!$A$3,"MA_HT","LUC","MA_QH","ONT")</f>
        <v>0</v>
      </c>
      <c r="AR8" s="50">
        <f ca="1">+GETPIVOTDATA("XSR4",'suoirao (2016)'!$A$3,"MA_HT","LUC","MA_QH","ODT")</f>
        <v>0</v>
      </c>
      <c r="AS8" s="50">
        <f ca="1">+GETPIVOTDATA("XSR4",'suoirao (2016)'!$A$3,"MA_HT","LUC","MA_QH","TSC")</f>
        <v>0</v>
      </c>
      <c r="AT8" s="50">
        <f ca="1">+GETPIVOTDATA("XSR4",'suoirao (2016)'!$A$3,"MA_HT","LUC","MA_QH","DTS")</f>
        <v>0</v>
      </c>
      <c r="AU8" s="50">
        <f ca="1">+GETPIVOTDATA("XSR4",'suoirao (2016)'!$A$3,"MA_HT","LUC","MA_QH","DNG")</f>
        <v>0</v>
      </c>
      <c r="AV8" s="50">
        <f ca="1">+GETPIVOTDATA("XSR4",'suoirao (2016)'!$A$3,"MA_HT","LUC","MA_QH","TON")</f>
        <v>0</v>
      </c>
      <c r="AW8" s="50">
        <f ca="1">+GETPIVOTDATA("XSR4",'suoirao (2016)'!$A$3,"MA_HT","LUC","MA_QH","NTD")</f>
        <v>0</v>
      </c>
      <c r="AX8" s="50">
        <f ca="1">+GETPIVOTDATA("XSR4",'suoirao (2016)'!$A$3,"MA_HT","LUC","MA_QH","SKX")</f>
        <v>0</v>
      </c>
      <c r="AY8" s="50">
        <f ca="1">+GETPIVOTDATA("XSR4",'suoirao (2016)'!$A$3,"MA_HT","LUC","MA_QH","DSH")</f>
        <v>0</v>
      </c>
      <c r="AZ8" s="50">
        <f ca="1">+GETPIVOTDATA("XSR4",'suoirao (2016)'!$A$3,"MA_HT","LUC","MA_QH","DKV")</f>
        <v>0</v>
      </c>
      <c r="BA8" s="88">
        <f ca="1">+GETPIVOTDATA("XSR4",'suoirao (2016)'!$A$3,"MA_HT","LUC","MA_QH","TIN")</f>
        <v>0</v>
      </c>
      <c r="BB8" s="50">
        <f ca="1">+GETPIVOTDATA("XSR4",'suoirao (2016)'!$A$3,"MA_HT","LUC","MA_QH","SON")</f>
        <v>0</v>
      </c>
      <c r="BC8" s="50">
        <f ca="1">+GETPIVOTDATA("XSR4",'suoirao (2016)'!$A$3,"MA_HT","LUC","MA_QH","MNC")</f>
        <v>0</v>
      </c>
      <c r="BD8" s="50">
        <f ca="1">+GETPIVOTDATA("XSR4",'suoirao (2016)'!$A$3,"MA_HT","LUC","MA_QH","PNK")</f>
        <v>0</v>
      </c>
      <c r="BE8" s="80">
        <f ca="1">+GETPIVOTDATA("XSR4",'suoirao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+GETPIVOTDATA("XSR4",'suoirao (2016)'!$A$3,"MA_HT","LUK","MA_QH","LUC")</f>
        <v>0</v>
      </c>
      <c r="H9" s="49" t="e">
        <f ca="1">$D9-$BF9</f>
        <v>#REF!</v>
      </c>
      <c r="I9" s="50">
        <f ca="1">+GETPIVOTDATA("XSR4",'suoirao (2016)'!$A$3,"MA_HT","LUK","MA_QH","LUN")</f>
        <v>0</v>
      </c>
      <c r="J9" s="50">
        <f ca="1">+GETPIVOTDATA("XSR4",'suoirao (2016)'!$A$3,"MA_HT","LUK","MA_QH","HNK")</f>
        <v>0</v>
      </c>
      <c r="K9" s="50">
        <f ca="1">+GETPIVOTDATA("XSR4",'suoirao (2016)'!$A$3,"MA_HT","LUK","MA_QH","CLN")</f>
        <v>0</v>
      </c>
      <c r="L9" s="50">
        <f ca="1">+GETPIVOTDATA("XSR4",'suoirao (2016)'!$A$3,"MA_HT","LUK","MA_QH","RSX")</f>
        <v>0</v>
      </c>
      <c r="M9" s="50">
        <f ca="1">+GETPIVOTDATA("XSR4",'suoirao (2016)'!$A$3,"MA_HT","LUK","MA_QH","RPH")</f>
        <v>0</v>
      </c>
      <c r="N9" s="50">
        <f ca="1">+GETPIVOTDATA("XSR4",'suoirao (2016)'!$A$3,"MA_HT","LUK","MA_QH","RDD")</f>
        <v>0</v>
      </c>
      <c r="O9" s="50">
        <f ca="1">+GETPIVOTDATA("XSR4",'suoirao (2016)'!$A$3,"MA_HT","LUK","MA_QH","NTS")</f>
        <v>0</v>
      </c>
      <c r="P9" s="50">
        <f ca="1">+GETPIVOTDATA("XSR4",'suoirao (2016)'!$A$3,"MA_HT","LUK","MA_QH","LMU")</f>
        <v>0</v>
      </c>
      <c r="Q9" s="50">
        <f ca="1">+GETPIVOTDATA("XSR4",'suoirao (2016)'!$A$3,"MA_HT","LUK","MA_QH","NKH")</f>
        <v>0</v>
      </c>
      <c r="R9" s="48">
        <f ca="1" t="shared" si="2"/>
        <v>0</v>
      </c>
      <c r="S9" s="50">
        <f ca="1">+GETPIVOTDATA("XSR4",'suoirao (2016)'!$A$3,"MA_HT","LUK","MA_QH","CQP")</f>
        <v>0</v>
      </c>
      <c r="T9" s="50">
        <f ca="1">+GETPIVOTDATA("XSR4",'suoirao (2016)'!$A$3,"MA_HT","LUK","MA_QH","CAN")</f>
        <v>0</v>
      </c>
      <c r="U9" s="50">
        <f ca="1">+GETPIVOTDATA("XSR4",'suoirao (2016)'!$A$3,"MA_HT","LUK","MA_QH","SKK")</f>
        <v>0</v>
      </c>
      <c r="V9" s="50">
        <f ca="1">+GETPIVOTDATA("XSR4",'suoirao (2016)'!$A$3,"MA_HT","LUK","MA_QH","SKT")</f>
        <v>0</v>
      </c>
      <c r="W9" s="50">
        <f ca="1">+GETPIVOTDATA("XSR4",'suoirao (2016)'!$A$3,"MA_HT","LUK","MA_QH","SKN")</f>
        <v>0</v>
      </c>
      <c r="X9" s="50">
        <f ca="1">+GETPIVOTDATA("XSR4",'suoirao (2016)'!$A$3,"MA_HT","LUK","MA_QH","TMD")</f>
        <v>0</v>
      </c>
      <c r="Y9" s="50">
        <f ca="1">+GETPIVOTDATA("XSR4",'suoirao (2016)'!$A$3,"MA_HT","LUK","MA_QH","SKC")</f>
        <v>0</v>
      </c>
      <c r="Z9" s="50">
        <f ca="1">+GETPIVOTDATA("XSR4",'suoirao (2016)'!$A$3,"MA_HT","LUK","MA_QH","SKS")</f>
        <v>0</v>
      </c>
      <c r="AA9" s="52">
        <f ca="1" t="shared" si="4"/>
        <v>0</v>
      </c>
      <c r="AB9" s="50">
        <f ca="1">+GETPIVOTDATA("XSR4",'suoirao (2016)'!$A$3,"MA_HT","LUK","MA_QH","DGT")</f>
        <v>0</v>
      </c>
      <c r="AC9" s="50">
        <f ca="1">+GETPIVOTDATA("XSR4",'suoirao (2016)'!$A$3,"MA_HT","LUK","MA_QH","DTL")</f>
        <v>0</v>
      </c>
      <c r="AD9" s="50">
        <f ca="1">+GETPIVOTDATA("XSR4",'suoirao (2016)'!$A$3,"MA_HT","LUK","MA_QH","DNL")</f>
        <v>0</v>
      </c>
      <c r="AE9" s="50">
        <f ca="1">+GETPIVOTDATA("XSR4",'suoirao (2016)'!$A$3,"MA_HT","LUK","MA_QH","DBV")</f>
        <v>0</v>
      </c>
      <c r="AF9" s="50">
        <f ca="1">+GETPIVOTDATA("XSR4",'suoirao (2016)'!$A$3,"MA_HT","LUK","MA_QH","DVH")</f>
        <v>0</v>
      </c>
      <c r="AG9" s="50">
        <f ca="1">+GETPIVOTDATA("XSR4",'suoirao (2016)'!$A$3,"MA_HT","LUK","MA_QH","DYT")</f>
        <v>0</v>
      </c>
      <c r="AH9" s="50">
        <f ca="1">+GETPIVOTDATA("XSR4",'suoirao (2016)'!$A$3,"MA_HT","LUK","MA_QH","DGD")</f>
        <v>0</v>
      </c>
      <c r="AI9" s="50">
        <f ca="1">+GETPIVOTDATA("XSR4",'suoirao (2016)'!$A$3,"MA_HT","LUK","MA_QH","DTT")</f>
        <v>0</v>
      </c>
      <c r="AJ9" s="50">
        <f ca="1">+GETPIVOTDATA("XSR4",'suoirao (2016)'!$A$3,"MA_HT","LUK","MA_QH","NCK")</f>
        <v>0</v>
      </c>
      <c r="AK9" s="50">
        <f ca="1">+GETPIVOTDATA("XSR4",'suoirao (2016)'!$A$3,"MA_HT","LUK","MA_QH","DXH")</f>
        <v>0</v>
      </c>
      <c r="AL9" s="50">
        <f ca="1">+GETPIVOTDATA("XSR4",'suoirao (2016)'!$A$3,"MA_HT","LUK","MA_QH","DCH")</f>
        <v>0</v>
      </c>
      <c r="AM9" s="50">
        <f ca="1">+GETPIVOTDATA("XSR4",'suoirao (2016)'!$A$3,"MA_HT","LUK","MA_QH","DKG")</f>
        <v>0</v>
      </c>
      <c r="AN9" s="50">
        <f ca="1">+GETPIVOTDATA("XSR4",'suoirao (2016)'!$A$3,"MA_HT","LUK","MA_QH","DDT")</f>
        <v>0</v>
      </c>
      <c r="AO9" s="50">
        <f ca="1">+GETPIVOTDATA("XSR4",'suoirao (2016)'!$A$3,"MA_HT","LUK","MA_QH","DDL")</f>
        <v>0</v>
      </c>
      <c r="AP9" s="50">
        <f ca="1">+GETPIVOTDATA("XSR4",'suoirao (2016)'!$A$3,"MA_HT","LUK","MA_QH","DRA")</f>
        <v>0</v>
      </c>
      <c r="AQ9" s="50">
        <f ca="1">+GETPIVOTDATA("XSR4",'suoirao (2016)'!$A$3,"MA_HT","LUK","MA_QH","ONT")</f>
        <v>0</v>
      </c>
      <c r="AR9" s="50">
        <f ca="1">+GETPIVOTDATA("XSR4",'suoirao (2016)'!$A$3,"MA_HT","LUK","MA_QH","ODT")</f>
        <v>0</v>
      </c>
      <c r="AS9" s="50">
        <f ca="1">+GETPIVOTDATA("XSR4",'suoirao (2016)'!$A$3,"MA_HT","LUK","MA_QH","TSC")</f>
        <v>0</v>
      </c>
      <c r="AT9" s="50">
        <f ca="1">+GETPIVOTDATA("XSR4",'suoirao (2016)'!$A$3,"MA_HT","LUK","MA_QH","DTS")</f>
        <v>0</v>
      </c>
      <c r="AU9" s="50">
        <f ca="1">+GETPIVOTDATA("XSR4",'suoirao (2016)'!$A$3,"MA_HT","LUK","MA_QH","DNG")</f>
        <v>0</v>
      </c>
      <c r="AV9" s="50">
        <f ca="1">+GETPIVOTDATA("XSR4",'suoirao (2016)'!$A$3,"MA_HT","LUK","MA_QH","TON")</f>
        <v>0</v>
      </c>
      <c r="AW9" s="50">
        <f ca="1">+GETPIVOTDATA("XSR4",'suoirao (2016)'!$A$3,"MA_HT","LUK","MA_QH","NTD")</f>
        <v>0</v>
      </c>
      <c r="AX9" s="50">
        <f ca="1">+GETPIVOTDATA("XSR4",'suoirao (2016)'!$A$3,"MA_HT","LUK","MA_QH","SKX")</f>
        <v>0</v>
      </c>
      <c r="AY9" s="50">
        <f ca="1">+GETPIVOTDATA("XSR4",'suoirao (2016)'!$A$3,"MA_HT","LUK","MA_QH","DSH")</f>
        <v>0</v>
      </c>
      <c r="AZ9" s="50">
        <f ca="1">+GETPIVOTDATA("XSR4",'suoirao (2016)'!$A$3,"MA_HT","LUK","MA_QH","DKV")</f>
        <v>0</v>
      </c>
      <c r="BA9" s="88">
        <f ca="1">+GETPIVOTDATA("XSR4",'suoirao (2016)'!$A$3,"MA_HT","LUK","MA_QH","TIN")</f>
        <v>0</v>
      </c>
      <c r="BB9" s="50">
        <f ca="1">+GETPIVOTDATA("XSR4",'suoirao (2016)'!$A$3,"MA_HT","LUK","MA_QH","SON")</f>
        <v>0</v>
      </c>
      <c r="BC9" s="50">
        <f ca="1">+GETPIVOTDATA("XSR4",'suoirao (2016)'!$A$3,"MA_HT","LUK","MA_QH","MNC")</f>
        <v>0</v>
      </c>
      <c r="BD9" s="50">
        <f ca="1">+GETPIVOTDATA("XSR4",'suoirao (2016)'!$A$3,"MA_HT","LUK","MA_QH","PNK")</f>
        <v>0</v>
      </c>
      <c r="BE9" s="80">
        <f ca="1">+GETPIVOTDATA("XSR4",'suoirao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+GETPIVOTDATA("XSR4",'suoirao (2016)'!$A$3,"MA_HT","LUN","MA_QH","LUC")</f>
        <v>0</v>
      </c>
      <c r="H10" s="50">
        <f ca="1">+GETPIVOTDATA("XSR4",'suoirao (2016)'!$A$3,"MA_HT","LUN","MA_QH","LUK")</f>
        <v>0</v>
      </c>
      <c r="I10" s="49" t="e">
        <f ca="1">$D10-$BF10</f>
        <v>#REF!</v>
      </c>
      <c r="J10" s="50">
        <f ca="1">+GETPIVOTDATA("XSR4",'suoirao (2016)'!$A$3,"MA_HT","LUN","MA_QH","HNK")</f>
        <v>0</v>
      </c>
      <c r="K10" s="50">
        <f ca="1">+GETPIVOTDATA("XSR4",'suoirao (2016)'!$A$3,"MA_HT","LUN","MA_QH","CLN")</f>
        <v>0</v>
      </c>
      <c r="L10" s="50">
        <f ca="1">+GETPIVOTDATA("XSR4",'suoirao (2016)'!$A$3,"MA_HT","LUN","MA_QH","RSX")</f>
        <v>0</v>
      </c>
      <c r="M10" s="50">
        <f ca="1">+GETPIVOTDATA("XSR4",'suoirao (2016)'!$A$3,"MA_HT","LUN","MA_QH","RPH")</f>
        <v>0</v>
      </c>
      <c r="N10" s="50">
        <f ca="1">+GETPIVOTDATA("XSR4",'suoirao (2016)'!$A$3,"MA_HT","LUN","MA_QH","RDD")</f>
        <v>0</v>
      </c>
      <c r="O10" s="50">
        <f ca="1">+GETPIVOTDATA("XSR4",'suoirao (2016)'!$A$3,"MA_HT","LUN","MA_QH","NTS")</f>
        <v>0</v>
      </c>
      <c r="P10" s="50">
        <f ca="1">+GETPIVOTDATA("XSR4",'suoirao (2016)'!$A$3,"MA_HT","LUN","MA_QH","LMU")</f>
        <v>0</v>
      </c>
      <c r="Q10" s="50">
        <f ca="1">+GETPIVOTDATA("XSR4",'suoirao (2016)'!$A$3,"MA_HT","LUN","MA_QH","NKH")</f>
        <v>0</v>
      </c>
      <c r="R10" s="48">
        <f ca="1" t="shared" si="2"/>
        <v>0</v>
      </c>
      <c r="S10" s="50">
        <f ca="1">+GETPIVOTDATA("XSR4",'suoirao (2016)'!$A$3,"MA_HT","LUN","MA_QH","CQP")</f>
        <v>0</v>
      </c>
      <c r="T10" s="50">
        <f ca="1">+GETPIVOTDATA("XSR4",'suoirao (2016)'!$A$3,"MA_HT","LUN","MA_QH","CAN")</f>
        <v>0</v>
      </c>
      <c r="U10" s="50">
        <f ca="1">+GETPIVOTDATA("XSR4",'suoirao (2016)'!$A$3,"MA_HT","LUN","MA_QH","SKK")</f>
        <v>0</v>
      </c>
      <c r="V10" s="50">
        <f ca="1">+GETPIVOTDATA("XSR4",'suoirao (2016)'!$A$3,"MA_HT","LUN","MA_QH","SKT")</f>
        <v>0</v>
      </c>
      <c r="W10" s="50">
        <f ca="1">+GETPIVOTDATA("XSR4",'suoirao (2016)'!$A$3,"MA_HT","LUN","MA_QH","SKN")</f>
        <v>0</v>
      </c>
      <c r="X10" s="50">
        <f ca="1">+GETPIVOTDATA("XSR4",'suoirao (2016)'!$A$3,"MA_HT","LUN","MA_QH","TMD")</f>
        <v>0</v>
      </c>
      <c r="Y10" s="50">
        <f ca="1">+GETPIVOTDATA("XSR4",'suoirao (2016)'!$A$3,"MA_HT","LUN","MA_QH","SKC")</f>
        <v>0</v>
      </c>
      <c r="Z10" s="50">
        <f ca="1">+GETPIVOTDATA("XSR4",'suoirao (2016)'!$A$3,"MA_HT","LUN","MA_QH","SKS")</f>
        <v>0</v>
      </c>
      <c r="AA10" s="52">
        <f ca="1" t="shared" si="4"/>
        <v>0</v>
      </c>
      <c r="AB10" s="50">
        <f ca="1">+GETPIVOTDATA("XSR4",'suoirao (2016)'!$A$3,"MA_HT","LUN","MA_QH","DGT")</f>
        <v>0</v>
      </c>
      <c r="AC10" s="50">
        <f ca="1">+GETPIVOTDATA("XSR4",'suoirao (2016)'!$A$3,"MA_HT","LUN","MA_QH","DTL")</f>
        <v>0</v>
      </c>
      <c r="AD10" s="50">
        <f ca="1">+GETPIVOTDATA("XSR4",'suoirao (2016)'!$A$3,"MA_HT","LUN","MA_QH","DNL")</f>
        <v>0</v>
      </c>
      <c r="AE10" s="50">
        <f ca="1">+GETPIVOTDATA("XSR4",'suoirao (2016)'!$A$3,"MA_HT","LUN","MA_QH","DBV")</f>
        <v>0</v>
      </c>
      <c r="AF10" s="50">
        <f ca="1">+GETPIVOTDATA("XSR4",'suoirao (2016)'!$A$3,"MA_HT","LUN","MA_QH","DVH")</f>
        <v>0</v>
      </c>
      <c r="AG10" s="50">
        <f ca="1">+GETPIVOTDATA("XSR4",'suoirao (2016)'!$A$3,"MA_HT","LUN","MA_QH","DYT")</f>
        <v>0</v>
      </c>
      <c r="AH10" s="50">
        <f ca="1">+GETPIVOTDATA("XSR4",'suoirao (2016)'!$A$3,"MA_HT","LUN","MA_QH","DGD")</f>
        <v>0</v>
      </c>
      <c r="AI10" s="50">
        <f ca="1">+GETPIVOTDATA("XSR4",'suoirao (2016)'!$A$3,"MA_HT","LUN","MA_QH","DTT")</f>
        <v>0</v>
      </c>
      <c r="AJ10" s="50">
        <f ca="1">+GETPIVOTDATA("XSR4",'suoirao (2016)'!$A$3,"MA_HT","LUN","MA_QH","NCK")</f>
        <v>0</v>
      </c>
      <c r="AK10" s="50">
        <f ca="1">+GETPIVOTDATA("XSR4",'suoirao (2016)'!$A$3,"MA_HT","LUN","MA_QH","DXH")</f>
        <v>0</v>
      </c>
      <c r="AL10" s="50">
        <f ca="1">+GETPIVOTDATA("XSR4",'suoirao (2016)'!$A$3,"MA_HT","LUN","MA_QH","DCH")</f>
        <v>0</v>
      </c>
      <c r="AM10" s="50">
        <f ca="1">+GETPIVOTDATA("XSR4",'suoirao (2016)'!$A$3,"MA_HT","LUN","MA_QH","DKG")</f>
        <v>0</v>
      </c>
      <c r="AN10" s="50">
        <f ca="1">+GETPIVOTDATA("XSR4",'suoirao (2016)'!$A$3,"MA_HT","LUN","MA_QH","DDT")</f>
        <v>0</v>
      </c>
      <c r="AO10" s="50">
        <f ca="1">+GETPIVOTDATA("XSR4",'suoirao (2016)'!$A$3,"MA_HT","LUN","MA_QH","DDL")</f>
        <v>0</v>
      </c>
      <c r="AP10" s="50">
        <f ca="1">+GETPIVOTDATA("XSR4",'suoirao (2016)'!$A$3,"MA_HT","LUN","MA_QH","DRA")</f>
        <v>0</v>
      </c>
      <c r="AQ10" s="50">
        <f ca="1">+GETPIVOTDATA("XSR4",'suoirao (2016)'!$A$3,"MA_HT","LUN","MA_QH","ONT")</f>
        <v>0</v>
      </c>
      <c r="AR10" s="50">
        <f ca="1">+GETPIVOTDATA("XSR4",'suoirao (2016)'!$A$3,"MA_HT","LUN","MA_QH","ODT")</f>
        <v>0</v>
      </c>
      <c r="AS10" s="50">
        <f ca="1">+GETPIVOTDATA("XSR4",'suoirao (2016)'!$A$3,"MA_HT","LUN","MA_QH","TSC")</f>
        <v>0</v>
      </c>
      <c r="AT10" s="50">
        <f ca="1">+GETPIVOTDATA("XSR4",'suoirao (2016)'!$A$3,"MA_HT","LUN","MA_QH","DTS")</f>
        <v>0</v>
      </c>
      <c r="AU10" s="50">
        <f ca="1">+GETPIVOTDATA("XSR4",'suoirao (2016)'!$A$3,"MA_HT","LUN","MA_QH","DNG")</f>
        <v>0</v>
      </c>
      <c r="AV10" s="50">
        <f ca="1">+GETPIVOTDATA("XSR4",'suoirao (2016)'!$A$3,"MA_HT","LUN","MA_QH","TON")</f>
        <v>0</v>
      </c>
      <c r="AW10" s="50">
        <f ca="1">+GETPIVOTDATA("XSR4",'suoirao (2016)'!$A$3,"MA_HT","LUN","MA_QH","NTD")</f>
        <v>0</v>
      </c>
      <c r="AX10" s="50">
        <f ca="1">+GETPIVOTDATA("XSR4",'suoirao (2016)'!$A$3,"MA_HT","LUN","MA_QH","SKX")</f>
        <v>0</v>
      </c>
      <c r="AY10" s="50">
        <f ca="1">+GETPIVOTDATA("XSR4",'suoirao (2016)'!$A$3,"MA_HT","LUN","MA_QH","DSH")</f>
        <v>0</v>
      </c>
      <c r="AZ10" s="50">
        <f ca="1">+GETPIVOTDATA("XSR4",'suoirao (2016)'!$A$3,"MA_HT","LUN","MA_QH","DKV")</f>
        <v>0</v>
      </c>
      <c r="BA10" s="88">
        <f ca="1">+GETPIVOTDATA("XSR4",'suoirao (2016)'!$A$3,"MA_HT","LUN","MA_QH","TIN")</f>
        <v>0</v>
      </c>
      <c r="BB10" s="50">
        <f ca="1">+GETPIVOTDATA("XSR4",'suoirao (2016)'!$A$3,"MA_HT","LUN","MA_QH","SON")</f>
        <v>0</v>
      </c>
      <c r="BC10" s="50">
        <f ca="1">+GETPIVOTDATA("XSR4",'suoirao (2016)'!$A$3,"MA_HT","LUN","MA_QH","MNC")</f>
        <v>0</v>
      </c>
      <c r="BD10" s="50">
        <f ca="1">+GETPIVOTDATA("XSR4",'suoirao (2016)'!$A$3,"MA_HT","LUN","MA_QH","PNK")</f>
        <v>0</v>
      </c>
      <c r="BE10" s="80">
        <f ca="1">+GETPIVOTDATA("XSR4",'suoirao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+GETPIVOTDATA("XSR4",'suoirao (2016)'!$A$3,"MA_HT","HNK","MA_QH","LUC")</f>
        <v>0</v>
      </c>
      <c r="H11" s="22">
        <f ca="1">+GETPIVOTDATA("XSR4",'suoirao (2016)'!$A$3,"MA_HT","HNK","MA_QH","LUK")</f>
        <v>0</v>
      </c>
      <c r="I11" s="22">
        <f ca="1">+GETPIVOTDATA("XSR4",'suoirao (2016)'!$A$3,"MA_HT","HNK","MA_QH","LUN")</f>
        <v>0</v>
      </c>
      <c r="J11" s="43" t="e">
        <f ca="1">$D11-$BF11</f>
        <v>#REF!</v>
      </c>
      <c r="K11" s="22">
        <f ca="1">+GETPIVOTDATA("XSR4",'suoirao (2016)'!$A$3,"MA_HT","HNK","MA_QH","CLN")</f>
        <v>0</v>
      </c>
      <c r="L11" s="22">
        <f ca="1">+GETPIVOTDATA("XSR4",'suoirao (2016)'!$A$3,"MA_HT","HNK","MA_QH","RSX")</f>
        <v>0</v>
      </c>
      <c r="M11" s="22">
        <f ca="1">+GETPIVOTDATA("XSR4",'suoirao (2016)'!$A$3,"MA_HT","HNK","MA_QH","RPH")</f>
        <v>0</v>
      </c>
      <c r="N11" s="22">
        <f ca="1">+GETPIVOTDATA("XSR4",'suoirao (2016)'!$A$3,"MA_HT","HNK","MA_QH","RDD")</f>
        <v>0</v>
      </c>
      <c r="O11" s="22">
        <f ca="1">+GETPIVOTDATA("XSR4",'suoirao (2016)'!$A$3,"MA_HT","HNK","MA_QH","NTS")</f>
        <v>0</v>
      </c>
      <c r="P11" s="22">
        <f ca="1">+GETPIVOTDATA("XSR4",'suoirao (2016)'!$A$3,"MA_HT","HNK","MA_QH","LMU")</f>
        <v>0</v>
      </c>
      <c r="Q11" s="22">
        <f ca="1">+GETPIVOTDATA("XSR4",'suoirao (2016)'!$A$3,"MA_HT","HNK","MA_QH","NKH")</f>
        <v>0</v>
      </c>
      <c r="R11" s="42">
        <f ca="1" t="shared" si="2"/>
        <v>0</v>
      </c>
      <c r="S11" s="22">
        <f ca="1">+GETPIVOTDATA("XSR4",'suoirao (2016)'!$A$3,"MA_HT","HNK","MA_QH","CQP")</f>
        <v>0</v>
      </c>
      <c r="T11" s="22">
        <f ca="1">+GETPIVOTDATA("XSR4",'suoirao (2016)'!$A$3,"MA_HT","HNK","MA_QH","CAN")</f>
        <v>0</v>
      </c>
      <c r="U11" s="22">
        <f ca="1">+GETPIVOTDATA("XSR4",'suoirao (2016)'!$A$3,"MA_HT","HNK","MA_QH","SKK")</f>
        <v>0</v>
      </c>
      <c r="V11" s="22">
        <f ca="1">+GETPIVOTDATA("XSR4",'suoirao (2016)'!$A$3,"MA_HT","HNK","MA_QH","SKT")</f>
        <v>0</v>
      </c>
      <c r="W11" s="22">
        <f ca="1">+GETPIVOTDATA("XSR4",'suoirao (2016)'!$A$3,"MA_HT","HNK","MA_QH","SKN")</f>
        <v>0</v>
      </c>
      <c r="X11" s="22">
        <f ca="1">+GETPIVOTDATA("XSR4",'suoirao (2016)'!$A$3,"MA_HT","HNK","MA_QH","TMD")</f>
        <v>0</v>
      </c>
      <c r="Y11" s="22">
        <f ca="1">+GETPIVOTDATA("XSR4",'suoirao (2016)'!$A$3,"MA_HT","HNK","MA_QH","SKC")</f>
        <v>0</v>
      </c>
      <c r="Z11" s="22">
        <f ca="1">+GETPIVOTDATA("XSR4",'suoirao (2016)'!$A$3,"MA_HT","HNK","MA_QH","SKS")</f>
        <v>0</v>
      </c>
      <c r="AA11" s="52">
        <f ca="1" t="shared" si="4"/>
        <v>0</v>
      </c>
      <c r="AB11" s="22">
        <f ca="1">+GETPIVOTDATA("XSR4",'suoirao (2016)'!$A$3,"MA_HT","HNK","MA_QH","DGT")</f>
        <v>0</v>
      </c>
      <c r="AC11" s="22">
        <f ca="1">+GETPIVOTDATA("XSR4",'suoirao (2016)'!$A$3,"MA_HT","HNK","MA_QH","DTL")</f>
        <v>0</v>
      </c>
      <c r="AD11" s="22">
        <f ca="1">+GETPIVOTDATA("XSR4",'suoirao (2016)'!$A$3,"MA_HT","HNK","MA_QH","DNL")</f>
        <v>0</v>
      </c>
      <c r="AE11" s="22">
        <f ca="1">+GETPIVOTDATA("XSR4",'suoirao (2016)'!$A$3,"MA_HT","HNK","MA_QH","DBV")</f>
        <v>0</v>
      </c>
      <c r="AF11" s="22">
        <f ca="1">+GETPIVOTDATA("XSR4",'suoirao (2016)'!$A$3,"MA_HT","HNK","MA_QH","DVH")</f>
        <v>0</v>
      </c>
      <c r="AG11" s="22">
        <f ca="1">+GETPIVOTDATA("XSR4",'suoirao (2016)'!$A$3,"MA_HT","HNK","MA_QH","DYT")</f>
        <v>0</v>
      </c>
      <c r="AH11" s="22">
        <f ca="1">+GETPIVOTDATA("XSR4",'suoirao (2016)'!$A$3,"MA_HT","HNK","MA_QH","DGD")</f>
        <v>0</v>
      </c>
      <c r="AI11" s="22">
        <f ca="1">+GETPIVOTDATA("XSR4",'suoirao (2016)'!$A$3,"MA_HT","HNK","MA_QH","DTT")</f>
        <v>0</v>
      </c>
      <c r="AJ11" s="22">
        <f ca="1">+GETPIVOTDATA("XSR4",'suoirao (2016)'!$A$3,"MA_HT","HNK","MA_QH","NCK")</f>
        <v>0</v>
      </c>
      <c r="AK11" s="22">
        <f ca="1">+GETPIVOTDATA("XSR4",'suoirao (2016)'!$A$3,"MA_HT","HNK","MA_QH","DXH")</f>
        <v>0</v>
      </c>
      <c r="AL11" s="22">
        <f ca="1">+GETPIVOTDATA("XSR4",'suoirao (2016)'!$A$3,"MA_HT","HNK","MA_QH","DCH")</f>
        <v>0</v>
      </c>
      <c r="AM11" s="22">
        <f ca="1">+GETPIVOTDATA("XSR4",'suoirao (2016)'!$A$3,"MA_HT","HNK","MA_QH","DKG")</f>
        <v>0</v>
      </c>
      <c r="AN11" s="22">
        <f ca="1">+GETPIVOTDATA("XSR4",'suoirao (2016)'!$A$3,"MA_HT","HNK","MA_QH","DDT")</f>
        <v>0</v>
      </c>
      <c r="AO11" s="22">
        <f ca="1">+GETPIVOTDATA("XSR4",'suoirao (2016)'!$A$3,"MA_HT","HNK","MA_QH","DDL")</f>
        <v>0</v>
      </c>
      <c r="AP11" s="22">
        <f ca="1">+GETPIVOTDATA("XSR4",'suoirao (2016)'!$A$3,"MA_HT","HNK","MA_QH","DRA")</f>
        <v>0</v>
      </c>
      <c r="AQ11" s="22">
        <f ca="1">+GETPIVOTDATA("XSR4",'suoirao (2016)'!$A$3,"MA_HT","HNK","MA_QH","ONT")</f>
        <v>0</v>
      </c>
      <c r="AR11" s="22">
        <f ca="1">+GETPIVOTDATA("XSR4",'suoirao (2016)'!$A$3,"MA_HT","HNK","MA_QH","ODT")</f>
        <v>0</v>
      </c>
      <c r="AS11" s="22">
        <f ca="1">+GETPIVOTDATA("XSR4",'suoirao (2016)'!$A$3,"MA_HT","HNK","MA_QH","TSC")</f>
        <v>0</v>
      </c>
      <c r="AT11" s="22">
        <f ca="1">+GETPIVOTDATA("XSR4",'suoirao (2016)'!$A$3,"MA_HT","HNK","MA_QH","DTS")</f>
        <v>0</v>
      </c>
      <c r="AU11" s="22">
        <f ca="1">+GETPIVOTDATA("XSR4",'suoirao (2016)'!$A$3,"MA_HT","HNK","MA_QH","DNG")</f>
        <v>0</v>
      </c>
      <c r="AV11" s="22">
        <f ca="1">+GETPIVOTDATA("XSR4",'suoirao (2016)'!$A$3,"MA_HT","HNK","MA_QH","TON")</f>
        <v>0</v>
      </c>
      <c r="AW11" s="22">
        <f ca="1">+GETPIVOTDATA("XSR4",'suoirao (2016)'!$A$3,"MA_HT","HNK","MA_QH","NTD")</f>
        <v>0</v>
      </c>
      <c r="AX11" s="22">
        <f ca="1">+GETPIVOTDATA("XSR4",'suoirao (2016)'!$A$3,"MA_HT","HNK","MA_QH","SKX")</f>
        <v>0</v>
      </c>
      <c r="AY11" s="22">
        <f ca="1">+GETPIVOTDATA("XSR4",'suoirao (2016)'!$A$3,"MA_HT","HNK","MA_QH","DSH")</f>
        <v>0</v>
      </c>
      <c r="AZ11" s="22">
        <f ca="1">+GETPIVOTDATA("XSR4",'suoirao (2016)'!$A$3,"MA_HT","HNK","MA_QH","DKV")</f>
        <v>0</v>
      </c>
      <c r="BA11" s="89">
        <f ca="1">+GETPIVOTDATA("XSR4",'suoirao (2016)'!$A$3,"MA_HT","HNK","MA_QH","TIN")</f>
        <v>0</v>
      </c>
      <c r="BB11" s="50">
        <f ca="1">+GETPIVOTDATA("XSR4",'suoirao (2016)'!$A$3,"MA_HT","HNK","MA_QH","SON")</f>
        <v>0</v>
      </c>
      <c r="BC11" s="50">
        <f ca="1">+GETPIVOTDATA("XSR4",'suoirao (2016)'!$A$3,"MA_HT","HNK","MA_QH","MNC")</f>
        <v>0</v>
      </c>
      <c r="BD11" s="22">
        <f ca="1">+GETPIVOTDATA("XSR4",'suoirao (2016)'!$A$3,"MA_HT","HNK","MA_QH","PNK")</f>
        <v>0</v>
      </c>
      <c r="BE11" s="71">
        <f ca="1">+GETPIVOTDATA("XSR4",'suoirao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+GETPIVOTDATA("XSR4",'suoirao (2016)'!$A$3,"MA_HT","CLN","MA_QH","LUC")</f>
        <v>0</v>
      </c>
      <c r="H12" s="22">
        <f ca="1">+GETPIVOTDATA("XSR4",'suoirao (2016)'!$A$3,"MA_HT","CLN","MA_QH","LUK")</f>
        <v>0</v>
      </c>
      <c r="I12" s="22">
        <f ca="1">+GETPIVOTDATA("XSR4",'suoirao (2016)'!$A$3,"MA_HT","CLN","MA_QH","LUN")</f>
        <v>0</v>
      </c>
      <c r="J12" s="22">
        <f ca="1">+GETPIVOTDATA("XSR4",'suoirao (2016)'!$A$3,"MA_HT","CLN","MA_QH","HNK")</f>
        <v>0</v>
      </c>
      <c r="K12" s="43" t="e">
        <f ca="1">$D12-$BF12</f>
        <v>#REF!</v>
      </c>
      <c r="L12" s="22">
        <f ca="1">+GETPIVOTDATA("XSR4",'suoirao (2016)'!$A$3,"MA_HT","CLN","MA_QH","RSX")</f>
        <v>0</v>
      </c>
      <c r="M12" s="22">
        <f ca="1">+GETPIVOTDATA("XSR4",'suoirao (2016)'!$A$3,"MA_HT","CLN","MA_QH","RPH")</f>
        <v>0</v>
      </c>
      <c r="N12" s="22">
        <f ca="1">+GETPIVOTDATA("XSR4",'suoirao (2016)'!$A$3,"MA_HT","CLN","MA_QH","RDD")</f>
        <v>0</v>
      </c>
      <c r="O12" s="22">
        <f ca="1">+GETPIVOTDATA("XSR4",'suoirao (2016)'!$A$3,"MA_HT","CLN","MA_QH","NTS")</f>
        <v>0</v>
      </c>
      <c r="P12" s="22">
        <f ca="1">+GETPIVOTDATA("XSR4",'suoirao (2016)'!$A$3,"MA_HT","CLN","MA_QH","LMU")</f>
        <v>0</v>
      </c>
      <c r="Q12" s="22">
        <f ca="1">+GETPIVOTDATA("XSR4",'suoirao (2016)'!$A$3,"MA_HT","CLN","MA_QH","NKH")</f>
        <v>0</v>
      </c>
      <c r="R12" s="42">
        <f ca="1" t="shared" si="2"/>
        <v>0</v>
      </c>
      <c r="S12" s="22">
        <f ca="1">+GETPIVOTDATA("XSR4",'suoirao (2016)'!$A$3,"MA_HT","CLN","MA_QH","CQP")</f>
        <v>0</v>
      </c>
      <c r="T12" s="22">
        <f ca="1">+GETPIVOTDATA("XSR4",'suoirao (2016)'!$A$3,"MA_HT","CLN","MA_QH","CAN")</f>
        <v>0</v>
      </c>
      <c r="U12" s="22">
        <f ca="1">+GETPIVOTDATA("XSR4",'suoirao (2016)'!$A$3,"MA_HT","CLN","MA_QH","SKK")</f>
        <v>0</v>
      </c>
      <c r="V12" s="22">
        <f ca="1">+GETPIVOTDATA("XSR4",'suoirao (2016)'!$A$3,"MA_HT","CLN","MA_QH","SKT")</f>
        <v>0</v>
      </c>
      <c r="W12" s="22">
        <f ca="1">+GETPIVOTDATA("XSR4",'suoirao (2016)'!$A$3,"MA_HT","CLN","MA_QH","SKN")</f>
        <v>0</v>
      </c>
      <c r="X12" s="22">
        <f ca="1">+GETPIVOTDATA("XSR4",'suoirao (2016)'!$A$3,"MA_HT","CLN","MA_QH","TMD")</f>
        <v>0</v>
      </c>
      <c r="Y12" s="22">
        <f ca="1">+GETPIVOTDATA("XSR4",'suoirao (2016)'!$A$3,"MA_HT","CLN","MA_QH","SKC")</f>
        <v>0</v>
      </c>
      <c r="Z12" s="22">
        <f ca="1">+GETPIVOTDATA("XSR4",'suoirao (2016)'!$A$3,"MA_HT","CLN","MA_QH","SKS")</f>
        <v>0</v>
      </c>
      <c r="AA12" s="52">
        <f ca="1" t="shared" si="4"/>
        <v>0</v>
      </c>
      <c r="AB12" s="22">
        <f ca="1">+GETPIVOTDATA("XSR4",'suoirao (2016)'!$A$3,"MA_HT","CLN","MA_QH","DGT")</f>
        <v>0</v>
      </c>
      <c r="AC12" s="22">
        <f ca="1">+GETPIVOTDATA("XSR4",'suoirao (2016)'!$A$3,"MA_HT","CLN","MA_QH","DTL")</f>
        <v>0</v>
      </c>
      <c r="AD12" s="22">
        <f ca="1">+GETPIVOTDATA("XSR4",'suoirao (2016)'!$A$3,"MA_HT","CLN","MA_QH","DNL")</f>
        <v>0</v>
      </c>
      <c r="AE12" s="22">
        <f ca="1">+GETPIVOTDATA("XSR4",'suoirao (2016)'!$A$3,"MA_HT","CLN","MA_QH","DBV")</f>
        <v>0</v>
      </c>
      <c r="AF12" s="22">
        <f ca="1">+GETPIVOTDATA("XSR4",'suoirao (2016)'!$A$3,"MA_HT","CLN","MA_QH","DVH")</f>
        <v>0</v>
      </c>
      <c r="AG12" s="22">
        <f ca="1">+GETPIVOTDATA("XSR4",'suoirao (2016)'!$A$3,"MA_HT","CLN","MA_QH","DYT")</f>
        <v>0</v>
      </c>
      <c r="AH12" s="22">
        <f ca="1">+GETPIVOTDATA("XSR4",'suoirao (2016)'!$A$3,"MA_HT","CLN","MA_QH","DGD")</f>
        <v>0</v>
      </c>
      <c r="AI12" s="22">
        <f ca="1">+GETPIVOTDATA("XSR4",'suoirao (2016)'!$A$3,"MA_HT","CLN","MA_QH","DTT")</f>
        <v>0</v>
      </c>
      <c r="AJ12" s="22">
        <f ca="1">+GETPIVOTDATA("XSR4",'suoirao (2016)'!$A$3,"MA_HT","CLN","MA_QH","NCK")</f>
        <v>0</v>
      </c>
      <c r="AK12" s="22">
        <f ca="1">+GETPIVOTDATA("XSR4",'suoirao (2016)'!$A$3,"MA_HT","CLN","MA_QH","DXH")</f>
        <v>0</v>
      </c>
      <c r="AL12" s="22">
        <f ca="1">+GETPIVOTDATA("XSR4",'suoirao (2016)'!$A$3,"MA_HT","CLN","MA_QH","DCH")</f>
        <v>0</v>
      </c>
      <c r="AM12" s="22">
        <f ca="1">+GETPIVOTDATA("XSR4",'suoirao (2016)'!$A$3,"MA_HT","CLN","MA_QH","DKG")</f>
        <v>0</v>
      </c>
      <c r="AN12" s="22">
        <f ca="1">+GETPIVOTDATA("XSR4",'suoirao (2016)'!$A$3,"MA_HT","CLN","MA_QH","DDT")</f>
        <v>0</v>
      </c>
      <c r="AO12" s="22">
        <f ca="1">+GETPIVOTDATA("XSR4",'suoirao (2016)'!$A$3,"MA_HT","CLN","MA_QH","DDL")</f>
        <v>0</v>
      </c>
      <c r="AP12" s="22">
        <f ca="1">+GETPIVOTDATA("XSR4",'suoirao (2016)'!$A$3,"MA_HT","CLN","MA_QH","DRA")</f>
        <v>0</v>
      </c>
      <c r="AQ12" s="22">
        <f ca="1">+GETPIVOTDATA("XSR4",'suoirao (2016)'!$A$3,"MA_HT","CLN","MA_QH","ONT")</f>
        <v>0</v>
      </c>
      <c r="AR12" s="22">
        <f ca="1">+GETPIVOTDATA("XSR4",'suoirao (2016)'!$A$3,"MA_HT","CLN","MA_QH","ODT")</f>
        <v>0</v>
      </c>
      <c r="AS12" s="22">
        <f ca="1">+GETPIVOTDATA("XSR4",'suoirao (2016)'!$A$3,"MA_HT","CLN","MA_QH","TSC")</f>
        <v>0</v>
      </c>
      <c r="AT12" s="22">
        <f ca="1">+GETPIVOTDATA("XSR4",'suoirao (2016)'!$A$3,"MA_HT","CLN","MA_QH","DTS")</f>
        <v>0</v>
      </c>
      <c r="AU12" s="22">
        <f ca="1">+GETPIVOTDATA("XSR4",'suoirao (2016)'!$A$3,"MA_HT","CLN","MA_QH","DNG")</f>
        <v>0</v>
      </c>
      <c r="AV12" s="22">
        <f ca="1">+GETPIVOTDATA("XSR4",'suoirao (2016)'!$A$3,"MA_HT","CLN","MA_QH","TON")</f>
        <v>0</v>
      </c>
      <c r="AW12" s="22">
        <f ca="1">+GETPIVOTDATA("XSR4",'suoirao (2016)'!$A$3,"MA_HT","CLN","MA_QH","NTD")</f>
        <v>0</v>
      </c>
      <c r="AX12" s="22">
        <f ca="1">+GETPIVOTDATA("XSR4",'suoirao (2016)'!$A$3,"MA_HT","CLN","MA_QH","SKX")</f>
        <v>0</v>
      </c>
      <c r="AY12" s="22">
        <f ca="1">+GETPIVOTDATA("XSR4",'suoirao (2016)'!$A$3,"MA_HT","CLN","MA_QH","DSH")</f>
        <v>0</v>
      </c>
      <c r="AZ12" s="22">
        <f ca="1">+GETPIVOTDATA("XSR4",'suoirao (2016)'!$A$3,"MA_HT","CLN","MA_QH","DKV")</f>
        <v>0</v>
      </c>
      <c r="BA12" s="89">
        <f ca="1">+GETPIVOTDATA("XSR4",'suoirao (2016)'!$A$3,"MA_HT","CLN","MA_QH","TIN")</f>
        <v>0</v>
      </c>
      <c r="BB12" s="50">
        <f ca="1">+GETPIVOTDATA("XSR4",'suoirao (2016)'!$A$3,"MA_HT","CLN","MA_QH","SON")</f>
        <v>0</v>
      </c>
      <c r="BC12" s="50">
        <f ca="1">+GETPIVOTDATA("XSR4",'suoirao (2016)'!$A$3,"MA_HT","CLN","MA_QH","MNC")</f>
        <v>0</v>
      </c>
      <c r="BD12" s="22">
        <f ca="1">+GETPIVOTDATA("XSR4",'suoirao (2016)'!$A$3,"MA_HT","CLN","MA_QH","PNK")</f>
        <v>0</v>
      </c>
      <c r="BE12" s="71">
        <f ca="1">+GETPIVOTDATA("XSR4",'suoirao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+GETPIVOTDATA("XSR4",'suoirao (2016)'!$A$3,"MA_HT","RSX","MA_QH","LUC")</f>
        <v>0</v>
      </c>
      <c r="H13" s="22">
        <f ca="1">+GETPIVOTDATA("XSR4",'suoirao (2016)'!$A$3,"MA_HT","RSX","MA_QH","LUK")</f>
        <v>0</v>
      </c>
      <c r="I13" s="22">
        <f ca="1">+GETPIVOTDATA("XSR4",'suoirao (2016)'!$A$3,"MA_HT","RSX","MA_QH","LUN")</f>
        <v>0</v>
      </c>
      <c r="J13" s="22">
        <f ca="1">+GETPIVOTDATA("XSR4",'suoirao (2016)'!$A$3,"MA_HT","RSX","MA_QH","HNK")</f>
        <v>0</v>
      </c>
      <c r="K13" s="22">
        <f ca="1">+GETPIVOTDATA("XSR4",'suoirao (2016)'!$A$3,"MA_HT","RSX","MA_QH","CLN")</f>
        <v>0</v>
      </c>
      <c r="L13" s="43" t="e">
        <f ca="1">$D13-$BF13</f>
        <v>#REF!</v>
      </c>
      <c r="M13" s="22">
        <f ca="1">+GETPIVOTDATA("XSR4",'suoirao (2016)'!$A$3,"MA_HT","RSX","MA_QH","RPH")</f>
        <v>0</v>
      </c>
      <c r="N13" s="22">
        <f ca="1">+GETPIVOTDATA("XSR4",'suoirao (2016)'!$A$3,"MA_HT","RSX","MA_QH","RDD")</f>
        <v>0</v>
      </c>
      <c r="O13" s="22">
        <f ca="1">+GETPIVOTDATA("XSR4",'suoirao (2016)'!$A$3,"MA_HT","RSX","MA_QH","NTS")</f>
        <v>0</v>
      </c>
      <c r="P13" s="22">
        <f ca="1">+GETPIVOTDATA("XSR4",'suoirao (2016)'!$A$3,"MA_HT","RSX","MA_QH","LMU")</f>
        <v>0</v>
      </c>
      <c r="Q13" s="22">
        <f ca="1">+GETPIVOTDATA("XSR4",'suoirao (2016)'!$A$3,"MA_HT","RSX","MA_QH","NKH")</f>
        <v>0</v>
      </c>
      <c r="R13" s="42">
        <f ca="1" t="shared" si="2"/>
        <v>0</v>
      </c>
      <c r="S13" s="22">
        <f ca="1">+GETPIVOTDATA("XSR4",'suoirao (2016)'!$A$3,"MA_HT","RSX","MA_QH","CQP")</f>
        <v>0</v>
      </c>
      <c r="T13" s="22">
        <f ca="1">+GETPIVOTDATA("XSR4",'suoirao (2016)'!$A$3,"MA_HT","RSX","MA_QH","CAN")</f>
        <v>0</v>
      </c>
      <c r="U13" s="22">
        <f ca="1">+GETPIVOTDATA("XSR4",'suoirao (2016)'!$A$3,"MA_HT","RSX","MA_QH","SKK")</f>
        <v>0</v>
      </c>
      <c r="V13" s="22">
        <f ca="1">+GETPIVOTDATA("XSR4",'suoirao (2016)'!$A$3,"MA_HT","RSX","MA_QH","SKT")</f>
        <v>0</v>
      </c>
      <c r="W13" s="22">
        <f ca="1">+GETPIVOTDATA("XSR4",'suoirao (2016)'!$A$3,"MA_HT","RSX","MA_QH","SKN")</f>
        <v>0</v>
      </c>
      <c r="X13" s="22">
        <f ca="1">+GETPIVOTDATA("XSR4",'suoirao (2016)'!$A$3,"MA_HT","RSX","MA_QH","TMD")</f>
        <v>0</v>
      </c>
      <c r="Y13" s="22">
        <f ca="1">+GETPIVOTDATA("XSR4",'suoirao (2016)'!$A$3,"MA_HT","RSX","MA_QH","SKC")</f>
        <v>0</v>
      </c>
      <c r="Z13" s="22">
        <f ca="1">+GETPIVOTDATA("XSR4",'suoirao (2016)'!$A$3,"MA_HT","RSX","MA_QH","SKS")</f>
        <v>0</v>
      </c>
      <c r="AA13" s="52">
        <f ca="1" t="shared" si="4"/>
        <v>0</v>
      </c>
      <c r="AB13" s="22">
        <f ca="1">+GETPIVOTDATA("XSR4",'suoirao (2016)'!$A$3,"MA_HT","RSX","MA_QH","DGT")</f>
        <v>0</v>
      </c>
      <c r="AC13" s="22">
        <f ca="1">+GETPIVOTDATA("XSR4",'suoirao (2016)'!$A$3,"MA_HT","RSX","MA_QH","DTL")</f>
        <v>0</v>
      </c>
      <c r="AD13" s="22">
        <f ca="1">+GETPIVOTDATA("XSR4",'suoirao (2016)'!$A$3,"MA_HT","RSX","MA_QH","DNL")</f>
        <v>0</v>
      </c>
      <c r="AE13" s="22">
        <f ca="1">+GETPIVOTDATA("XSR4",'suoirao (2016)'!$A$3,"MA_HT","RSX","MA_QH","DBV")</f>
        <v>0</v>
      </c>
      <c r="AF13" s="22">
        <f ca="1">+GETPIVOTDATA("XSR4",'suoirao (2016)'!$A$3,"MA_HT","RSX","MA_QH","DVH")</f>
        <v>0</v>
      </c>
      <c r="AG13" s="22">
        <f ca="1">+GETPIVOTDATA("XSR4",'suoirao (2016)'!$A$3,"MA_HT","RSX","MA_QH","DYT")</f>
        <v>0</v>
      </c>
      <c r="AH13" s="22">
        <f ca="1">+GETPIVOTDATA("XSR4",'suoirao (2016)'!$A$3,"MA_HT","RSX","MA_QH","DGD")</f>
        <v>0</v>
      </c>
      <c r="AI13" s="22">
        <f ca="1">+GETPIVOTDATA("XSR4",'suoirao (2016)'!$A$3,"MA_HT","RSX","MA_QH","DTT")</f>
        <v>0</v>
      </c>
      <c r="AJ13" s="22">
        <f ca="1">+GETPIVOTDATA("XSR4",'suoirao (2016)'!$A$3,"MA_HT","RSX","MA_QH","NCK")</f>
        <v>0</v>
      </c>
      <c r="AK13" s="22">
        <f ca="1">+GETPIVOTDATA("XSR4",'suoirao (2016)'!$A$3,"MA_HT","RSX","MA_QH","DXH")</f>
        <v>0</v>
      </c>
      <c r="AL13" s="22">
        <f ca="1">+GETPIVOTDATA("XSR4",'suoirao (2016)'!$A$3,"MA_HT","RSX","MA_QH","DCH")</f>
        <v>0</v>
      </c>
      <c r="AM13" s="22">
        <f ca="1">+GETPIVOTDATA("XSR4",'suoirao (2016)'!$A$3,"MA_HT","RSX","MA_QH","DKG")</f>
        <v>0</v>
      </c>
      <c r="AN13" s="22">
        <f ca="1">+GETPIVOTDATA("XSR4",'suoirao (2016)'!$A$3,"MA_HT","RSX","MA_QH","DDT")</f>
        <v>0</v>
      </c>
      <c r="AO13" s="22">
        <f ca="1">+GETPIVOTDATA("XSR4",'suoirao (2016)'!$A$3,"MA_HT","RSX","MA_QH","DDL")</f>
        <v>0</v>
      </c>
      <c r="AP13" s="22">
        <f ca="1">+GETPIVOTDATA("XSR4",'suoirao (2016)'!$A$3,"MA_HT","RSX","MA_QH","DRA")</f>
        <v>0</v>
      </c>
      <c r="AQ13" s="22">
        <f ca="1">+GETPIVOTDATA("XSR4",'suoirao (2016)'!$A$3,"MA_HT","RSX","MA_QH","ONT")</f>
        <v>0</v>
      </c>
      <c r="AR13" s="22">
        <f ca="1">+GETPIVOTDATA("XSR4",'suoirao (2016)'!$A$3,"MA_HT","RSX","MA_QH","ODT")</f>
        <v>0</v>
      </c>
      <c r="AS13" s="22">
        <f ca="1">+GETPIVOTDATA("XSR4",'suoirao (2016)'!$A$3,"MA_HT","RSX","MA_QH","TSC")</f>
        <v>0</v>
      </c>
      <c r="AT13" s="22">
        <f ca="1">+GETPIVOTDATA("XSR4",'suoirao (2016)'!$A$3,"MA_HT","RSX","MA_QH","DTS")</f>
        <v>0</v>
      </c>
      <c r="AU13" s="22">
        <f ca="1">+GETPIVOTDATA("XSR4",'suoirao (2016)'!$A$3,"MA_HT","RSX","MA_QH","DNG")</f>
        <v>0</v>
      </c>
      <c r="AV13" s="22">
        <f ca="1">+GETPIVOTDATA("XSR4",'suoirao (2016)'!$A$3,"MA_HT","RSX","MA_QH","TON")</f>
        <v>0</v>
      </c>
      <c r="AW13" s="22">
        <f ca="1">+GETPIVOTDATA("XSR4",'suoirao (2016)'!$A$3,"MA_HT","RSX","MA_QH","NTD")</f>
        <v>0</v>
      </c>
      <c r="AX13" s="22">
        <f ca="1">+GETPIVOTDATA("XSR4",'suoirao (2016)'!$A$3,"MA_HT","RSX","MA_QH","SKX")</f>
        <v>0</v>
      </c>
      <c r="AY13" s="22">
        <f ca="1">+GETPIVOTDATA("XSR4",'suoirao (2016)'!$A$3,"MA_HT","RSX","MA_QH","DSH")</f>
        <v>0</v>
      </c>
      <c r="AZ13" s="22">
        <f ca="1">+GETPIVOTDATA("XSR4",'suoirao (2016)'!$A$3,"MA_HT","RSX","MA_QH","DKV")</f>
        <v>0</v>
      </c>
      <c r="BA13" s="89">
        <f ca="1">+GETPIVOTDATA("XSR4",'suoirao (2016)'!$A$3,"MA_HT","RSX","MA_QH","TIN")</f>
        <v>0</v>
      </c>
      <c r="BB13" s="50">
        <f ca="1">+GETPIVOTDATA("XSR4",'suoirao (2016)'!$A$3,"MA_HT","RSX","MA_QH","SON")</f>
        <v>0</v>
      </c>
      <c r="BC13" s="50">
        <f ca="1">+GETPIVOTDATA("XSR4",'suoirao (2016)'!$A$3,"MA_HT","RSX","MA_QH","MNC")</f>
        <v>0</v>
      </c>
      <c r="BD13" s="22">
        <f ca="1">+GETPIVOTDATA("XSR4",'suoirao (2016)'!$A$3,"MA_HT","RSX","MA_QH","PNK")</f>
        <v>0</v>
      </c>
      <c r="BE13" s="71">
        <f ca="1">+GETPIVOTDATA("XSR4",'suoirao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+GETPIVOTDATA("XSR4",'suoirao (2016)'!$A$3,"MA_HT","RPH","MA_QH","LUC")</f>
        <v>0</v>
      </c>
      <c r="H14" s="22">
        <f ca="1">+GETPIVOTDATA("XSR4",'suoirao (2016)'!$A$3,"MA_HT","RPH","MA_QH","LUK")</f>
        <v>0</v>
      </c>
      <c r="I14" s="22">
        <f ca="1">+GETPIVOTDATA("XSR4",'suoirao (2016)'!$A$3,"MA_HT","RPH","MA_QH","LUN")</f>
        <v>0</v>
      </c>
      <c r="J14" s="22">
        <f ca="1">+GETPIVOTDATA("XSR4",'suoirao (2016)'!$A$3,"MA_HT","RPH","MA_QH","HNK")</f>
        <v>0</v>
      </c>
      <c r="K14" s="22">
        <f ca="1">+GETPIVOTDATA("XSR4",'suoirao (2016)'!$A$3,"MA_HT","RPH","MA_QH","CLN")</f>
        <v>0</v>
      </c>
      <c r="L14" s="22">
        <f ca="1">+GETPIVOTDATA("XSR4",'suoirao (2016)'!$A$3,"MA_HT","RPH","MA_QH","RSX")</f>
        <v>0</v>
      </c>
      <c r="M14" s="43" t="e">
        <f ca="1">$D14-$BF14</f>
        <v>#REF!</v>
      </c>
      <c r="N14" s="22">
        <f ca="1">+GETPIVOTDATA("XSR4",'suoirao (2016)'!$A$3,"MA_HT","RPH","MA_QH","RDD")</f>
        <v>0</v>
      </c>
      <c r="O14" s="22">
        <f ca="1">+GETPIVOTDATA("XSR4",'suoirao (2016)'!$A$3,"MA_HT","RPH","MA_QH","NTS")</f>
        <v>0</v>
      </c>
      <c r="P14" s="22">
        <f ca="1">+GETPIVOTDATA("XSR4",'suoirao (2016)'!$A$3,"MA_HT","RPH","MA_QH","LMU")</f>
        <v>0</v>
      </c>
      <c r="Q14" s="22">
        <f ca="1">+GETPIVOTDATA("XSR4",'suoirao (2016)'!$A$3,"MA_HT","RPH","MA_QH","NKH")</f>
        <v>0</v>
      </c>
      <c r="R14" s="42">
        <f ca="1" t="shared" si="2"/>
        <v>0</v>
      </c>
      <c r="S14" s="22">
        <f ca="1">+GETPIVOTDATA("XSR4",'suoirao (2016)'!$A$3,"MA_HT","RPH","MA_QH","CQP")</f>
        <v>0</v>
      </c>
      <c r="T14" s="22">
        <f ca="1">+GETPIVOTDATA("XSR4",'suoirao (2016)'!$A$3,"MA_HT","RPH","MA_QH","CAN")</f>
        <v>0</v>
      </c>
      <c r="U14" s="22">
        <f ca="1">+GETPIVOTDATA("XSR4",'suoirao (2016)'!$A$3,"MA_HT","RPH","MA_QH","SKK")</f>
        <v>0</v>
      </c>
      <c r="V14" s="22">
        <f ca="1">+GETPIVOTDATA("XSR4",'suoirao (2016)'!$A$3,"MA_HT","RPH","MA_QH","SKT")</f>
        <v>0</v>
      </c>
      <c r="W14" s="22">
        <f ca="1">+GETPIVOTDATA("XSR4",'suoirao (2016)'!$A$3,"MA_HT","RPH","MA_QH","SKN")</f>
        <v>0</v>
      </c>
      <c r="X14" s="22">
        <f ca="1">+GETPIVOTDATA("XSR4",'suoirao (2016)'!$A$3,"MA_HT","RPH","MA_QH","TMD")</f>
        <v>0</v>
      </c>
      <c r="Y14" s="22">
        <f ca="1">+GETPIVOTDATA("XSR4",'suoirao (2016)'!$A$3,"MA_HT","RPH","MA_QH","SKC")</f>
        <v>0</v>
      </c>
      <c r="Z14" s="22">
        <f ca="1">+GETPIVOTDATA("XSR4",'suoirao (2016)'!$A$3,"MA_HT","RPH","MA_QH","SKS")</f>
        <v>0</v>
      </c>
      <c r="AA14" s="52">
        <f ca="1" t="shared" si="4"/>
        <v>0</v>
      </c>
      <c r="AB14" s="22">
        <f ca="1">+GETPIVOTDATA("XSR4",'suoirao (2016)'!$A$3,"MA_HT","RPH","MA_QH","DGT")</f>
        <v>0</v>
      </c>
      <c r="AC14" s="22">
        <f ca="1">+GETPIVOTDATA("XSR4",'suoirao (2016)'!$A$3,"MA_HT","RPH","MA_QH","DTL")</f>
        <v>0</v>
      </c>
      <c r="AD14" s="22">
        <f ca="1">+GETPIVOTDATA("XSR4",'suoirao (2016)'!$A$3,"MA_HT","RPH","MA_QH","DNL")</f>
        <v>0</v>
      </c>
      <c r="AE14" s="22">
        <f ca="1">+GETPIVOTDATA("XSR4",'suoirao (2016)'!$A$3,"MA_HT","RPH","MA_QH","DBV")</f>
        <v>0</v>
      </c>
      <c r="AF14" s="22">
        <f ca="1">+GETPIVOTDATA("XSR4",'suoirao (2016)'!$A$3,"MA_HT","RPH","MA_QH","DVH")</f>
        <v>0</v>
      </c>
      <c r="AG14" s="22">
        <f ca="1">+GETPIVOTDATA("XSR4",'suoirao (2016)'!$A$3,"MA_HT","RPH","MA_QH","DYT")</f>
        <v>0</v>
      </c>
      <c r="AH14" s="22">
        <f ca="1">+GETPIVOTDATA("XSR4",'suoirao (2016)'!$A$3,"MA_HT","RPH","MA_QH","DGD")</f>
        <v>0</v>
      </c>
      <c r="AI14" s="22">
        <f ca="1">+GETPIVOTDATA("XSR4",'suoirao (2016)'!$A$3,"MA_HT","RPH","MA_QH","DTT")</f>
        <v>0</v>
      </c>
      <c r="AJ14" s="22">
        <f ca="1">+GETPIVOTDATA("XSR4",'suoirao (2016)'!$A$3,"MA_HT","RPH","MA_QH","NCK")</f>
        <v>0</v>
      </c>
      <c r="AK14" s="22">
        <f ca="1">+GETPIVOTDATA("XSR4",'suoirao (2016)'!$A$3,"MA_HT","RPH","MA_QH","DXH")</f>
        <v>0</v>
      </c>
      <c r="AL14" s="22">
        <f ca="1">+GETPIVOTDATA("XSR4",'suoirao (2016)'!$A$3,"MA_HT","RPH","MA_QH","DCH")</f>
        <v>0</v>
      </c>
      <c r="AM14" s="22">
        <f ca="1">+GETPIVOTDATA("XSR4",'suoirao (2016)'!$A$3,"MA_HT","RPH","MA_QH","DKG")</f>
        <v>0</v>
      </c>
      <c r="AN14" s="22">
        <f ca="1">+GETPIVOTDATA("XSR4",'suoirao (2016)'!$A$3,"MA_HT","RPH","MA_QH","DDT")</f>
        <v>0</v>
      </c>
      <c r="AO14" s="22">
        <f ca="1">+GETPIVOTDATA("XSR4",'suoirao (2016)'!$A$3,"MA_HT","RPH","MA_QH","DDL")</f>
        <v>0</v>
      </c>
      <c r="AP14" s="22">
        <f ca="1">+GETPIVOTDATA("XSR4",'suoirao (2016)'!$A$3,"MA_HT","RPH","MA_QH","DRA")</f>
        <v>0</v>
      </c>
      <c r="AQ14" s="22">
        <f ca="1">+GETPIVOTDATA("XSR4",'suoirao (2016)'!$A$3,"MA_HT","RPH","MA_QH","ONT")</f>
        <v>0</v>
      </c>
      <c r="AR14" s="22">
        <f ca="1">+GETPIVOTDATA("XSR4",'suoirao (2016)'!$A$3,"MA_HT","RPH","MA_QH","ODT")</f>
        <v>0</v>
      </c>
      <c r="AS14" s="22">
        <f ca="1">+GETPIVOTDATA("XSR4",'suoirao (2016)'!$A$3,"MA_HT","RPH","MA_QH","TSC")</f>
        <v>0</v>
      </c>
      <c r="AT14" s="22">
        <f ca="1">+GETPIVOTDATA("XSR4",'suoirao (2016)'!$A$3,"MA_HT","RPH","MA_QH","DTS")</f>
        <v>0</v>
      </c>
      <c r="AU14" s="22">
        <f ca="1">+GETPIVOTDATA("XSR4",'suoirao (2016)'!$A$3,"MA_HT","RPH","MA_QH","DNG")</f>
        <v>0</v>
      </c>
      <c r="AV14" s="22">
        <f ca="1">+GETPIVOTDATA("XSR4",'suoirao (2016)'!$A$3,"MA_HT","RPH","MA_QH","TON")</f>
        <v>0</v>
      </c>
      <c r="AW14" s="22">
        <f ca="1">+GETPIVOTDATA("XSR4",'suoirao (2016)'!$A$3,"MA_HT","RPH","MA_QH","NTD")</f>
        <v>0</v>
      </c>
      <c r="AX14" s="22">
        <f ca="1">+GETPIVOTDATA("XSR4",'suoirao (2016)'!$A$3,"MA_HT","RPH","MA_QH","SKX")</f>
        <v>0</v>
      </c>
      <c r="AY14" s="22">
        <f ca="1">+GETPIVOTDATA("XSR4",'suoirao (2016)'!$A$3,"MA_HT","RPH","MA_QH","DSH")</f>
        <v>0</v>
      </c>
      <c r="AZ14" s="22">
        <f ca="1">+GETPIVOTDATA("XSR4",'suoirao (2016)'!$A$3,"MA_HT","RPH","MA_QH","DKV")</f>
        <v>0</v>
      </c>
      <c r="BA14" s="89">
        <f ca="1">+GETPIVOTDATA("XSR4",'suoirao (2016)'!$A$3,"MA_HT","RPH","MA_QH","TIN")</f>
        <v>0</v>
      </c>
      <c r="BB14" s="50">
        <f ca="1">+GETPIVOTDATA("XSR4",'suoirao (2016)'!$A$3,"MA_HT","RPH","MA_QH","SON")</f>
        <v>0</v>
      </c>
      <c r="BC14" s="50">
        <f ca="1">+GETPIVOTDATA("XSR4",'suoirao (2016)'!$A$3,"MA_HT","RPH","MA_QH","MNC")</f>
        <v>0</v>
      </c>
      <c r="BD14" s="22">
        <f ca="1">+GETPIVOTDATA("XSR4",'suoirao (2016)'!$A$3,"MA_HT","RPH","MA_QH","PNK")</f>
        <v>0</v>
      </c>
      <c r="BE14" s="71">
        <f ca="1">+GETPIVOTDATA("XSR4",'suoirao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+GETPIVOTDATA("XSR4",'suoirao (2016)'!$A$3,"MA_HT","RDD","MA_QH","LUC")</f>
        <v>0</v>
      </c>
      <c r="H15" s="22">
        <f ca="1">+GETPIVOTDATA("XSR4",'suoirao (2016)'!$A$3,"MA_HT","RDD","MA_QH","LUK")</f>
        <v>0</v>
      </c>
      <c r="I15" s="22">
        <f ca="1">+GETPIVOTDATA("XSR4",'suoirao (2016)'!$A$3,"MA_HT","RDD","MA_QH","LUN")</f>
        <v>0</v>
      </c>
      <c r="J15" s="22">
        <f ca="1">+GETPIVOTDATA("XSR4",'suoirao (2016)'!$A$3,"MA_HT","RDD","MA_QH","HNK")</f>
        <v>0</v>
      </c>
      <c r="K15" s="22">
        <f ca="1">+GETPIVOTDATA("XSR4",'suoirao (2016)'!$A$3,"MA_HT","RDD","MA_QH","CLN")</f>
        <v>0</v>
      </c>
      <c r="L15" s="22">
        <f ca="1">+GETPIVOTDATA("XSR4",'suoirao (2016)'!$A$3,"MA_HT","RDD","MA_QH","RSX")</f>
        <v>0</v>
      </c>
      <c r="M15" s="22">
        <f ca="1">+GETPIVOTDATA("XSR4",'suoirao (2016)'!$A$3,"MA_HT","RDD","MA_QH","RPH")</f>
        <v>0</v>
      </c>
      <c r="N15" s="43" t="e">
        <f ca="1">$D15-$BF15</f>
        <v>#REF!</v>
      </c>
      <c r="O15" s="22">
        <f ca="1">+GETPIVOTDATA("XSR4",'suoirao (2016)'!$A$3,"MA_HT","RDD","MA_QH","NTS")</f>
        <v>0</v>
      </c>
      <c r="P15" s="22">
        <f ca="1">+GETPIVOTDATA("XSR4",'suoirao (2016)'!$A$3,"MA_HT","RDD","MA_QH","LMU")</f>
        <v>0</v>
      </c>
      <c r="Q15" s="22">
        <f ca="1">+GETPIVOTDATA("XSR4",'suoirao (2016)'!$A$3,"MA_HT","RDD","MA_QH","NKH")</f>
        <v>0</v>
      </c>
      <c r="R15" s="42">
        <f ca="1" t="shared" si="2"/>
        <v>0</v>
      </c>
      <c r="S15" s="22">
        <f ca="1">+GETPIVOTDATA("XSR4",'suoirao (2016)'!$A$3,"MA_HT","RDD","MA_QH","CQP")</f>
        <v>0</v>
      </c>
      <c r="T15" s="22">
        <f ca="1">+GETPIVOTDATA("XSR4",'suoirao (2016)'!$A$3,"MA_HT","RDD","MA_QH","CAN")</f>
        <v>0</v>
      </c>
      <c r="U15" s="22">
        <f ca="1">+GETPIVOTDATA("XSR4",'suoirao (2016)'!$A$3,"MA_HT","RDD","MA_QH","SKK")</f>
        <v>0</v>
      </c>
      <c r="V15" s="22">
        <f ca="1">+GETPIVOTDATA("XSR4",'suoirao (2016)'!$A$3,"MA_HT","RDD","MA_QH","SKT")</f>
        <v>0</v>
      </c>
      <c r="W15" s="22">
        <f ca="1">+GETPIVOTDATA("XSR4",'suoirao (2016)'!$A$3,"MA_HT","RDD","MA_QH","SKN")</f>
        <v>0</v>
      </c>
      <c r="X15" s="22">
        <f ca="1">+GETPIVOTDATA("XSR4",'suoirao (2016)'!$A$3,"MA_HT","RDD","MA_QH","TMD")</f>
        <v>0</v>
      </c>
      <c r="Y15" s="22">
        <f ca="1">+GETPIVOTDATA("XSR4",'suoirao (2016)'!$A$3,"MA_HT","RDD","MA_QH","SKC")</f>
        <v>0</v>
      </c>
      <c r="Z15" s="22">
        <f ca="1">+GETPIVOTDATA("XSR4",'suoirao (2016)'!$A$3,"MA_HT","RDD","MA_QH","SKS")</f>
        <v>0</v>
      </c>
      <c r="AA15" s="52">
        <f ca="1" t="shared" si="4"/>
        <v>0</v>
      </c>
      <c r="AB15" s="22">
        <f ca="1">+GETPIVOTDATA("XSR4",'suoirao (2016)'!$A$3,"MA_HT","RDD","MA_QH","DGT")</f>
        <v>0</v>
      </c>
      <c r="AC15" s="22">
        <f ca="1">+GETPIVOTDATA("XSR4",'suoirao (2016)'!$A$3,"MA_HT","RDD","MA_QH","DTL")</f>
        <v>0</v>
      </c>
      <c r="AD15" s="22">
        <f ca="1">+GETPIVOTDATA("XSR4",'suoirao (2016)'!$A$3,"MA_HT","RDD","MA_QH","DNL")</f>
        <v>0</v>
      </c>
      <c r="AE15" s="22">
        <f ca="1">+GETPIVOTDATA("XSR4",'suoirao (2016)'!$A$3,"MA_HT","RDD","MA_QH","DBV")</f>
        <v>0</v>
      </c>
      <c r="AF15" s="22">
        <f ca="1">+GETPIVOTDATA("XSR4",'suoirao (2016)'!$A$3,"MA_HT","RDD","MA_QH","DVH")</f>
        <v>0</v>
      </c>
      <c r="AG15" s="22">
        <f ca="1">+GETPIVOTDATA("XSR4",'suoirao (2016)'!$A$3,"MA_HT","RDD","MA_QH","DYT")</f>
        <v>0</v>
      </c>
      <c r="AH15" s="22">
        <f ca="1">+GETPIVOTDATA("XSR4",'suoirao (2016)'!$A$3,"MA_HT","RDD","MA_QH","DGD")</f>
        <v>0</v>
      </c>
      <c r="AI15" s="22">
        <f ca="1">+GETPIVOTDATA("XSR4",'suoirao (2016)'!$A$3,"MA_HT","RDD","MA_QH","DTT")</f>
        <v>0</v>
      </c>
      <c r="AJ15" s="22">
        <f ca="1">+GETPIVOTDATA("XSR4",'suoirao (2016)'!$A$3,"MA_HT","RDD","MA_QH","NCK")</f>
        <v>0</v>
      </c>
      <c r="AK15" s="22">
        <f ca="1">+GETPIVOTDATA("XSR4",'suoirao (2016)'!$A$3,"MA_HT","RDD","MA_QH","DXH")</f>
        <v>0</v>
      </c>
      <c r="AL15" s="22">
        <f ca="1">+GETPIVOTDATA("XSR4",'suoirao (2016)'!$A$3,"MA_HT","RDD","MA_QH","DCH")</f>
        <v>0</v>
      </c>
      <c r="AM15" s="22">
        <f ca="1">+GETPIVOTDATA("XSR4",'suoirao (2016)'!$A$3,"MA_HT","RDD","MA_QH","DKG")</f>
        <v>0</v>
      </c>
      <c r="AN15" s="22">
        <f ca="1">+GETPIVOTDATA("XSR4",'suoirao (2016)'!$A$3,"MA_HT","RDD","MA_QH","DDT")</f>
        <v>0</v>
      </c>
      <c r="AO15" s="22">
        <f ca="1">+GETPIVOTDATA("XSR4",'suoirao (2016)'!$A$3,"MA_HT","RDD","MA_QH","DDL")</f>
        <v>0</v>
      </c>
      <c r="AP15" s="22">
        <f ca="1">+GETPIVOTDATA("XSR4",'suoirao (2016)'!$A$3,"MA_HT","RDD","MA_QH","DRA")</f>
        <v>0</v>
      </c>
      <c r="AQ15" s="22">
        <f ca="1">+GETPIVOTDATA("XSR4",'suoirao (2016)'!$A$3,"MA_HT","RDD","MA_QH","ONT")</f>
        <v>0</v>
      </c>
      <c r="AR15" s="22">
        <f ca="1">+GETPIVOTDATA("XSR4",'suoirao (2016)'!$A$3,"MA_HT","RDD","MA_QH","ODT")</f>
        <v>0</v>
      </c>
      <c r="AS15" s="22">
        <f ca="1">+GETPIVOTDATA("XSR4",'suoirao (2016)'!$A$3,"MA_HT","RDD","MA_QH","TSC")</f>
        <v>0</v>
      </c>
      <c r="AT15" s="22">
        <f ca="1">+GETPIVOTDATA("XSR4",'suoirao (2016)'!$A$3,"MA_HT","RDD","MA_QH","DTS")</f>
        <v>0</v>
      </c>
      <c r="AU15" s="22">
        <f ca="1">+GETPIVOTDATA("XSR4",'suoirao (2016)'!$A$3,"MA_HT","RDD","MA_QH","DNG")</f>
        <v>0</v>
      </c>
      <c r="AV15" s="22">
        <f ca="1">+GETPIVOTDATA("XSR4",'suoirao (2016)'!$A$3,"MA_HT","RDD","MA_QH","TON")</f>
        <v>0</v>
      </c>
      <c r="AW15" s="22">
        <f ca="1">+GETPIVOTDATA("XSR4",'suoirao (2016)'!$A$3,"MA_HT","RDD","MA_QH","NTD")</f>
        <v>0</v>
      </c>
      <c r="AX15" s="22">
        <f ca="1">+GETPIVOTDATA("XSR4",'suoirao (2016)'!$A$3,"MA_HT","RDD","MA_QH","SKX")</f>
        <v>0</v>
      </c>
      <c r="AY15" s="22">
        <f ca="1">+GETPIVOTDATA("XSR4",'suoirao (2016)'!$A$3,"MA_HT","RDD","MA_QH","DSH")</f>
        <v>0</v>
      </c>
      <c r="AZ15" s="22">
        <f ca="1">+GETPIVOTDATA("XSR4",'suoirao (2016)'!$A$3,"MA_HT","RDD","MA_QH","DKV")</f>
        <v>0</v>
      </c>
      <c r="BA15" s="89">
        <f ca="1">+GETPIVOTDATA("XSR4",'suoirao (2016)'!$A$3,"MA_HT","RDD","MA_QH","TIN")</f>
        <v>0</v>
      </c>
      <c r="BB15" s="50">
        <f ca="1">+GETPIVOTDATA("XSR4",'suoirao (2016)'!$A$3,"MA_HT","RDD","MA_QH","SON")</f>
        <v>0</v>
      </c>
      <c r="BC15" s="50">
        <f ca="1">+GETPIVOTDATA("XSR4",'suoirao (2016)'!$A$3,"MA_HT","RDD","MA_QH","MNC")</f>
        <v>0</v>
      </c>
      <c r="BD15" s="22">
        <f ca="1">+GETPIVOTDATA("XSR4",'suoirao (2016)'!$A$3,"MA_HT","RDD","MA_QH","PNK")</f>
        <v>0</v>
      </c>
      <c r="BE15" s="71">
        <f ca="1">+GETPIVOTDATA("XSR4",'suoirao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+GETPIVOTDATA("XSR4",'suoirao (2016)'!$A$3,"MA_HT","NTS","MA_QH","LUC")</f>
        <v>0</v>
      </c>
      <c r="H16" s="22">
        <f ca="1">+GETPIVOTDATA("XSR4",'suoirao (2016)'!$A$3,"MA_HT","NTS","MA_QH","LUK")</f>
        <v>0</v>
      </c>
      <c r="I16" s="22">
        <f ca="1">+GETPIVOTDATA("XSR4",'suoirao (2016)'!$A$3,"MA_HT","NTS","MA_QH","LUN")</f>
        <v>0</v>
      </c>
      <c r="J16" s="22">
        <f ca="1">+GETPIVOTDATA("XSR4",'suoirao (2016)'!$A$3,"MA_HT","NTS","MA_QH","HNK")</f>
        <v>0</v>
      </c>
      <c r="K16" s="22">
        <f ca="1">+GETPIVOTDATA("XSR4",'suoirao (2016)'!$A$3,"MA_HT","NTS","MA_QH","CLN")</f>
        <v>0</v>
      </c>
      <c r="L16" s="22">
        <f ca="1">+GETPIVOTDATA("XSR4",'suoirao (2016)'!$A$3,"MA_HT","NTS","MA_QH","RSX")</f>
        <v>0</v>
      </c>
      <c r="M16" s="22">
        <f ca="1">+GETPIVOTDATA("XSR4",'suoirao (2016)'!$A$3,"MA_HT","NTS","MA_QH","RPH")</f>
        <v>0</v>
      </c>
      <c r="N16" s="22">
        <f ca="1">+GETPIVOTDATA("XSR4",'suoirao (2016)'!$A$3,"MA_HT","NTS","MA_QH","RDD")</f>
        <v>0</v>
      </c>
      <c r="O16" s="43" t="e">
        <f ca="1">$D16-$BF16</f>
        <v>#REF!</v>
      </c>
      <c r="P16" s="22">
        <f ca="1">+GETPIVOTDATA("XSR4",'suoirao (2016)'!$A$3,"MA_HT","NTS","MA_QH","LMU")</f>
        <v>0</v>
      </c>
      <c r="Q16" s="22">
        <f ca="1">+GETPIVOTDATA("XSR4",'suoirao (2016)'!$A$3,"MA_HT","NTS","MA_QH","NKH")</f>
        <v>0</v>
      </c>
      <c r="R16" s="42">
        <f ca="1" t="shared" si="2"/>
        <v>0</v>
      </c>
      <c r="S16" s="22">
        <f ca="1">+GETPIVOTDATA("XSR4",'suoirao (2016)'!$A$3,"MA_HT","NTS","MA_QH","CQP")</f>
        <v>0</v>
      </c>
      <c r="T16" s="22">
        <f ca="1">+GETPIVOTDATA("XSR4",'suoirao (2016)'!$A$3,"MA_HT","NTS","MA_QH","CAN")</f>
        <v>0</v>
      </c>
      <c r="U16" s="22">
        <f ca="1">+GETPIVOTDATA("XSR4",'suoirao (2016)'!$A$3,"MA_HT","NTS","MA_QH","SKK")</f>
        <v>0</v>
      </c>
      <c r="V16" s="22">
        <f ca="1">+GETPIVOTDATA("XSR4",'suoirao (2016)'!$A$3,"MA_HT","NTS","MA_QH","SKT")</f>
        <v>0</v>
      </c>
      <c r="W16" s="22">
        <f ca="1">+GETPIVOTDATA("XSR4",'suoirao (2016)'!$A$3,"MA_HT","NTS","MA_QH","SKN")</f>
        <v>0</v>
      </c>
      <c r="X16" s="22">
        <f ca="1">+GETPIVOTDATA("XSR4",'suoirao (2016)'!$A$3,"MA_HT","NTS","MA_QH","TMD")</f>
        <v>0</v>
      </c>
      <c r="Y16" s="22">
        <f ca="1">+GETPIVOTDATA("XSR4",'suoirao (2016)'!$A$3,"MA_HT","NTS","MA_QH","SKC")</f>
        <v>0</v>
      </c>
      <c r="Z16" s="22">
        <f ca="1">+GETPIVOTDATA("XSR4",'suoirao (2016)'!$A$3,"MA_HT","NTS","MA_QH","SKS")</f>
        <v>0</v>
      </c>
      <c r="AA16" s="52">
        <f ca="1" t="shared" si="4"/>
        <v>0</v>
      </c>
      <c r="AB16" s="22">
        <f ca="1">+GETPIVOTDATA("XSR4",'suoirao (2016)'!$A$3,"MA_HT","NTS","MA_QH","DGT")</f>
        <v>0</v>
      </c>
      <c r="AC16" s="22">
        <f ca="1">+GETPIVOTDATA("XSR4",'suoirao (2016)'!$A$3,"MA_HT","NTS","MA_QH","DTL")</f>
        <v>0</v>
      </c>
      <c r="AD16" s="22">
        <f ca="1">+GETPIVOTDATA("XSR4",'suoirao (2016)'!$A$3,"MA_HT","NTS","MA_QH","DNL")</f>
        <v>0</v>
      </c>
      <c r="AE16" s="22">
        <f ca="1">+GETPIVOTDATA("XSR4",'suoirao (2016)'!$A$3,"MA_HT","NTS","MA_QH","DBV")</f>
        <v>0</v>
      </c>
      <c r="AF16" s="22">
        <f ca="1">+GETPIVOTDATA("XSR4",'suoirao (2016)'!$A$3,"MA_HT","NTS","MA_QH","DVH")</f>
        <v>0</v>
      </c>
      <c r="AG16" s="22">
        <f ca="1">+GETPIVOTDATA("XSR4",'suoirao (2016)'!$A$3,"MA_HT","NTS","MA_QH","DYT")</f>
        <v>0</v>
      </c>
      <c r="AH16" s="22">
        <f ca="1">+GETPIVOTDATA("XSR4",'suoirao (2016)'!$A$3,"MA_HT","NTS","MA_QH","DGD")</f>
        <v>0</v>
      </c>
      <c r="AI16" s="22">
        <f ca="1">+GETPIVOTDATA("XSR4",'suoirao (2016)'!$A$3,"MA_HT","NTS","MA_QH","DTT")</f>
        <v>0</v>
      </c>
      <c r="AJ16" s="22">
        <f ca="1">+GETPIVOTDATA("XSR4",'suoirao (2016)'!$A$3,"MA_HT","NTS","MA_QH","NCK")</f>
        <v>0</v>
      </c>
      <c r="AK16" s="22">
        <f ca="1">+GETPIVOTDATA("XSR4",'suoirao (2016)'!$A$3,"MA_HT","NTS","MA_QH","DXH")</f>
        <v>0</v>
      </c>
      <c r="AL16" s="22">
        <f ca="1">+GETPIVOTDATA("XSR4",'suoirao (2016)'!$A$3,"MA_HT","NTS","MA_QH","DCH")</f>
        <v>0</v>
      </c>
      <c r="AM16" s="22">
        <f ca="1">+GETPIVOTDATA("XSR4",'suoirao (2016)'!$A$3,"MA_HT","NTS","MA_QH","DKG")</f>
        <v>0</v>
      </c>
      <c r="AN16" s="22">
        <f ca="1">+GETPIVOTDATA("XSR4",'suoirao (2016)'!$A$3,"MA_HT","NTS","MA_QH","DDT")</f>
        <v>0</v>
      </c>
      <c r="AO16" s="22">
        <f ca="1">+GETPIVOTDATA("XSR4",'suoirao (2016)'!$A$3,"MA_HT","NTS","MA_QH","DDL")</f>
        <v>0</v>
      </c>
      <c r="AP16" s="22">
        <f ca="1">+GETPIVOTDATA("XSR4",'suoirao (2016)'!$A$3,"MA_HT","NTS","MA_QH","DRA")</f>
        <v>0</v>
      </c>
      <c r="AQ16" s="22">
        <f ca="1">+GETPIVOTDATA("XSR4",'suoirao (2016)'!$A$3,"MA_HT","NTS","MA_QH","ONT")</f>
        <v>0</v>
      </c>
      <c r="AR16" s="22">
        <f ca="1">+GETPIVOTDATA("XSR4",'suoirao (2016)'!$A$3,"MA_HT","NTS","MA_QH","ODT")</f>
        <v>0</v>
      </c>
      <c r="AS16" s="22">
        <f ca="1">+GETPIVOTDATA("XSR4",'suoirao (2016)'!$A$3,"MA_HT","NTS","MA_QH","TSC")</f>
        <v>0</v>
      </c>
      <c r="AT16" s="22">
        <f ca="1">+GETPIVOTDATA("XSR4",'suoirao (2016)'!$A$3,"MA_HT","NTS","MA_QH","DTS")</f>
        <v>0</v>
      </c>
      <c r="AU16" s="22">
        <f ca="1">+GETPIVOTDATA("XSR4",'suoirao (2016)'!$A$3,"MA_HT","NTS","MA_QH","DNG")</f>
        <v>0</v>
      </c>
      <c r="AV16" s="22">
        <f ca="1">+GETPIVOTDATA("XSR4",'suoirao (2016)'!$A$3,"MA_HT","NTS","MA_QH","TON")</f>
        <v>0</v>
      </c>
      <c r="AW16" s="22">
        <f ca="1">+GETPIVOTDATA("XSR4",'suoirao (2016)'!$A$3,"MA_HT","NTS","MA_QH","NTD")</f>
        <v>0</v>
      </c>
      <c r="AX16" s="22">
        <f ca="1">+GETPIVOTDATA("XSR4",'suoirao (2016)'!$A$3,"MA_HT","NTS","MA_QH","SKX")</f>
        <v>0</v>
      </c>
      <c r="AY16" s="22">
        <f ca="1">+GETPIVOTDATA("XSR4",'suoirao (2016)'!$A$3,"MA_HT","NTS","MA_QH","DSH")</f>
        <v>0</v>
      </c>
      <c r="AZ16" s="22">
        <f ca="1">+GETPIVOTDATA("XSR4",'suoirao (2016)'!$A$3,"MA_HT","NTS","MA_QH","DKV")</f>
        <v>0</v>
      </c>
      <c r="BA16" s="89">
        <f ca="1">+GETPIVOTDATA("XSR4",'suoirao (2016)'!$A$3,"MA_HT","NTS","MA_QH","TIN")</f>
        <v>0</v>
      </c>
      <c r="BB16" s="50">
        <f ca="1">+GETPIVOTDATA("XSR4",'suoirao (2016)'!$A$3,"MA_HT","NTS","MA_QH","SON")</f>
        <v>0</v>
      </c>
      <c r="BC16" s="50">
        <f ca="1">+GETPIVOTDATA("XSR4",'suoirao (2016)'!$A$3,"MA_HT","NTS","MA_QH","MNC")</f>
        <v>0</v>
      </c>
      <c r="BD16" s="22">
        <f ca="1">+GETPIVOTDATA("XSR4",'suoirao (2016)'!$A$3,"MA_HT","NTS","MA_QH","PNK")</f>
        <v>0</v>
      </c>
      <c r="BE16" s="71">
        <f ca="1">+GETPIVOTDATA("XSR4",'suoirao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+GETPIVOTDATA("XSR4",'suoirao (2016)'!$A$3,"MA_HT","LMU","MA_QH","LUC")</f>
        <v>0</v>
      </c>
      <c r="H17" s="22">
        <f ca="1">+GETPIVOTDATA("XSR4",'suoirao (2016)'!$A$3,"MA_HT","LMU","MA_QH","LUK")</f>
        <v>0</v>
      </c>
      <c r="I17" s="22">
        <f ca="1">+GETPIVOTDATA("XSR4",'suoirao (2016)'!$A$3,"MA_HT","LMU","MA_QH","LUN")</f>
        <v>0</v>
      </c>
      <c r="J17" s="22">
        <f ca="1">+GETPIVOTDATA("XSR4",'suoirao (2016)'!$A$3,"MA_HT","LMU","MA_QH","HNK")</f>
        <v>0</v>
      </c>
      <c r="K17" s="22">
        <f ca="1">+GETPIVOTDATA("XSR4",'suoirao (2016)'!$A$3,"MA_HT","LMU","MA_QH","CLN")</f>
        <v>0</v>
      </c>
      <c r="L17" s="22">
        <f ca="1">+GETPIVOTDATA("XSR4",'suoirao (2016)'!$A$3,"MA_HT","LMU","MA_QH","RSX")</f>
        <v>0</v>
      </c>
      <c r="M17" s="22">
        <f ca="1">+GETPIVOTDATA("XSR4",'suoirao (2016)'!$A$3,"MA_HT","LMU","MA_QH","RPH")</f>
        <v>0</v>
      </c>
      <c r="N17" s="22">
        <f ca="1">+GETPIVOTDATA("XSR4",'suoirao (2016)'!$A$3,"MA_HT","LMU","MA_QH","RDD")</f>
        <v>0</v>
      </c>
      <c r="O17" s="22">
        <f ca="1">+GETPIVOTDATA("XSR4",'suoirao (2016)'!$A$3,"MA_HT","LMU","MA_QH","NTS")</f>
        <v>0</v>
      </c>
      <c r="P17" s="43" t="e">
        <f ca="1">$D17-$BF17</f>
        <v>#REF!</v>
      </c>
      <c r="Q17" s="22">
        <f ca="1">+GETPIVOTDATA("XSR4",'suoirao (2016)'!$A$3,"MA_HT","LMU","MA_QH","NKH")</f>
        <v>0</v>
      </c>
      <c r="R17" s="42">
        <f ca="1" t="shared" si="2"/>
        <v>0</v>
      </c>
      <c r="S17" s="22">
        <f ca="1">+GETPIVOTDATA("XSR4",'suoirao (2016)'!$A$3,"MA_HT","LMU","MA_QH","CQP")</f>
        <v>0</v>
      </c>
      <c r="T17" s="22">
        <f ca="1">+GETPIVOTDATA("XSR4",'suoirao (2016)'!$A$3,"MA_HT","LMU","MA_QH","CAN")</f>
        <v>0</v>
      </c>
      <c r="U17" s="22">
        <f ca="1">+GETPIVOTDATA("XSR4",'suoirao (2016)'!$A$3,"MA_HT","LMU","MA_QH","SKK")</f>
        <v>0</v>
      </c>
      <c r="V17" s="22">
        <f ca="1">+GETPIVOTDATA("XSR4",'suoirao (2016)'!$A$3,"MA_HT","LMU","MA_QH","SKT")</f>
        <v>0</v>
      </c>
      <c r="W17" s="22">
        <f ca="1">+GETPIVOTDATA("XSR4",'suoirao (2016)'!$A$3,"MA_HT","LMU","MA_QH","SKN")</f>
        <v>0</v>
      </c>
      <c r="X17" s="22">
        <f ca="1">+GETPIVOTDATA("XSR4",'suoirao (2016)'!$A$3,"MA_HT","LMU","MA_QH","TMD")</f>
        <v>0</v>
      </c>
      <c r="Y17" s="22">
        <f ca="1">+GETPIVOTDATA("XSR4",'suoirao (2016)'!$A$3,"MA_HT","LMU","MA_QH","SKC")</f>
        <v>0</v>
      </c>
      <c r="Z17" s="22">
        <f ca="1">+GETPIVOTDATA("XSR4",'suoirao (2016)'!$A$3,"MA_HT","LMU","MA_QH","SKS")</f>
        <v>0</v>
      </c>
      <c r="AA17" s="52">
        <f ca="1" t="shared" si="4"/>
        <v>0</v>
      </c>
      <c r="AB17" s="22">
        <f ca="1">+GETPIVOTDATA("XSR4",'suoirao (2016)'!$A$3,"MA_HT","LMU","MA_QH","DGT")</f>
        <v>0</v>
      </c>
      <c r="AC17" s="22">
        <f ca="1">+GETPIVOTDATA("XSR4",'suoirao (2016)'!$A$3,"MA_HT","LMU","MA_QH","DTL")</f>
        <v>0</v>
      </c>
      <c r="AD17" s="22">
        <f ca="1">+GETPIVOTDATA("XSR4",'suoirao (2016)'!$A$3,"MA_HT","LMU","MA_QH","DNL")</f>
        <v>0</v>
      </c>
      <c r="AE17" s="22">
        <f ca="1">+GETPIVOTDATA("XSR4",'suoirao (2016)'!$A$3,"MA_HT","LMU","MA_QH","DBV")</f>
        <v>0</v>
      </c>
      <c r="AF17" s="22">
        <f ca="1">+GETPIVOTDATA("XSR4",'suoirao (2016)'!$A$3,"MA_HT","LMU","MA_QH","DVH")</f>
        <v>0</v>
      </c>
      <c r="AG17" s="22">
        <f ca="1">+GETPIVOTDATA("XSR4",'suoirao (2016)'!$A$3,"MA_HT","LMU","MA_QH","DYT")</f>
        <v>0</v>
      </c>
      <c r="AH17" s="22">
        <f ca="1">+GETPIVOTDATA("XSR4",'suoirao (2016)'!$A$3,"MA_HT","LMU","MA_QH","DGD")</f>
        <v>0</v>
      </c>
      <c r="AI17" s="22">
        <f ca="1">+GETPIVOTDATA("XSR4",'suoirao (2016)'!$A$3,"MA_HT","LMU","MA_QH","DTT")</f>
        <v>0</v>
      </c>
      <c r="AJ17" s="22">
        <f ca="1">+GETPIVOTDATA("XSR4",'suoirao (2016)'!$A$3,"MA_HT","LMU","MA_QH","NCK")</f>
        <v>0</v>
      </c>
      <c r="AK17" s="22">
        <f ca="1">+GETPIVOTDATA("XSR4",'suoirao (2016)'!$A$3,"MA_HT","LMU","MA_QH","DXH")</f>
        <v>0</v>
      </c>
      <c r="AL17" s="22">
        <f ca="1">+GETPIVOTDATA("XSR4",'suoirao (2016)'!$A$3,"MA_HT","LMU","MA_QH","DCH")</f>
        <v>0</v>
      </c>
      <c r="AM17" s="22">
        <f ca="1">+GETPIVOTDATA("XSR4",'suoirao (2016)'!$A$3,"MA_HT","LMU","MA_QH","DKG")</f>
        <v>0</v>
      </c>
      <c r="AN17" s="22">
        <f ca="1">+GETPIVOTDATA("XSR4",'suoirao (2016)'!$A$3,"MA_HT","LMU","MA_QH","DDT")</f>
        <v>0</v>
      </c>
      <c r="AO17" s="22">
        <f ca="1">+GETPIVOTDATA("XSR4",'suoirao (2016)'!$A$3,"MA_HT","LMU","MA_QH","DDL")</f>
        <v>0</v>
      </c>
      <c r="AP17" s="22">
        <f ca="1">+GETPIVOTDATA("XSR4",'suoirao (2016)'!$A$3,"MA_HT","LMU","MA_QH","DRA")</f>
        <v>0</v>
      </c>
      <c r="AQ17" s="22">
        <f ca="1">+GETPIVOTDATA("XSR4",'suoirao (2016)'!$A$3,"MA_HT","LMU","MA_QH","ONT")</f>
        <v>0</v>
      </c>
      <c r="AR17" s="22">
        <f ca="1">+GETPIVOTDATA("XSR4",'suoirao (2016)'!$A$3,"MA_HT","LMU","MA_QH","ODT")</f>
        <v>0</v>
      </c>
      <c r="AS17" s="22">
        <f ca="1">+GETPIVOTDATA("XSR4",'suoirao (2016)'!$A$3,"MA_HT","LMU","MA_QH","TSC")</f>
        <v>0</v>
      </c>
      <c r="AT17" s="22">
        <f ca="1">+GETPIVOTDATA("XSR4",'suoirao (2016)'!$A$3,"MA_HT","LMU","MA_QH","DTS")</f>
        <v>0</v>
      </c>
      <c r="AU17" s="22">
        <f ca="1">+GETPIVOTDATA("XSR4",'suoirao (2016)'!$A$3,"MA_HT","LMU","MA_QH","DNG")</f>
        <v>0</v>
      </c>
      <c r="AV17" s="22">
        <f ca="1">+GETPIVOTDATA("XSR4",'suoirao (2016)'!$A$3,"MA_HT","LMU","MA_QH","TON")</f>
        <v>0</v>
      </c>
      <c r="AW17" s="22">
        <f ca="1">+GETPIVOTDATA("XSR4",'suoirao (2016)'!$A$3,"MA_HT","LMU","MA_QH","NTD")</f>
        <v>0</v>
      </c>
      <c r="AX17" s="22">
        <f ca="1">+GETPIVOTDATA("XSR4",'suoirao (2016)'!$A$3,"MA_HT","LMU","MA_QH","SKX")</f>
        <v>0</v>
      </c>
      <c r="AY17" s="22">
        <f ca="1">+GETPIVOTDATA("XSR4",'suoirao (2016)'!$A$3,"MA_HT","LMU","MA_QH","DSH")</f>
        <v>0</v>
      </c>
      <c r="AZ17" s="22">
        <f ca="1">+GETPIVOTDATA("XSR4",'suoirao (2016)'!$A$3,"MA_HT","LMU","MA_QH","DKV")</f>
        <v>0</v>
      </c>
      <c r="BA17" s="89">
        <f ca="1">+GETPIVOTDATA("XSR4",'suoirao (2016)'!$A$3,"MA_HT","LMU","MA_QH","TIN")</f>
        <v>0</v>
      </c>
      <c r="BB17" s="50">
        <f ca="1">+GETPIVOTDATA("XSR4",'suoirao (2016)'!$A$3,"MA_HT","LMU","MA_QH","SON")</f>
        <v>0</v>
      </c>
      <c r="BC17" s="50">
        <f ca="1">+GETPIVOTDATA("XSR4",'suoirao (2016)'!$A$3,"MA_HT","LMU","MA_QH","MNC")</f>
        <v>0</v>
      </c>
      <c r="BD17" s="22">
        <f ca="1">+GETPIVOTDATA("XSR4",'suoirao (2016)'!$A$3,"MA_HT","LMU","MA_QH","PNK")</f>
        <v>0</v>
      </c>
      <c r="BE17" s="71">
        <f ca="1">+GETPIVOTDATA("XSR4",'suoirao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+GETPIVOTDATA("XSR4",'suoirao (2016)'!$A$3,"MA_HT","NKH","MA_QH","LUC")</f>
        <v>0</v>
      </c>
      <c r="H18" s="22">
        <f ca="1">+GETPIVOTDATA("XSR4",'suoirao (2016)'!$A$3,"MA_HT","NKH","MA_QH","LUK")</f>
        <v>0</v>
      </c>
      <c r="I18" s="22">
        <f ca="1">+GETPIVOTDATA("XSR4",'suoirao (2016)'!$A$3,"MA_HT","NKH","MA_QH","LUN")</f>
        <v>0</v>
      </c>
      <c r="J18" s="22">
        <f ca="1">+GETPIVOTDATA("XSR4",'suoirao (2016)'!$A$3,"MA_HT","NKH","MA_QH","HNK")</f>
        <v>0</v>
      </c>
      <c r="K18" s="22">
        <f ca="1">+GETPIVOTDATA("XSR4",'suoirao (2016)'!$A$3,"MA_HT","NKH","MA_QH","CLN")</f>
        <v>0</v>
      </c>
      <c r="L18" s="22">
        <f ca="1">+GETPIVOTDATA("XSR4",'suoirao (2016)'!$A$3,"MA_HT","NKH","MA_QH","RSX")</f>
        <v>0</v>
      </c>
      <c r="M18" s="22">
        <f ca="1">+GETPIVOTDATA("XSR4",'suoirao (2016)'!$A$3,"MA_HT","NKH","MA_QH","RPH")</f>
        <v>0</v>
      </c>
      <c r="N18" s="22">
        <f ca="1">+GETPIVOTDATA("XSR4",'suoirao (2016)'!$A$3,"MA_HT","NKH","MA_QH","RDD")</f>
        <v>0</v>
      </c>
      <c r="O18" s="22">
        <f ca="1">+GETPIVOTDATA("XSR4",'suoirao (2016)'!$A$3,"MA_HT","NKH","MA_QH","NTS")</f>
        <v>0</v>
      </c>
      <c r="P18" s="22">
        <f ca="1">+GETPIVOTDATA("XSR4",'suoirao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+GETPIVOTDATA("XSR4",'suoirao (2016)'!$A$3,"MA_HT","NKH","MA_QH","CQP")</f>
        <v>0</v>
      </c>
      <c r="T18" s="22">
        <f ca="1">+GETPIVOTDATA("XSR4",'suoirao (2016)'!$A$3,"MA_HT","NKH","MA_QH","CAN")</f>
        <v>0</v>
      </c>
      <c r="U18" s="22">
        <f ca="1">+GETPIVOTDATA("XSR4",'suoirao (2016)'!$A$3,"MA_HT","NKH","MA_QH","SKK")</f>
        <v>0</v>
      </c>
      <c r="V18" s="22">
        <f ca="1">+GETPIVOTDATA("XSR4",'suoirao (2016)'!$A$3,"MA_HT","NKH","MA_QH","SKT")</f>
        <v>0</v>
      </c>
      <c r="W18" s="22">
        <f ca="1">+GETPIVOTDATA("XSR4",'suoirao (2016)'!$A$3,"MA_HT","NKH","MA_QH","SKN")</f>
        <v>0</v>
      </c>
      <c r="X18" s="22">
        <f ca="1">+GETPIVOTDATA("XSR4",'suoirao (2016)'!$A$3,"MA_HT","NKH","MA_QH","TMD")</f>
        <v>0</v>
      </c>
      <c r="Y18" s="22">
        <f ca="1">+GETPIVOTDATA("XSR4",'suoirao (2016)'!$A$3,"MA_HT","NKH","MA_QH","SKC")</f>
        <v>0</v>
      </c>
      <c r="Z18" s="22">
        <f ca="1">+GETPIVOTDATA("XSR4",'suoirao (2016)'!$A$3,"MA_HT","NKH","MA_QH","SKS")</f>
        <v>0</v>
      </c>
      <c r="AA18" s="52">
        <f ca="1" t="shared" si="4"/>
        <v>0</v>
      </c>
      <c r="AB18" s="22">
        <f ca="1">+GETPIVOTDATA("XSR4",'suoirao (2016)'!$A$3,"MA_HT","NKH","MA_QH","DGT")</f>
        <v>0</v>
      </c>
      <c r="AC18" s="22">
        <f ca="1">+GETPIVOTDATA("XSR4",'suoirao (2016)'!$A$3,"MA_HT","NKH","MA_QH","DTL")</f>
        <v>0</v>
      </c>
      <c r="AD18" s="22">
        <f ca="1">+GETPIVOTDATA("XSR4",'suoirao (2016)'!$A$3,"MA_HT","NKH","MA_QH","DNL")</f>
        <v>0</v>
      </c>
      <c r="AE18" s="22">
        <f ca="1">+GETPIVOTDATA("XSR4",'suoirao (2016)'!$A$3,"MA_HT","NKH","MA_QH","DBV")</f>
        <v>0</v>
      </c>
      <c r="AF18" s="22">
        <f ca="1">+GETPIVOTDATA("XSR4",'suoirao (2016)'!$A$3,"MA_HT","NKH","MA_QH","DVH")</f>
        <v>0</v>
      </c>
      <c r="AG18" s="22">
        <f ca="1">+GETPIVOTDATA("XSR4",'suoirao (2016)'!$A$3,"MA_HT","NKH","MA_QH","DYT")</f>
        <v>0</v>
      </c>
      <c r="AH18" s="22">
        <f ca="1">+GETPIVOTDATA("XSR4",'suoirao (2016)'!$A$3,"MA_HT","NKH","MA_QH","DGD")</f>
        <v>0</v>
      </c>
      <c r="AI18" s="22">
        <f ca="1">+GETPIVOTDATA("XSR4",'suoirao (2016)'!$A$3,"MA_HT","NKH","MA_QH","DTT")</f>
        <v>0</v>
      </c>
      <c r="AJ18" s="22">
        <f ca="1">+GETPIVOTDATA("XSR4",'suoirao (2016)'!$A$3,"MA_HT","NKH","MA_QH","NCK")</f>
        <v>0</v>
      </c>
      <c r="AK18" s="22">
        <f ca="1">+GETPIVOTDATA("XSR4",'suoirao (2016)'!$A$3,"MA_HT","NKH","MA_QH","DXH")</f>
        <v>0</v>
      </c>
      <c r="AL18" s="22">
        <f ca="1">+GETPIVOTDATA("XSR4",'suoirao (2016)'!$A$3,"MA_HT","NKH","MA_QH","DCH")</f>
        <v>0</v>
      </c>
      <c r="AM18" s="22">
        <f ca="1">+GETPIVOTDATA("XSR4",'suoirao (2016)'!$A$3,"MA_HT","NKH","MA_QH","DKG")</f>
        <v>0</v>
      </c>
      <c r="AN18" s="22">
        <f ca="1">+GETPIVOTDATA("XSR4",'suoirao (2016)'!$A$3,"MA_HT","NKH","MA_QH","DDT")</f>
        <v>0</v>
      </c>
      <c r="AO18" s="22">
        <f ca="1">+GETPIVOTDATA("XSR4",'suoirao (2016)'!$A$3,"MA_HT","NKH","MA_QH","DDL")</f>
        <v>0</v>
      </c>
      <c r="AP18" s="22">
        <f ca="1">+GETPIVOTDATA("XSR4",'suoirao (2016)'!$A$3,"MA_HT","NKH","MA_QH","DRA")</f>
        <v>0</v>
      </c>
      <c r="AQ18" s="22">
        <f ca="1">+GETPIVOTDATA("XSR4",'suoirao (2016)'!$A$3,"MA_HT","NKH","MA_QH","ONT")</f>
        <v>0</v>
      </c>
      <c r="AR18" s="22">
        <f ca="1">+GETPIVOTDATA("XSR4",'suoirao (2016)'!$A$3,"MA_HT","NKH","MA_QH","ODT")</f>
        <v>0</v>
      </c>
      <c r="AS18" s="22">
        <f ca="1">+GETPIVOTDATA("XSR4",'suoirao (2016)'!$A$3,"MA_HT","NKH","MA_QH","TSC")</f>
        <v>0</v>
      </c>
      <c r="AT18" s="22">
        <f ca="1">+GETPIVOTDATA("XSR4",'suoirao (2016)'!$A$3,"MA_HT","NKH","MA_QH","DTS")</f>
        <v>0</v>
      </c>
      <c r="AU18" s="22">
        <f ca="1">+GETPIVOTDATA("XSR4",'suoirao (2016)'!$A$3,"MA_HT","NKH","MA_QH","DNG")</f>
        <v>0</v>
      </c>
      <c r="AV18" s="22">
        <f ca="1">+GETPIVOTDATA("XSR4",'suoirao (2016)'!$A$3,"MA_HT","NKH","MA_QH","TON")</f>
        <v>0</v>
      </c>
      <c r="AW18" s="22">
        <f ca="1">+GETPIVOTDATA("XSR4",'suoirao (2016)'!$A$3,"MA_HT","NKH","MA_QH","NTD")</f>
        <v>0</v>
      </c>
      <c r="AX18" s="22">
        <f ca="1">+GETPIVOTDATA("XSR4",'suoirao (2016)'!$A$3,"MA_HT","NKH","MA_QH","SKX")</f>
        <v>0</v>
      </c>
      <c r="AY18" s="22">
        <f ca="1">+GETPIVOTDATA("XSR4",'suoirao (2016)'!$A$3,"MA_HT","NKH","MA_QH","DSH")</f>
        <v>0</v>
      </c>
      <c r="AZ18" s="22">
        <f ca="1">+GETPIVOTDATA("XSR4",'suoirao (2016)'!$A$3,"MA_HT","NKH","MA_QH","DKV")</f>
        <v>0</v>
      </c>
      <c r="BA18" s="89">
        <f ca="1">+GETPIVOTDATA("XSR4",'suoirao (2016)'!$A$3,"MA_HT","NKH","MA_QH","TIN")</f>
        <v>0</v>
      </c>
      <c r="BB18" s="50">
        <f ca="1">+GETPIVOTDATA("XSR4",'suoirao (2016)'!$A$3,"MA_HT","NKH","MA_QH","SON")</f>
        <v>0</v>
      </c>
      <c r="BC18" s="50">
        <f ca="1">+GETPIVOTDATA("XSR4",'suoirao (2016)'!$A$3,"MA_HT","NKH","MA_QH","MNC")</f>
        <v>0</v>
      </c>
      <c r="BD18" s="22">
        <f ca="1">+GETPIVOTDATA("XSR4",'suoirao (2016)'!$A$3,"MA_HT","NKH","MA_QH","PNK")</f>
        <v>0</v>
      </c>
      <c r="BE18" s="71">
        <f ca="1">+GETPIVOTDATA("XSR4",'suoirao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+GETPIVOTDATA("XSR4",'suoirao (2016)'!$A$3,"MA_HT","CQP","MA_QH","LUC")</f>
        <v>0</v>
      </c>
      <c r="H20" s="22">
        <f ca="1">+GETPIVOTDATA("XSR4",'suoirao (2016)'!$A$3,"MA_HT","CQP","MA_QH","LUK")</f>
        <v>0</v>
      </c>
      <c r="I20" s="22">
        <f ca="1">+GETPIVOTDATA("XSR4",'suoirao (2016)'!$A$3,"MA_HT","CQP","MA_QH","LUN")</f>
        <v>0</v>
      </c>
      <c r="J20" s="22">
        <f ca="1">+GETPIVOTDATA("XSR4",'suoirao (2016)'!$A$3,"MA_HT","CQP","MA_QH","HNK")</f>
        <v>0</v>
      </c>
      <c r="K20" s="22">
        <f ca="1">+GETPIVOTDATA("XSR4",'suoirao (2016)'!$A$3,"MA_HT","CQP","MA_QH","CLN")</f>
        <v>0</v>
      </c>
      <c r="L20" s="22">
        <f ca="1">+GETPIVOTDATA("XSR4",'suoirao (2016)'!$A$3,"MA_HT","CQP","MA_QH","RSX")</f>
        <v>0</v>
      </c>
      <c r="M20" s="22">
        <f ca="1">+GETPIVOTDATA("XSR4",'suoirao (2016)'!$A$3,"MA_HT","CQP","MA_QH","RPH")</f>
        <v>0</v>
      </c>
      <c r="N20" s="22">
        <f ca="1">+GETPIVOTDATA("XSR4",'suoirao (2016)'!$A$3,"MA_HT","CQP","MA_QH","RDD")</f>
        <v>0</v>
      </c>
      <c r="O20" s="22">
        <f ca="1">+GETPIVOTDATA("XSR4",'suoirao (2016)'!$A$3,"MA_HT","CQP","MA_QH","NTS")</f>
        <v>0</v>
      </c>
      <c r="P20" s="22">
        <f ca="1">+GETPIVOTDATA("XSR4",'suoirao (2016)'!$A$3,"MA_HT","CQP","MA_QH","LMU")</f>
        <v>0</v>
      </c>
      <c r="Q20" s="22">
        <f ca="1">+GETPIVOTDATA("XSR4",'suoirao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+GETPIVOTDATA("XSR4",'suoirao (2016)'!$A$3,"MA_HT","CQP","MA_QH","CAN")</f>
        <v>0</v>
      </c>
      <c r="U20" s="22">
        <f ca="1">+GETPIVOTDATA("XSR4",'suoirao (2016)'!$A$3,"MA_HT","CQP","MA_QH","SKK")</f>
        <v>0</v>
      </c>
      <c r="V20" s="22">
        <f ca="1">+GETPIVOTDATA("XSR4",'suoirao (2016)'!$A$3,"MA_HT","CQP","MA_QH","SKT")</f>
        <v>0</v>
      </c>
      <c r="W20" s="22">
        <f ca="1">+GETPIVOTDATA("XSR4",'suoirao (2016)'!$A$3,"MA_HT","CQP","MA_QH","SKN")</f>
        <v>0</v>
      </c>
      <c r="X20" s="22">
        <f ca="1">+GETPIVOTDATA("XSR4",'suoirao (2016)'!$A$3,"MA_HT","CQP","MA_QH","TMD")</f>
        <v>0</v>
      </c>
      <c r="Y20" s="22">
        <f ca="1">+GETPIVOTDATA("XSR4",'suoirao (2016)'!$A$3,"MA_HT","CQP","MA_QH","SKC")</f>
        <v>0</v>
      </c>
      <c r="Z20" s="22">
        <f ca="1">+GETPIVOTDATA("XSR4",'suoirao (2016)'!$A$3,"MA_HT","CQP","MA_QH","SKS")</f>
        <v>0</v>
      </c>
      <c r="AA20" s="52">
        <f ca="1" t="shared" ref="AA20:AA27" si="12">+SUM(AB20:AM20)</f>
        <v>0</v>
      </c>
      <c r="AB20" s="22">
        <f ca="1">+GETPIVOTDATA("XSR4",'suoirao (2016)'!$A$3,"MA_HT","CQP","MA_QH","DGT")</f>
        <v>0</v>
      </c>
      <c r="AC20" s="22">
        <f ca="1">+GETPIVOTDATA("XSR4",'suoirao (2016)'!$A$3,"MA_HT","CQP","MA_QH","DTL")</f>
        <v>0</v>
      </c>
      <c r="AD20" s="22">
        <f ca="1">+GETPIVOTDATA("XSR4",'suoirao (2016)'!$A$3,"MA_HT","CQP","MA_QH","DNL")</f>
        <v>0</v>
      </c>
      <c r="AE20" s="22">
        <f ca="1">+GETPIVOTDATA("XSR4",'suoirao (2016)'!$A$3,"MA_HT","CQP","MA_QH","DBV")</f>
        <v>0</v>
      </c>
      <c r="AF20" s="22">
        <f ca="1">+GETPIVOTDATA("XSR4",'suoirao (2016)'!$A$3,"MA_HT","CQP","MA_QH","DVH")</f>
        <v>0</v>
      </c>
      <c r="AG20" s="22">
        <f ca="1">+GETPIVOTDATA("XSR4",'suoirao (2016)'!$A$3,"MA_HT","CQP","MA_QH","DYT")</f>
        <v>0</v>
      </c>
      <c r="AH20" s="22">
        <f ca="1">+GETPIVOTDATA("XSR4",'suoirao (2016)'!$A$3,"MA_HT","CQP","MA_QH","DGD")</f>
        <v>0</v>
      </c>
      <c r="AI20" s="22">
        <f ca="1">+GETPIVOTDATA("XSR4",'suoirao (2016)'!$A$3,"MA_HT","CQP","MA_QH","DTT")</f>
        <v>0</v>
      </c>
      <c r="AJ20" s="22">
        <f ca="1">+GETPIVOTDATA("XSR4",'suoirao (2016)'!$A$3,"MA_HT","CQP","MA_QH","NCK")</f>
        <v>0</v>
      </c>
      <c r="AK20" s="22">
        <f ca="1">+GETPIVOTDATA("XSR4",'suoirao (2016)'!$A$3,"MA_HT","CQP","MA_QH","DXH")</f>
        <v>0</v>
      </c>
      <c r="AL20" s="22">
        <f ca="1">+GETPIVOTDATA("XSR4",'suoirao (2016)'!$A$3,"MA_HT","CQP","MA_QH","DCH")</f>
        <v>0</v>
      </c>
      <c r="AM20" s="22">
        <f ca="1">+GETPIVOTDATA("XSR4",'suoirao (2016)'!$A$3,"MA_HT","CQP","MA_QH","DKG")</f>
        <v>0</v>
      </c>
      <c r="AN20" s="22">
        <f ca="1">+GETPIVOTDATA("XSR4",'suoirao (2016)'!$A$3,"MA_HT","CQP","MA_QH","DDT")</f>
        <v>0</v>
      </c>
      <c r="AO20" s="22">
        <f ca="1">+GETPIVOTDATA("XSR4",'suoirao (2016)'!$A$3,"MA_HT","CQP","MA_QH","DDL")</f>
        <v>0</v>
      </c>
      <c r="AP20" s="22">
        <f ca="1">+GETPIVOTDATA("XSR4",'suoirao (2016)'!$A$3,"MA_HT","CQP","MA_QH","DRA")</f>
        <v>0</v>
      </c>
      <c r="AQ20" s="22">
        <f ca="1">+GETPIVOTDATA("XSR4",'suoirao (2016)'!$A$3,"MA_HT","CQP","MA_QH","ONT")</f>
        <v>0</v>
      </c>
      <c r="AR20" s="22">
        <f ca="1">+GETPIVOTDATA("XSR4",'suoirao (2016)'!$A$3,"MA_HT","CQP","MA_QH","ODT")</f>
        <v>0</v>
      </c>
      <c r="AS20" s="22">
        <f ca="1">+GETPIVOTDATA("XSR4",'suoirao (2016)'!$A$3,"MA_HT","CQP","MA_QH","TSC")</f>
        <v>0</v>
      </c>
      <c r="AT20" s="22">
        <f ca="1">+GETPIVOTDATA("XSR4",'suoirao (2016)'!$A$3,"MA_HT","CQP","MA_QH","DTS")</f>
        <v>0</v>
      </c>
      <c r="AU20" s="22">
        <f ca="1">+GETPIVOTDATA("XSR4",'suoirao (2016)'!$A$3,"MA_HT","CQP","MA_QH","DNG")</f>
        <v>0</v>
      </c>
      <c r="AV20" s="22">
        <f ca="1">+GETPIVOTDATA("XSR4",'suoirao (2016)'!$A$3,"MA_HT","CQP","MA_QH","TON")</f>
        <v>0</v>
      </c>
      <c r="AW20" s="22">
        <f ca="1">+GETPIVOTDATA("XSR4",'suoirao (2016)'!$A$3,"MA_HT","CQP","MA_QH","NTD")</f>
        <v>0</v>
      </c>
      <c r="AX20" s="22">
        <f ca="1">+GETPIVOTDATA("XSR4",'suoirao (2016)'!$A$3,"MA_HT","CQP","MA_QH","SKX")</f>
        <v>0</v>
      </c>
      <c r="AY20" s="22">
        <f ca="1">+GETPIVOTDATA("XSR4",'suoirao (2016)'!$A$3,"MA_HT","CQP","MA_QH","DSH")</f>
        <v>0</v>
      </c>
      <c r="AZ20" s="22">
        <f ca="1">+GETPIVOTDATA("XSR4",'suoirao (2016)'!$A$3,"MA_HT","CQP","MA_QH","DKV")</f>
        <v>0</v>
      </c>
      <c r="BA20" s="89">
        <f ca="1">+GETPIVOTDATA("XSR4",'suoirao (2016)'!$A$3,"MA_HT","CQP","MA_QH","TIN")</f>
        <v>0</v>
      </c>
      <c r="BB20" s="50">
        <f ca="1">+GETPIVOTDATA("XSR4",'suoirao (2016)'!$A$3,"MA_HT","CQP","MA_QH","SON")</f>
        <v>0</v>
      </c>
      <c r="BC20" s="50">
        <f ca="1">+GETPIVOTDATA("XSR4",'suoirao (2016)'!$A$3,"MA_HT","CQP","MA_QH","MNC")</f>
        <v>0</v>
      </c>
      <c r="BD20" s="22">
        <f ca="1">+GETPIVOTDATA("XSR4",'suoirao (2016)'!$A$3,"MA_HT","CQP","MA_QH","PNK")</f>
        <v>0</v>
      </c>
      <c r="BE20" s="71">
        <f ca="1">+GETPIVOTDATA("XSR4",'suoirao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+GETPIVOTDATA("XSR4",'suoirao (2016)'!$A$3,"MA_HT","CAN","MA_QH","LUC")</f>
        <v>0</v>
      </c>
      <c r="H21" s="22">
        <f ca="1">+GETPIVOTDATA("XSR4",'suoirao (2016)'!$A$3,"MA_HT","CAN","MA_QH","LUK")</f>
        <v>0</v>
      </c>
      <c r="I21" s="22">
        <f ca="1">+GETPIVOTDATA("XSR4",'suoirao (2016)'!$A$3,"MA_HT","CAN","MA_QH","LUN")</f>
        <v>0</v>
      </c>
      <c r="J21" s="22">
        <f ca="1">+GETPIVOTDATA("XSR4",'suoirao (2016)'!$A$3,"MA_HT","CAN","MA_QH","HNK")</f>
        <v>0</v>
      </c>
      <c r="K21" s="22">
        <f ca="1">+GETPIVOTDATA("XSR4",'suoirao (2016)'!$A$3,"MA_HT","CAN","MA_QH","CLN")</f>
        <v>0</v>
      </c>
      <c r="L21" s="22">
        <f ca="1">+GETPIVOTDATA("XSR4",'suoirao (2016)'!$A$3,"MA_HT","CAN","MA_QH","RSX")</f>
        <v>0</v>
      </c>
      <c r="M21" s="22">
        <f ca="1">+GETPIVOTDATA("XSR4",'suoirao (2016)'!$A$3,"MA_HT","CAN","MA_QH","RPH")</f>
        <v>0</v>
      </c>
      <c r="N21" s="22">
        <f ca="1">+GETPIVOTDATA("XSR4",'suoirao (2016)'!$A$3,"MA_HT","CAN","MA_QH","RDD")</f>
        <v>0</v>
      </c>
      <c r="O21" s="22">
        <f ca="1">+GETPIVOTDATA("XSR4",'suoirao (2016)'!$A$3,"MA_HT","CAN","MA_QH","NTS")</f>
        <v>0</v>
      </c>
      <c r="P21" s="22">
        <f ca="1">+GETPIVOTDATA("XSR4",'suoirao (2016)'!$A$3,"MA_HT","CAN","MA_QH","LMU")</f>
        <v>0</v>
      </c>
      <c r="Q21" s="22">
        <f ca="1">+GETPIVOTDATA("XSR4",'suoirao (2016)'!$A$3,"MA_HT","CAN","MA_QH","NKH")</f>
        <v>0</v>
      </c>
      <c r="R21" s="42">
        <f ca="1">SUM(S21,U21:AA21,AN21:BD21)</f>
        <v>0</v>
      </c>
      <c r="S21" s="22">
        <f ca="1">+GETPIVOTDATA("XSR4",'suoirao (2016)'!$A$3,"MA_HT","CAN","MA_QH","CQP")</f>
        <v>0</v>
      </c>
      <c r="T21" s="43" t="e">
        <f ca="1">$D21-$BF21</f>
        <v>#REF!</v>
      </c>
      <c r="U21" s="22">
        <f ca="1">+GETPIVOTDATA("XSR4",'suoirao (2016)'!$A$3,"MA_HT","CAN","MA_QH","SKK")</f>
        <v>0</v>
      </c>
      <c r="V21" s="22">
        <f ca="1">+GETPIVOTDATA("XSR4",'suoirao (2016)'!$A$3,"MA_HT","CAN","MA_QH","SKT")</f>
        <v>0</v>
      </c>
      <c r="W21" s="22">
        <f ca="1">+GETPIVOTDATA("XSR4",'suoirao (2016)'!$A$3,"MA_HT","CAN","MA_QH","SKN")</f>
        <v>0</v>
      </c>
      <c r="X21" s="22">
        <f ca="1">+GETPIVOTDATA("XSR4",'suoirao (2016)'!$A$3,"MA_HT","CAN","MA_QH","TMD")</f>
        <v>0</v>
      </c>
      <c r="Y21" s="22">
        <f ca="1">+GETPIVOTDATA("XSR4",'suoirao (2016)'!$A$3,"MA_HT","CAN","MA_QH","SKC")</f>
        <v>0</v>
      </c>
      <c r="Z21" s="22">
        <f ca="1">+GETPIVOTDATA("XSR4",'suoirao (2016)'!$A$3,"MA_HT","CAN","MA_QH","SKS")</f>
        <v>0</v>
      </c>
      <c r="AA21" s="52">
        <f ca="1" t="shared" si="12"/>
        <v>0</v>
      </c>
      <c r="AB21" s="22">
        <f ca="1">+GETPIVOTDATA("XSR4",'suoirao (2016)'!$A$3,"MA_HT","CAN","MA_QH","DGT")</f>
        <v>0</v>
      </c>
      <c r="AC21" s="22">
        <f ca="1">+GETPIVOTDATA("XSR4",'suoirao (2016)'!$A$3,"MA_HT","CAN","MA_QH","DTL")</f>
        <v>0</v>
      </c>
      <c r="AD21" s="22">
        <f ca="1">+GETPIVOTDATA("XSR4",'suoirao (2016)'!$A$3,"MA_HT","CAN","MA_QH","DNL")</f>
        <v>0</v>
      </c>
      <c r="AE21" s="22">
        <f ca="1">+GETPIVOTDATA("XSR4",'suoirao (2016)'!$A$3,"MA_HT","CAN","MA_QH","DBV")</f>
        <v>0</v>
      </c>
      <c r="AF21" s="22">
        <f ca="1">+GETPIVOTDATA("XSR4",'suoirao (2016)'!$A$3,"MA_HT","CAN","MA_QH","DVH")</f>
        <v>0</v>
      </c>
      <c r="AG21" s="22">
        <f ca="1">+GETPIVOTDATA("XSR4",'suoirao (2016)'!$A$3,"MA_HT","CAN","MA_QH","DYT")</f>
        <v>0</v>
      </c>
      <c r="AH21" s="22">
        <f ca="1">+GETPIVOTDATA("XSR4",'suoirao (2016)'!$A$3,"MA_HT","CAN","MA_QH","DGD")</f>
        <v>0</v>
      </c>
      <c r="AI21" s="22">
        <f ca="1">+GETPIVOTDATA("XSR4",'suoirao (2016)'!$A$3,"MA_HT","CAN","MA_QH","DTT")</f>
        <v>0</v>
      </c>
      <c r="AJ21" s="22">
        <f ca="1">+GETPIVOTDATA("XSR4",'suoirao (2016)'!$A$3,"MA_HT","CAN","MA_QH","NCK")</f>
        <v>0</v>
      </c>
      <c r="AK21" s="22">
        <f ca="1">+GETPIVOTDATA("XSR4",'suoirao (2016)'!$A$3,"MA_HT","CAN","MA_QH","DXH")</f>
        <v>0</v>
      </c>
      <c r="AL21" s="22">
        <f ca="1">+GETPIVOTDATA("XSR4",'suoirao (2016)'!$A$3,"MA_HT","CAN","MA_QH","DCH")</f>
        <v>0</v>
      </c>
      <c r="AM21" s="22">
        <f ca="1">+GETPIVOTDATA("XSR4",'suoirao (2016)'!$A$3,"MA_HT","CAN","MA_QH","DKG")</f>
        <v>0</v>
      </c>
      <c r="AN21" s="22">
        <f ca="1">+GETPIVOTDATA("XSR4",'suoirao (2016)'!$A$3,"MA_HT","CAN","MA_QH","DDT")</f>
        <v>0</v>
      </c>
      <c r="AO21" s="22">
        <f ca="1">+GETPIVOTDATA("XSR4",'suoirao (2016)'!$A$3,"MA_HT","CAN","MA_QH","DDL")</f>
        <v>0</v>
      </c>
      <c r="AP21" s="22">
        <f ca="1">+GETPIVOTDATA("XSR4",'suoirao (2016)'!$A$3,"MA_HT","CAN","MA_QH","DRA")</f>
        <v>0</v>
      </c>
      <c r="AQ21" s="22">
        <f ca="1">+GETPIVOTDATA("XSR4",'suoirao (2016)'!$A$3,"MA_HT","CAN","MA_QH","ONT")</f>
        <v>0</v>
      </c>
      <c r="AR21" s="22">
        <f ca="1">+GETPIVOTDATA("XSR4",'suoirao (2016)'!$A$3,"MA_HT","CAN","MA_QH","ODT")</f>
        <v>0</v>
      </c>
      <c r="AS21" s="22">
        <f ca="1">+GETPIVOTDATA("XSR4",'suoirao (2016)'!$A$3,"MA_HT","CAN","MA_QH","TSC")</f>
        <v>0</v>
      </c>
      <c r="AT21" s="22">
        <f ca="1">+GETPIVOTDATA("XSR4",'suoirao (2016)'!$A$3,"MA_HT","CAN","MA_QH","DTS")</f>
        <v>0</v>
      </c>
      <c r="AU21" s="22">
        <f ca="1">+GETPIVOTDATA("XSR4",'suoirao (2016)'!$A$3,"MA_HT","CAN","MA_QH","DNG")</f>
        <v>0</v>
      </c>
      <c r="AV21" s="22">
        <f ca="1">+GETPIVOTDATA("XSR4",'suoirao (2016)'!$A$3,"MA_HT","CAN","MA_QH","TON")</f>
        <v>0</v>
      </c>
      <c r="AW21" s="22">
        <f ca="1">+GETPIVOTDATA("XSR4",'suoirao (2016)'!$A$3,"MA_HT","CAN","MA_QH","NTD")</f>
        <v>0</v>
      </c>
      <c r="AX21" s="22">
        <f ca="1">+GETPIVOTDATA("XSR4",'suoirao (2016)'!$A$3,"MA_HT","CAN","MA_QH","SKX")</f>
        <v>0</v>
      </c>
      <c r="AY21" s="22">
        <f ca="1">+GETPIVOTDATA("XSR4",'suoirao (2016)'!$A$3,"MA_HT","CAN","MA_QH","DSH")</f>
        <v>0</v>
      </c>
      <c r="AZ21" s="22">
        <f ca="1">+GETPIVOTDATA("XSR4",'suoirao (2016)'!$A$3,"MA_HT","CAN","MA_QH","DKV")</f>
        <v>0</v>
      </c>
      <c r="BA21" s="89">
        <f ca="1">+GETPIVOTDATA("XSR4",'suoirao (2016)'!$A$3,"MA_HT","CAN","MA_QH","TIN")</f>
        <v>0</v>
      </c>
      <c r="BB21" s="50">
        <f ca="1">+GETPIVOTDATA("XSR4",'suoirao (2016)'!$A$3,"MA_HT","CAN","MA_QH","SON")</f>
        <v>0</v>
      </c>
      <c r="BC21" s="50">
        <f ca="1">+GETPIVOTDATA("XSR4",'suoirao (2016)'!$A$3,"MA_HT","CAN","MA_QH","MNC")</f>
        <v>0</v>
      </c>
      <c r="BD21" s="22">
        <f ca="1">+GETPIVOTDATA("XSR4",'suoirao (2016)'!$A$3,"MA_HT","CAN","MA_QH","PNK")</f>
        <v>0</v>
      </c>
      <c r="BE21" s="71">
        <f ca="1">+GETPIVOTDATA("XSR4",'suoirao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+GETPIVOTDATA("XSR4",'suoirao (2016)'!$A$3,"MA_HT","SKK","MA_QH","LUC")</f>
        <v>0</v>
      </c>
      <c r="H22" s="22">
        <f ca="1">+GETPIVOTDATA("XSR4",'suoirao (2016)'!$A$3,"MA_HT","SKK","MA_QH","LUK")</f>
        <v>0</v>
      </c>
      <c r="I22" s="22">
        <f ca="1">+GETPIVOTDATA("XSR4",'suoirao (2016)'!$A$3,"MA_HT","SKK","MA_QH","LUN")</f>
        <v>0</v>
      </c>
      <c r="J22" s="22">
        <f ca="1">+GETPIVOTDATA("XSR4",'suoirao (2016)'!$A$3,"MA_HT","SKK","MA_QH","HNK")</f>
        <v>0</v>
      </c>
      <c r="K22" s="22">
        <f ca="1">+GETPIVOTDATA("XSR4",'suoirao (2016)'!$A$3,"MA_HT","SKK","MA_QH","CLN")</f>
        <v>0</v>
      </c>
      <c r="L22" s="22">
        <f ca="1">+GETPIVOTDATA("XSR4",'suoirao (2016)'!$A$3,"MA_HT","SKK","MA_QH","RSX")</f>
        <v>0</v>
      </c>
      <c r="M22" s="22">
        <f ca="1">+GETPIVOTDATA("XSR4",'suoirao (2016)'!$A$3,"MA_HT","SKK","MA_QH","RPH")</f>
        <v>0</v>
      </c>
      <c r="N22" s="22">
        <f ca="1">+GETPIVOTDATA("XSR4",'suoirao (2016)'!$A$3,"MA_HT","SKK","MA_QH","RDD")</f>
        <v>0</v>
      </c>
      <c r="O22" s="22">
        <f ca="1">+GETPIVOTDATA("XSR4",'suoirao (2016)'!$A$3,"MA_HT","SKK","MA_QH","NTS")</f>
        <v>0</v>
      </c>
      <c r="P22" s="22">
        <f ca="1">+GETPIVOTDATA("XSR4",'suoirao (2016)'!$A$3,"MA_HT","SKK","MA_QH","LMU")</f>
        <v>0</v>
      </c>
      <c r="Q22" s="22">
        <f ca="1">+GETPIVOTDATA("XSR4",'suoirao (2016)'!$A$3,"MA_HT","SKK","MA_QH","NKH")</f>
        <v>0</v>
      </c>
      <c r="R22" s="42">
        <f ca="1">SUM(S22:T22,V22:AA22,AN22:BD22)</f>
        <v>0</v>
      </c>
      <c r="S22" s="22">
        <f ca="1">+GETPIVOTDATA("XSR4",'suoirao (2016)'!$A$3,"MA_HT","SKK","MA_QH","CQP")</f>
        <v>0</v>
      </c>
      <c r="T22" s="22">
        <f ca="1">+GETPIVOTDATA("XSR4",'suoirao (2016)'!$A$3,"MA_HT","SKK","MA_QH","CAN")</f>
        <v>0</v>
      </c>
      <c r="U22" s="43" t="e">
        <f ca="1">$D22-$BF22</f>
        <v>#REF!</v>
      </c>
      <c r="V22" s="22">
        <f ca="1">+GETPIVOTDATA("XSR4",'suoirao (2016)'!$A$3,"MA_HT","SKK","MA_QH","SKT")</f>
        <v>0</v>
      </c>
      <c r="W22" s="22">
        <f ca="1">+GETPIVOTDATA("XSR4",'suoirao (2016)'!$A$3,"MA_HT","SKK","MA_QH","SKN")</f>
        <v>0</v>
      </c>
      <c r="X22" s="22">
        <f ca="1">+GETPIVOTDATA("XSR4",'suoirao (2016)'!$A$3,"MA_HT","SKK","MA_QH","TMD")</f>
        <v>0</v>
      </c>
      <c r="Y22" s="22">
        <f ca="1">+GETPIVOTDATA("XSR4",'suoirao (2016)'!$A$3,"MA_HT","SKK","MA_QH","SKC")</f>
        <v>0</v>
      </c>
      <c r="Z22" s="22">
        <f ca="1">+GETPIVOTDATA("XSR4",'suoirao (2016)'!$A$3,"MA_HT","SKK","MA_QH","SKS")</f>
        <v>0</v>
      </c>
      <c r="AA22" s="52">
        <f ca="1" t="shared" si="12"/>
        <v>0</v>
      </c>
      <c r="AB22" s="22">
        <f ca="1">+GETPIVOTDATA("XSR4",'suoirao (2016)'!$A$3,"MA_HT","SKK","MA_QH","DGT")</f>
        <v>0</v>
      </c>
      <c r="AC22" s="22">
        <f ca="1">+GETPIVOTDATA("XSR4",'suoirao (2016)'!$A$3,"MA_HT","SKK","MA_QH","DTL")</f>
        <v>0</v>
      </c>
      <c r="AD22" s="22">
        <f ca="1">+GETPIVOTDATA("XSR4",'suoirao (2016)'!$A$3,"MA_HT","SKK","MA_QH","DNL")</f>
        <v>0</v>
      </c>
      <c r="AE22" s="22">
        <f ca="1">+GETPIVOTDATA("XSR4",'suoirao (2016)'!$A$3,"MA_HT","SKK","MA_QH","DBV")</f>
        <v>0</v>
      </c>
      <c r="AF22" s="22">
        <f ca="1">+GETPIVOTDATA("XSR4",'suoirao (2016)'!$A$3,"MA_HT","SKK","MA_QH","DVH")</f>
        <v>0</v>
      </c>
      <c r="AG22" s="22">
        <f ca="1">+GETPIVOTDATA("XSR4",'suoirao (2016)'!$A$3,"MA_HT","SKK","MA_QH","DYT")</f>
        <v>0</v>
      </c>
      <c r="AH22" s="22">
        <f ca="1">+GETPIVOTDATA("XSR4",'suoirao (2016)'!$A$3,"MA_HT","SKK","MA_QH","DGD")</f>
        <v>0</v>
      </c>
      <c r="AI22" s="22">
        <f ca="1">+GETPIVOTDATA("XSR4",'suoirao (2016)'!$A$3,"MA_HT","SKK","MA_QH","DTT")</f>
        <v>0</v>
      </c>
      <c r="AJ22" s="22">
        <f ca="1">+GETPIVOTDATA("XSR4",'suoirao (2016)'!$A$3,"MA_HT","SKK","MA_QH","NCK")</f>
        <v>0</v>
      </c>
      <c r="AK22" s="22">
        <f ca="1">+GETPIVOTDATA("XSR4",'suoirao (2016)'!$A$3,"MA_HT","SKK","MA_QH","DXH")</f>
        <v>0</v>
      </c>
      <c r="AL22" s="22">
        <f ca="1">+GETPIVOTDATA("XSR4",'suoirao (2016)'!$A$3,"MA_HT","SKK","MA_QH","DCH")</f>
        <v>0</v>
      </c>
      <c r="AM22" s="22">
        <f ca="1">+GETPIVOTDATA("XSR4",'suoirao (2016)'!$A$3,"MA_HT","SKK","MA_QH","DKG")</f>
        <v>0</v>
      </c>
      <c r="AN22" s="22">
        <f ca="1">+GETPIVOTDATA("XSR4",'suoirao (2016)'!$A$3,"MA_HT","SKK","MA_QH","DDT")</f>
        <v>0</v>
      </c>
      <c r="AO22" s="22">
        <f ca="1">+GETPIVOTDATA("XSR4",'suoirao (2016)'!$A$3,"MA_HT","SKK","MA_QH","DDL")</f>
        <v>0</v>
      </c>
      <c r="AP22" s="22">
        <f ca="1">+GETPIVOTDATA("XSR4",'suoirao (2016)'!$A$3,"MA_HT","SKK","MA_QH","DRA")</f>
        <v>0</v>
      </c>
      <c r="AQ22" s="22">
        <f ca="1">+GETPIVOTDATA("XSR4",'suoirao (2016)'!$A$3,"MA_HT","SKK","MA_QH","ONT")</f>
        <v>0</v>
      </c>
      <c r="AR22" s="22">
        <f ca="1">+GETPIVOTDATA("XSR4",'suoirao (2016)'!$A$3,"MA_HT","SKK","MA_QH","ODT")</f>
        <v>0</v>
      </c>
      <c r="AS22" s="22">
        <f ca="1">+GETPIVOTDATA("XSR4",'suoirao (2016)'!$A$3,"MA_HT","SKK","MA_QH","TSC")</f>
        <v>0</v>
      </c>
      <c r="AT22" s="22">
        <f ca="1">+GETPIVOTDATA("XSR4",'suoirao (2016)'!$A$3,"MA_HT","SKK","MA_QH","DTS")</f>
        <v>0</v>
      </c>
      <c r="AU22" s="22">
        <f ca="1">+GETPIVOTDATA("XSR4",'suoirao (2016)'!$A$3,"MA_HT","SKK","MA_QH","DNG")</f>
        <v>0</v>
      </c>
      <c r="AV22" s="22">
        <f ca="1">+GETPIVOTDATA("XSR4",'suoirao (2016)'!$A$3,"MA_HT","SKK","MA_QH","TON")</f>
        <v>0</v>
      </c>
      <c r="AW22" s="22">
        <f ca="1">+GETPIVOTDATA("XSR4",'suoirao (2016)'!$A$3,"MA_HT","SKK","MA_QH","NTD")</f>
        <v>0</v>
      </c>
      <c r="AX22" s="22">
        <f ca="1">+GETPIVOTDATA("XSR4",'suoirao (2016)'!$A$3,"MA_HT","SKK","MA_QH","SKX")</f>
        <v>0</v>
      </c>
      <c r="AY22" s="22">
        <f ca="1">+GETPIVOTDATA("XSR4",'suoirao (2016)'!$A$3,"MA_HT","SKK","MA_QH","DSH")</f>
        <v>0</v>
      </c>
      <c r="AZ22" s="22">
        <f ca="1">+GETPIVOTDATA("XSR4",'suoirao (2016)'!$A$3,"MA_HT","SKK","MA_QH","DKV")</f>
        <v>0</v>
      </c>
      <c r="BA22" s="89">
        <f ca="1">+GETPIVOTDATA("XSR4",'suoirao (2016)'!$A$3,"MA_HT","SKK","MA_QH","TIN")</f>
        <v>0</v>
      </c>
      <c r="BB22" s="50">
        <f ca="1">+GETPIVOTDATA("XSR4",'suoirao (2016)'!$A$3,"MA_HT","SKK","MA_QH","SON")</f>
        <v>0</v>
      </c>
      <c r="BC22" s="50">
        <f ca="1">+GETPIVOTDATA("XSR4",'suoirao (2016)'!$A$3,"MA_HT","SKK","MA_QH","MNC")</f>
        <v>0</v>
      </c>
      <c r="BD22" s="22">
        <f ca="1">+GETPIVOTDATA("XSR4",'suoirao (2016)'!$A$3,"MA_HT","SKK","MA_QH","PNK")</f>
        <v>0</v>
      </c>
      <c r="BE22" s="71">
        <f ca="1">+GETPIVOTDATA("XSR4",'suoirao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+GETPIVOTDATA("XSR4",'suoirao (2016)'!$A$3,"MA_HT","SKT","MA_QH","LUC")</f>
        <v>0</v>
      </c>
      <c r="H23" s="22">
        <f ca="1">+GETPIVOTDATA("XSR4",'suoirao (2016)'!$A$3,"MA_HT","SKT","MA_QH","LUK")</f>
        <v>0</v>
      </c>
      <c r="I23" s="22">
        <f ca="1">+GETPIVOTDATA("XSR4",'suoirao (2016)'!$A$3,"MA_HT","SKT","MA_QH","LUN")</f>
        <v>0</v>
      </c>
      <c r="J23" s="22">
        <f ca="1">+GETPIVOTDATA("XSR4",'suoirao (2016)'!$A$3,"MA_HT","SKT","MA_QH","HNK")</f>
        <v>0</v>
      </c>
      <c r="K23" s="22">
        <f ca="1">+GETPIVOTDATA("XSR4",'suoirao (2016)'!$A$3,"MA_HT","SKT","MA_QH","CLN")</f>
        <v>0</v>
      </c>
      <c r="L23" s="22">
        <f ca="1">+GETPIVOTDATA("XSR4",'suoirao (2016)'!$A$3,"MA_HT","SKT","MA_QH","RSX")</f>
        <v>0</v>
      </c>
      <c r="M23" s="22">
        <f ca="1">+GETPIVOTDATA("XSR4",'suoirao (2016)'!$A$3,"MA_HT","SKT","MA_QH","RPH")</f>
        <v>0</v>
      </c>
      <c r="N23" s="22">
        <f ca="1">+GETPIVOTDATA("XSR4",'suoirao (2016)'!$A$3,"MA_HT","SKT","MA_QH","RDD")</f>
        <v>0</v>
      </c>
      <c r="O23" s="22">
        <f ca="1">+GETPIVOTDATA("XSR4",'suoirao (2016)'!$A$3,"MA_HT","SKT","MA_QH","NTS")</f>
        <v>0</v>
      </c>
      <c r="P23" s="22">
        <f ca="1">+GETPIVOTDATA("XSR4",'suoirao (2016)'!$A$3,"MA_HT","SKT","MA_QH","LMU")</f>
        <v>0</v>
      </c>
      <c r="Q23" s="22">
        <f ca="1">+GETPIVOTDATA("XSR4",'suoirao (2016)'!$A$3,"MA_HT","SKT","MA_QH","NKH")</f>
        <v>0</v>
      </c>
      <c r="R23" s="42">
        <f ca="1">SUM(S23:U23,W23:AA23,AN23:BD23)</f>
        <v>0</v>
      </c>
      <c r="S23" s="22">
        <f ca="1">+GETPIVOTDATA("XSR4",'suoirao (2016)'!$A$3,"MA_HT","SKT","MA_QH","CQP")</f>
        <v>0</v>
      </c>
      <c r="T23" s="22">
        <f ca="1">+GETPIVOTDATA("XSR4",'suoirao (2016)'!$A$3,"MA_HT","SKT","MA_QH","CAN")</f>
        <v>0</v>
      </c>
      <c r="U23" s="22">
        <f ca="1">+GETPIVOTDATA("XSR4",'suoirao (2016)'!$A$3,"MA_HT","SKT","MA_QH","SKK")</f>
        <v>0</v>
      </c>
      <c r="V23" s="43" t="e">
        <f ca="1">$D23-$BF23</f>
        <v>#REF!</v>
      </c>
      <c r="W23" s="22">
        <f ca="1">+GETPIVOTDATA("XSR4",'suoirao (2016)'!$A$3,"MA_HT","SKT","MA_QH","SKN")</f>
        <v>0</v>
      </c>
      <c r="X23" s="22">
        <f ca="1">+GETPIVOTDATA("XSR4",'suoirao (2016)'!$A$3,"MA_HT","SKT","MA_QH","TMD")</f>
        <v>0</v>
      </c>
      <c r="Y23" s="22">
        <f ca="1">+GETPIVOTDATA("XSR4",'suoirao (2016)'!$A$3,"MA_HT","SKT","MA_QH","SKC")</f>
        <v>0</v>
      </c>
      <c r="Z23" s="22">
        <f ca="1">+GETPIVOTDATA("XSR4",'suoirao (2016)'!$A$3,"MA_HT","SKT","MA_QH","SKS")</f>
        <v>0</v>
      </c>
      <c r="AA23" s="52">
        <f ca="1" t="shared" si="12"/>
        <v>0</v>
      </c>
      <c r="AB23" s="22">
        <f ca="1">+GETPIVOTDATA("XSR4",'suoirao (2016)'!$A$3,"MA_HT","SKT","MA_QH","DGT")</f>
        <v>0</v>
      </c>
      <c r="AC23" s="22">
        <f ca="1">+GETPIVOTDATA("XSR4",'suoirao (2016)'!$A$3,"MA_HT","SKT","MA_QH","DTL")</f>
        <v>0</v>
      </c>
      <c r="AD23" s="22">
        <f ca="1">+GETPIVOTDATA("XSR4",'suoirao (2016)'!$A$3,"MA_HT","SKT","MA_QH","DNL")</f>
        <v>0</v>
      </c>
      <c r="AE23" s="22">
        <f ca="1">+GETPIVOTDATA("XSR4",'suoirao (2016)'!$A$3,"MA_HT","SKT","MA_QH","DBV")</f>
        <v>0</v>
      </c>
      <c r="AF23" s="22">
        <f ca="1">+GETPIVOTDATA("XSR4",'suoirao (2016)'!$A$3,"MA_HT","SKT","MA_QH","DVH")</f>
        <v>0</v>
      </c>
      <c r="AG23" s="22">
        <f ca="1">+GETPIVOTDATA("XSR4",'suoirao (2016)'!$A$3,"MA_HT","SKT","MA_QH","DYT")</f>
        <v>0</v>
      </c>
      <c r="AH23" s="22">
        <f ca="1">+GETPIVOTDATA("XSR4",'suoirao (2016)'!$A$3,"MA_HT","SKT","MA_QH","DGD")</f>
        <v>0</v>
      </c>
      <c r="AI23" s="22">
        <f ca="1">+GETPIVOTDATA("XSR4",'suoirao (2016)'!$A$3,"MA_HT","SKT","MA_QH","DTT")</f>
        <v>0</v>
      </c>
      <c r="AJ23" s="22">
        <f ca="1">+GETPIVOTDATA("XSR4",'suoirao (2016)'!$A$3,"MA_HT","SKT","MA_QH","NCK")</f>
        <v>0</v>
      </c>
      <c r="AK23" s="22">
        <f ca="1">+GETPIVOTDATA("XSR4",'suoirao (2016)'!$A$3,"MA_HT","SKT","MA_QH","DXH")</f>
        <v>0</v>
      </c>
      <c r="AL23" s="22">
        <f ca="1">+GETPIVOTDATA("XSR4",'suoirao (2016)'!$A$3,"MA_HT","SKT","MA_QH","DCH")</f>
        <v>0</v>
      </c>
      <c r="AM23" s="22">
        <f ca="1">+GETPIVOTDATA("XSR4",'suoirao (2016)'!$A$3,"MA_HT","SKT","MA_QH","DKG")</f>
        <v>0</v>
      </c>
      <c r="AN23" s="22">
        <f ca="1">+GETPIVOTDATA("XSR4",'suoirao (2016)'!$A$3,"MA_HT","SKT","MA_QH","DDT")</f>
        <v>0</v>
      </c>
      <c r="AO23" s="22">
        <f ca="1">+GETPIVOTDATA("XSR4",'suoirao (2016)'!$A$3,"MA_HT","SKT","MA_QH","DDL")</f>
        <v>0</v>
      </c>
      <c r="AP23" s="22">
        <f ca="1">+GETPIVOTDATA("XSR4",'suoirao (2016)'!$A$3,"MA_HT","SKT","MA_QH","DRA")</f>
        <v>0</v>
      </c>
      <c r="AQ23" s="22">
        <f ca="1">+GETPIVOTDATA("XSR4",'suoirao (2016)'!$A$3,"MA_HT","SKT","MA_QH","ONT")</f>
        <v>0</v>
      </c>
      <c r="AR23" s="22">
        <f ca="1">+GETPIVOTDATA("XSR4",'suoirao (2016)'!$A$3,"MA_HT","SKT","MA_QH","ODT")</f>
        <v>0</v>
      </c>
      <c r="AS23" s="22">
        <f ca="1">+GETPIVOTDATA("XSR4",'suoirao (2016)'!$A$3,"MA_HT","SKT","MA_QH","TSC")</f>
        <v>0</v>
      </c>
      <c r="AT23" s="22">
        <f ca="1">+GETPIVOTDATA("XSR4",'suoirao (2016)'!$A$3,"MA_HT","SKT","MA_QH","DTS")</f>
        <v>0</v>
      </c>
      <c r="AU23" s="22">
        <f ca="1">+GETPIVOTDATA("XSR4",'suoirao (2016)'!$A$3,"MA_HT","SKT","MA_QH","DNG")</f>
        <v>0</v>
      </c>
      <c r="AV23" s="22">
        <f ca="1">+GETPIVOTDATA("XSR4",'suoirao (2016)'!$A$3,"MA_HT","SKT","MA_QH","TON")</f>
        <v>0</v>
      </c>
      <c r="AW23" s="22">
        <f ca="1">+GETPIVOTDATA("XSR4",'suoirao (2016)'!$A$3,"MA_HT","SKT","MA_QH","NTD")</f>
        <v>0</v>
      </c>
      <c r="AX23" s="22">
        <f ca="1">+GETPIVOTDATA("XSR4",'suoirao (2016)'!$A$3,"MA_HT","SKT","MA_QH","SKX")</f>
        <v>0</v>
      </c>
      <c r="AY23" s="22">
        <f ca="1">+GETPIVOTDATA("XSR4",'suoirao (2016)'!$A$3,"MA_HT","SKT","MA_QH","DSH")</f>
        <v>0</v>
      </c>
      <c r="AZ23" s="22">
        <f ca="1">+GETPIVOTDATA("XSR4",'suoirao (2016)'!$A$3,"MA_HT","SKT","MA_QH","DKV")</f>
        <v>0</v>
      </c>
      <c r="BA23" s="89">
        <f ca="1">+GETPIVOTDATA("XSR4",'suoirao (2016)'!$A$3,"MA_HT","SKT","MA_QH","TIN")</f>
        <v>0</v>
      </c>
      <c r="BB23" s="50">
        <f ca="1">+GETPIVOTDATA("XSR4",'suoirao (2016)'!$A$3,"MA_HT","SKT","MA_QH","SON")</f>
        <v>0</v>
      </c>
      <c r="BC23" s="50">
        <f ca="1">+GETPIVOTDATA("XSR4",'suoirao (2016)'!$A$3,"MA_HT","SKT","MA_QH","MNC")</f>
        <v>0</v>
      </c>
      <c r="BD23" s="22">
        <f ca="1">+GETPIVOTDATA("XSR4",'suoirao (2016)'!$A$3,"MA_HT","SKT","MA_QH","PNK")</f>
        <v>0</v>
      </c>
      <c r="BE23" s="71">
        <f ca="1">+GETPIVOTDATA("XSR4",'suoirao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+GETPIVOTDATA("XSR4",'suoirao (2016)'!$A$3,"MA_HT","SKN","MA_QH","LUC")</f>
        <v>0</v>
      </c>
      <c r="H24" s="22">
        <f ca="1">+GETPIVOTDATA("XSR4",'suoirao (2016)'!$A$3,"MA_HT","SKN","MA_QH","LUK")</f>
        <v>0</v>
      </c>
      <c r="I24" s="22">
        <f ca="1">+GETPIVOTDATA("XSR4",'suoirao (2016)'!$A$3,"MA_HT","SKN","MA_QH","LUN")</f>
        <v>0</v>
      </c>
      <c r="J24" s="22">
        <f ca="1">+GETPIVOTDATA("XSR4",'suoirao (2016)'!$A$3,"MA_HT","SKN","MA_QH","HNK")</f>
        <v>0</v>
      </c>
      <c r="K24" s="22">
        <f ca="1">+GETPIVOTDATA("XSR4",'suoirao (2016)'!$A$3,"MA_HT","SKN","MA_QH","CLN")</f>
        <v>0</v>
      </c>
      <c r="L24" s="22">
        <f ca="1">+GETPIVOTDATA("XSR4",'suoirao (2016)'!$A$3,"MA_HT","SKN","MA_QH","RSX")</f>
        <v>0</v>
      </c>
      <c r="M24" s="22">
        <f ca="1">+GETPIVOTDATA("XSR4",'suoirao (2016)'!$A$3,"MA_HT","SKN","MA_QH","RPH")</f>
        <v>0</v>
      </c>
      <c r="N24" s="22">
        <f ca="1">+GETPIVOTDATA("XSR4",'suoirao (2016)'!$A$3,"MA_HT","SKN","MA_QH","RDD")</f>
        <v>0</v>
      </c>
      <c r="O24" s="22">
        <f ca="1">+GETPIVOTDATA("XSR4",'suoirao (2016)'!$A$3,"MA_HT","SKN","MA_QH","NTS")</f>
        <v>0</v>
      </c>
      <c r="P24" s="22">
        <f ca="1">+GETPIVOTDATA("XSR4",'suoirao (2016)'!$A$3,"MA_HT","SKN","MA_QH","LMU")</f>
        <v>0</v>
      </c>
      <c r="Q24" s="22">
        <f ca="1">+GETPIVOTDATA("XSR4",'suoirao (2016)'!$A$3,"MA_HT","SKN","MA_QH","NKH")</f>
        <v>0</v>
      </c>
      <c r="R24" s="42">
        <f ca="1">SUM(S24:V24,X24:AA24,AN24:BD24)</f>
        <v>0</v>
      </c>
      <c r="S24" s="22">
        <f ca="1">+GETPIVOTDATA("XSR4",'suoirao (2016)'!$A$3,"MA_HT","SKN","MA_QH","CQP")</f>
        <v>0</v>
      </c>
      <c r="T24" s="22">
        <f ca="1">+GETPIVOTDATA("XSR4",'suoirao (2016)'!$A$3,"MA_HT","SKN","MA_QH","CAN")</f>
        <v>0</v>
      </c>
      <c r="U24" s="22">
        <f ca="1">+GETPIVOTDATA("XSR4",'suoirao (2016)'!$A$3,"MA_HT","SKN","MA_QH","SKK")</f>
        <v>0</v>
      </c>
      <c r="V24" s="22">
        <f ca="1">+GETPIVOTDATA("XSR4",'suoirao (2016)'!$A$3,"MA_HT","SKN","MA_QH","SKT")</f>
        <v>0</v>
      </c>
      <c r="W24" s="43" t="e">
        <f ca="1">$D24-$BF24</f>
        <v>#REF!</v>
      </c>
      <c r="X24" s="22">
        <f ca="1">+GETPIVOTDATA("XSR4",'suoirao (2016)'!$A$3,"MA_HT","SKN","MA_QH","TMD")</f>
        <v>0</v>
      </c>
      <c r="Y24" s="22">
        <f ca="1">+GETPIVOTDATA("XSR4",'suoirao (2016)'!$A$3,"MA_HT","SKN","MA_QH","SKC")</f>
        <v>0</v>
      </c>
      <c r="Z24" s="22">
        <f ca="1">+GETPIVOTDATA("XSR4",'suoirao (2016)'!$A$3,"MA_HT","SKN","MA_QH","SKS")</f>
        <v>0</v>
      </c>
      <c r="AA24" s="52">
        <f ca="1" t="shared" si="12"/>
        <v>0</v>
      </c>
      <c r="AB24" s="22">
        <f ca="1">+GETPIVOTDATA("XSR4",'suoirao (2016)'!$A$3,"MA_HT","SKN","MA_QH","DGT")</f>
        <v>0</v>
      </c>
      <c r="AC24" s="22">
        <f ca="1">+GETPIVOTDATA("XSR4",'suoirao (2016)'!$A$3,"MA_HT","SKN","MA_QH","DTL")</f>
        <v>0</v>
      </c>
      <c r="AD24" s="22">
        <f ca="1">+GETPIVOTDATA("XSR4",'suoirao (2016)'!$A$3,"MA_HT","SKN","MA_QH","DNL")</f>
        <v>0</v>
      </c>
      <c r="AE24" s="22">
        <f ca="1">+GETPIVOTDATA("XSR4",'suoirao (2016)'!$A$3,"MA_HT","SKN","MA_QH","DBV")</f>
        <v>0</v>
      </c>
      <c r="AF24" s="22">
        <f ca="1">+GETPIVOTDATA("XSR4",'suoirao (2016)'!$A$3,"MA_HT","SKN","MA_QH","DVH")</f>
        <v>0</v>
      </c>
      <c r="AG24" s="22">
        <f ca="1">+GETPIVOTDATA("XSR4",'suoirao (2016)'!$A$3,"MA_HT","SKN","MA_QH","DYT")</f>
        <v>0</v>
      </c>
      <c r="AH24" s="22">
        <f ca="1">+GETPIVOTDATA("XSR4",'suoirao (2016)'!$A$3,"MA_HT","SKN","MA_QH","DGD")</f>
        <v>0</v>
      </c>
      <c r="AI24" s="22">
        <f ca="1">+GETPIVOTDATA("XSR4",'suoirao (2016)'!$A$3,"MA_HT","SKN","MA_QH","DTT")</f>
        <v>0</v>
      </c>
      <c r="AJ24" s="22">
        <f ca="1">+GETPIVOTDATA("XSR4",'suoirao (2016)'!$A$3,"MA_HT","SKN","MA_QH","NCK")</f>
        <v>0</v>
      </c>
      <c r="AK24" s="22">
        <f ca="1">+GETPIVOTDATA("XSR4",'suoirao (2016)'!$A$3,"MA_HT","SKN","MA_QH","DXH")</f>
        <v>0</v>
      </c>
      <c r="AL24" s="22">
        <f ca="1">+GETPIVOTDATA("XSR4",'suoirao (2016)'!$A$3,"MA_HT","SKN","MA_QH","DCH")</f>
        <v>0</v>
      </c>
      <c r="AM24" s="22">
        <f ca="1">+GETPIVOTDATA("XSR4",'suoirao (2016)'!$A$3,"MA_HT","SKN","MA_QH","DKG")</f>
        <v>0</v>
      </c>
      <c r="AN24" s="22">
        <f ca="1">+GETPIVOTDATA("XSR4",'suoirao (2016)'!$A$3,"MA_HT","SKN","MA_QH","DDT")</f>
        <v>0</v>
      </c>
      <c r="AO24" s="22">
        <f ca="1">+GETPIVOTDATA("XSR4",'suoirao (2016)'!$A$3,"MA_HT","SKN","MA_QH","DDL")</f>
        <v>0</v>
      </c>
      <c r="AP24" s="22">
        <f ca="1">+GETPIVOTDATA("XSR4",'suoirao (2016)'!$A$3,"MA_HT","SKN","MA_QH","DRA")</f>
        <v>0</v>
      </c>
      <c r="AQ24" s="22">
        <f ca="1">+GETPIVOTDATA("XSR4",'suoirao (2016)'!$A$3,"MA_HT","SKN","MA_QH","ONT")</f>
        <v>0</v>
      </c>
      <c r="AR24" s="22">
        <f ca="1">+GETPIVOTDATA("XSR4",'suoirao (2016)'!$A$3,"MA_HT","SKN","MA_QH","ODT")</f>
        <v>0</v>
      </c>
      <c r="AS24" s="22">
        <f ca="1">+GETPIVOTDATA("XSR4",'suoirao (2016)'!$A$3,"MA_HT","SKN","MA_QH","TSC")</f>
        <v>0</v>
      </c>
      <c r="AT24" s="22">
        <f ca="1">+GETPIVOTDATA("XSR4",'suoirao (2016)'!$A$3,"MA_HT","SKN","MA_QH","DTS")</f>
        <v>0</v>
      </c>
      <c r="AU24" s="22">
        <f ca="1">+GETPIVOTDATA("XSR4",'suoirao (2016)'!$A$3,"MA_HT","SKN","MA_QH","DNG")</f>
        <v>0</v>
      </c>
      <c r="AV24" s="22">
        <f ca="1">+GETPIVOTDATA("XSR4",'suoirao (2016)'!$A$3,"MA_HT","SKN","MA_QH","TON")</f>
        <v>0</v>
      </c>
      <c r="AW24" s="22">
        <f ca="1">+GETPIVOTDATA("XSR4",'suoirao (2016)'!$A$3,"MA_HT","SKN","MA_QH","NTD")</f>
        <v>0</v>
      </c>
      <c r="AX24" s="22">
        <f ca="1">+GETPIVOTDATA("XSR4",'suoirao (2016)'!$A$3,"MA_HT","SKN","MA_QH","SKX")</f>
        <v>0</v>
      </c>
      <c r="AY24" s="22">
        <f ca="1">+GETPIVOTDATA("XSR4",'suoirao (2016)'!$A$3,"MA_HT","SKN","MA_QH","DSH")</f>
        <v>0</v>
      </c>
      <c r="AZ24" s="22">
        <f ca="1">+GETPIVOTDATA("XSR4",'suoirao (2016)'!$A$3,"MA_HT","SKN","MA_QH","DKV")</f>
        <v>0</v>
      </c>
      <c r="BA24" s="89">
        <f ca="1">+GETPIVOTDATA("XSR4",'suoirao (2016)'!$A$3,"MA_HT","SKN","MA_QH","TIN")</f>
        <v>0</v>
      </c>
      <c r="BB24" s="50">
        <f ca="1">+GETPIVOTDATA("XSR4",'suoirao (2016)'!$A$3,"MA_HT","SKN","MA_QH","SON")</f>
        <v>0</v>
      </c>
      <c r="BC24" s="50">
        <f ca="1">+GETPIVOTDATA("XSR4",'suoirao (2016)'!$A$3,"MA_HT","SKN","MA_QH","MNC")</f>
        <v>0</v>
      </c>
      <c r="BD24" s="22">
        <f ca="1">+GETPIVOTDATA("XSR4",'suoirao (2016)'!$A$3,"MA_HT","SKN","MA_QH","PNK")</f>
        <v>0</v>
      </c>
      <c r="BE24" s="71">
        <f ca="1">+GETPIVOTDATA("XSR4",'suoirao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+GETPIVOTDATA("XSR4",'suoirao (2016)'!$A$3,"MA_HT","TMD","MA_QH","LUC")</f>
        <v>0</v>
      </c>
      <c r="H25" s="22">
        <f ca="1">+GETPIVOTDATA("XSR4",'suoirao (2016)'!$A$3,"MA_HT","TMD","MA_QH","LUK")</f>
        <v>0</v>
      </c>
      <c r="I25" s="22">
        <f ca="1">+GETPIVOTDATA("XSR4",'suoirao (2016)'!$A$3,"MA_HT","TMD","MA_QH","LUN")</f>
        <v>0</v>
      </c>
      <c r="J25" s="22">
        <f ca="1">+GETPIVOTDATA("XSR4",'suoirao (2016)'!$A$3,"MA_HT","TMD","MA_QH","HNK")</f>
        <v>0</v>
      </c>
      <c r="K25" s="22">
        <f ca="1">+GETPIVOTDATA("XSR4",'suoirao (2016)'!$A$3,"MA_HT","TMD","MA_QH","CLN")</f>
        <v>0</v>
      </c>
      <c r="L25" s="22">
        <f ca="1">+GETPIVOTDATA("XSR4",'suoirao (2016)'!$A$3,"MA_HT","TMD","MA_QH","RSX")</f>
        <v>0</v>
      </c>
      <c r="M25" s="22">
        <f ca="1">+GETPIVOTDATA("XSR4",'suoirao (2016)'!$A$3,"MA_HT","TMD","MA_QH","RPH")</f>
        <v>0</v>
      </c>
      <c r="N25" s="22">
        <f ca="1">+GETPIVOTDATA("XSR4",'suoirao (2016)'!$A$3,"MA_HT","TMD","MA_QH","RDD")</f>
        <v>0</v>
      </c>
      <c r="O25" s="22">
        <f ca="1">+GETPIVOTDATA("XSR4",'suoirao (2016)'!$A$3,"MA_HT","TMD","MA_QH","NTS")</f>
        <v>0</v>
      </c>
      <c r="P25" s="22">
        <f ca="1">+GETPIVOTDATA("XSR4",'suoirao (2016)'!$A$3,"MA_HT","TMD","MA_QH","LMU")</f>
        <v>0</v>
      </c>
      <c r="Q25" s="22">
        <f ca="1">+GETPIVOTDATA("XSR4",'suoirao (2016)'!$A$3,"MA_HT","TMD","MA_QH","NKH")</f>
        <v>0</v>
      </c>
      <c r="R25" s="42">
        <f ca="1">SUM(S25:W25,Y25:AA25,AN25:BD25)</f>
        <v>0</v>
      </c>
      <c r="S25" s="22">
        <f ca="1">+GETPIVOTDATA("XSR4",'suoirao (2016)'!$A$3,"MA_HT","TMD","MA_QH","CQP")</f>
        <v>0</v>
      </c>
      <c r="T25" s="22">
        <f ca="1">+GETPIVOTDATA("XSR4",'suoirao (2016)'!$A$3,"MA_HT","TMD","MA_QH","CAN")</f>
        <v>0</v>
      </c>
      <c r="U25" s="22">
        <f ca="1">+GETPIVOTDATA("XSR4",'suoirao (2016)'!$A$3,"MA_HT","TMD","MA_QH","SKK")</f>
        <v>0</v>
      </c>
      <c r="V25" s="22">
        <f ca="1">+GETPIVOTDATA("XSR4",'suoirao (2016)'!$A$3,"MA_HT","TMD","MA_QH","SKT")</f>
        <v>0</v>
      </c>
      <c r="W25" s="22">
        <f ca="1">+GETPIVOTDATA("XSR4",'suoirao (2016)'!$A$3,"MA_HT","TMD","MA_QH","SKN")</f>
        <v>0</v>
      </c>
      <c r="X25" s="43" t="e">
        <f ca="1">$D25-$BF25</f>
        <v>#REF!</v>
      </c>
      <c r="Y25" s="22">
        <f ca="1">+GETPIVOTDATA("XSR4",'suoirao (2016)'!$A$3,"MA_HT","TMD","MA_QH","SKC")</f>
        <v>0</v>
      </c>
      <c r="Z25" s="22">
        <f ca="1">+GETPIVOTDATA("XSR4",'suoirao (2016)'!$A$3,"MA_HT","TMD","MA_QH","SKS")</f>
        <v>0</v>
      </c>
      <c r="AA25" s="52">
        <f ca="1" t="shared" si="12"/>
        <v>0</v>
      </c>
      <c r="AB25" s="22">
        <f ca="1">+GETPIVOTDATA("XSR4",'suoirao (2016)'!$A$3,"MA_HT","TMD","MA_QH","DGT")</f>
        <v>0</v>
      </c>
      <c r="AC25" s="22">
        <f ca="1">+GETPIVOTDATA("XSR4",'suoirao (2016)'!$A$3,"MA_HT","TMD","MA_QH","DTL")</f>
        <v>0</v>
      </c>
      <c r="AD25" s="22">
        <f ca="1">+GETPIVOTDATA("XSR4",'suoirao (2016)'!$A$3,"MA_HT","TMD","MA_QH","DNL")</f>
        <v>0</v>
      </c>
      <c r="AE25" s="22">
        <f ca="1">+GETPIVOTDATA("XSR4",'suoirao (2016)'!$A$3,"MA_HT","TMD","MA_QH","DBV")</f>
        <v>0</v>
      </c>
      <c r="AF25" s="22">
        <f ca="1">+GETPIVOTDATA("XSR4",'suoirao (2016)'!$A$3,"MA_HT","TMD","MA_QH","DVH")</f>
        <v>0</v>
      </c>
      <c r="AG25" s="22">
        <f ca="1">+GETPIVOTDATA("XSR4",'suoirao (2016)'!$A$3,"MA_HT","TMD","MA_QH","DYT")</f>
        <v>0</v>
      </c>
      <c r="AH25" s="22">
        <f ca="1">+GETPIVOTDATA("XSR4",'suoirao (2016)'!$A$3,"MA_HT","TMD","MA_QH","DGD")</f>
        <v>0</v>
      </c>
      <c r="AI25" s="22">
        <f ca="1">+GETPIVOTDATA("XSR4",'suoirao (2016)'!$A$3,"MA_HT","TMD","MA_QH","DTT")</f>
        <v>0</v>
      </c>
      <c r="AJ25" s="22">
        <f ca="1">+GETPIVOTDATA("XSR4",'suoirao (2016)'!$A$3,"MA_HT","TMD","MA_QH","NCK")</f>
        <v>0</v>
      </c>
      <c r="AK25" s="22">
        <f ca="1">+GETPIVOTDATA("XSR4",'suoirao (2016)'!$A$3,"MA_HT","TMD","MA_QH","DXH")</f>
        <v>0</v>
      </c>
      <c r="AL25" s="22">
        <f ca="1">+GETPIVOTDATA("XSR4",'suoirao (2016)'!$A$3,"MA_HT","TMD","MA_QH","DCH")</f>
        <v>0</v>
      </c>
      <c r="AM25" s="22">
        <f ca="1">+GETPIVOTDATA("XSR4",'suoirao (2016)'!$A$3,"MA_HT","TMD","MA_QH","DKG")</f>
        <v>0</v>
      </c>
      <c r="AN25" s="22">
        <f ca="1">+GETPIVOTDATA("XSR4",'suoirao (2016)'!$A$3,"MA_HT","TMD","MA_QH","DDT")</f>
        <v>0</v>
      </c>
      <c r="AO25" s="22">
        <f ca="1">+GETPIVOTDATA("XSR4",'suoirao (2016)'!$A$3,"MA_HT","TMD","MA_QH","DDL")</f>
        <v>0</v>
      </c>
      <c r="AP25" s="22">
        <f ca="1">+GETPIVOTDATA("XSR4",'suoirao (2016)'!$A$3,"MA_HT","TMD","MA_QH","DRA")</f>
        <v>0</v>
      </c>
      <c r="AQ25" s="22">
        <f ca="1">+GETPIVOTDATA("XSR4",'suoirao (2016)'!$A$3,"MA_HT","TMD","MA_QH","ONT")</f>
        <v>0</v>
      </c>
      <c r="AR25" s="22">
        <f ca="1">+GETPIVOTDATA("XSR4",'suoirao (2016)'!$A$3,"MA_HT","TMD","MA_QH","ODT")</f>
        <v>0</v>
      </c>
      <c r="AS25" s="22">
        <f ca="1">+GETPIVOTDATA("XSR4",'suoirao (2016)'!$A$3,"MA_HT","TMD","MA_QH","TSC")</f>
        <v>0</v>
      </c>
      <c r="AT25" s="22">
        <f ca="1">+GETPIVOTDATA("XSR4",'suoirao (2016)'!$A$3,"MA_HT","TMD","MA_QH","DTS")</f>
        <v>0</v>
      </c>
      <c r="AU25" s="22">
        <f ca="1">+GETPIVOTDATA("XSR4",'suoirao (2016)'!$A$3,"MA_HT","TMD","MA_QH","DNG")</f>
        <v>0</v>
      </c>
      <c r="AV25" s="22">
        <f ca="1">+GETPIVOTDATA("XSR4",'suoirao (2016)'!$A$3,"MA_HT","TMD","MA_QH","TON")</f>
        <v>0</v>
      </c>
      <c r="AW25" s="22">
        <f ca="1">+GETPIVOTDATA("XSR4",'suoirao (2016)'!$A$3,"MA_HT","TMD","MA_QH","NTD")</f>
        <v>0</v>
      </c>
      <c r="AX25" s="22">
        <f ca="1">+GETPIVOTDATA("XSR4",'suoirao (2016)'!$A$3,"MA_HT","TMD","MA_QH","SKX")</f>
        <v>0</v>
      </c>
      <c r="AY25" s="22">
        <f ca="1">+GETPIVOTDATA("XSR4",'suoirao (2016)'!$A$3,"MA_HT","TMD","MA_QH","DSH")</f>
        <v>0</v>
      </c>
      <c r="AZ25" s="22">
        <f ca="1">+GETPIVOTDATA("XSR4",'suoirao (2016)'!$A$3,"MA_HT","TMD","MA_QH","DKV")</f>
        <v>0</v>
      </c>
      <c r="BA25" s="89">
        <f ca="1">+GETPIVOTDATA("XSR4",'suoirao (2016)'!$A$3,"MA_HT","TMD","MA_QH","TIN")</f>
        <v>0</v>
      </c>
      <c r="BB25" s="50">
        <f ca="1">+GETPIVOTDATA("XSR4",'suoirao (2016)'!$A$3,"MA_HT","TMD","MA_QH","SON")</f>
        <v>0</v>
      </c>
      <c r="BC25" s="50">
        <f ca="1">+GETPIVOTDATA("XSR4",'suoirao (2016)'!$A$3,"MA_HT","TMD","MA_QH","MNC")</f>
        <v>0</v>
      </c>
      <c r="BD25" s="22">
        <f ca="1">+GETPIVOTDATA("XSR4",'suoirao (2016)'!$A$3,"MA_HT","TMD","MA_QH","PNK")</f>
        <v>0</v>
      </c>
      <c r="BE25" s="71">
        <f ca="1">+GETPIVOTDATA("XSR4",'suoirao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+GETPIVOTDATA("XSR4",'suoirao (2016)'!$A$3,"MA_HT","SKC","MA_QH","LUC")</f>
        <v>0</v>
      </c>
      <c r="H26" s="22">
        <f ca="1">+GETPIVOTDATA("XSR4",'suoirao (2016)'!$A$3,"MA_HT","SKC","MA_QH","LUK")</f>
        <v>0</v>
      </c>
      <c r="I26" s="22">
        <f ca="1">+GETPIVOTDATA("XSR4",'suoirao (2016)'!$A$3,"MA_HT","SKC","MA_QH","LUN")</f>
        <v>0</v>
      </c>
      <c r="J26" s="22">
        <f ca="1">+GETPIVOTDATA("XSR4",'suoirao (2016)'!$A$3,"MA_HT","SKC","MA_QH","HNK")</f>
        <v>0</v>
      </c>
      <c r="K26" s="22">
        <f ca="1">+GETPIVOTDATA("XSR4",'suoirao (2016)'!$A$3,"MA_HT","SKC","MA_QH","CLN")</f>
        <v>0</v>
      </c>
      <c r="L26" s="22">
        <f ca="1">+GETPIVOTDATA("XSR4",'suoirao (2016)'!$A$3,"MA_HT","SKC","MA_QH","RSX")</f>
        <v>0</v>
      </c>
      <c r="M26" s="22">
        <f ca="1">+GETPIVOTDATA("XSR4",'suoirao (2016)'!$A$3,"MA_HT","SKC","MA_QH","RPH")</f>
        <v>0</v>
      </c>
      <c r="N26" s="22">
        <f ca="1">+GETPIVOTDATA("XSR4",'suoirao (2016)'!$A$3,"MA_HT","SKC","MA_QH","RDD")</f>
        <v>0</v>
      </c>
      <c r="O26" s="22">
        <f ca="1">+GETPIVOTDATA("XSR4",'suoirao (2016)'!$A$3,"MA_HT","SKC","MA_QH","NTS")</f>
        <v>0</v>
      </c>
      <c r="P26" s="22">
        <f ca="1">+GETPIVOTDATA("XSR4",'suoirao (2016)'!$A$3,"MA_HT","SKC","MA_QH","LMU")</f>
        <v>0</v>
      </c>
      <c r="Q26" s="22">
        <f ca="1">+GETPIVOTDATA("XSR4",'suoirao (2016)'!$A$3,"MA_HT","SKC","MA_QH","NKH")</f>
        <v>0</v>
      </c>
      <c r="R26" s="42">
        <f ca="1">SUM(S26:X26,Z26,AN26:BD26)</f>
        <v>0</v>
      </c>
      <c r="S26" s="22">
        <f ca="1">+GETPIVOTDATA("XSR4",'suoirao (2016)'!$A$3,"MA_HT","SKC","MA_QH","CQP")</f>
        <v>0</v>
      </c>
      <c r="T26" s="22">
        <f ca="1">+GETPIVOTDATA("XSR4",'suoirao (2016)'!$A$3,"MA_HT","SKC","MA_QH","CAN")</f>
        <v>0</v>
      </c>
      <c r="U26" s="22">
        <f ca="1">+GETPIVOTDATA("XSR4",'suoirao (2016)'!$A$3,"MA_HT","SKC","MA_QH","SKK")</f>
        <v>0</v>
      </c>
      <c r="V26" s="22">
        <f ca="1">+GETPIVOTDATA("XSR4",'suoirao (2016)'!$A$3,"MA_HT","SKC","MA_QH","SKT")</f>
        <v>0</v>
      </c>
      <c r="W26" s="22">
        <f ca="1">+GETPIVOTDATA("XSR4",'suoirao (2016)'!$A$3,"MA_HT","SKC","MA_QH","SKN")</f>
        <v>0</v>
      </c>
      <c r="X26" s="22">
        <f ca="1">+GETPIVOTDATA("XSR4",'suoirao (2016)'!$A$3,"MA_HT","SKC","MA_QH","TMD")</f>
        <v>0</v>
      </c>
      <c r="Y26" s="43" t="e">
        <f ca="1">$D26-$BF26</f>
        <v>#REF!</v>
      </c>
      <c r="Z26" s="22">
        <f ca="1">+GETPIVOTDATA("XSR4",'suoirao (2016)'!$A$3,"MA_HT","SKC","MA_QH","SKS")</f>
        <v>0</v>
      </c>
      <c r="AA26" s="52">
        <f ca="1" t="shared" si="12"/>
        <v>0</v>
      </c>
      <c r="AB26" s="22">
        <f ca="1">+GETPIVOTDATA("XSR4",'suoirao (2016)'!$A$3,"MA_HT","SKC","MA_QH","DGT")</f>
        <v>0</v>
      </c>
      <c r="AC26" s="22">
        <f ca="1">+GETPIVOTDATA("XSR4",'suoirao (2016)'!$A$3,"MA_HT","SKC","MA_QH","DTL")</f>
        <v>0</v>
      </c>
      <c r="AD26" s="22">
        <f ca="1">+GETPIVOTDATA("XSR4",'suoirao (2016)'!$A$3,"MA_HT","SKC","MA_QH","DNL")</f>
        <v>0</v>
      </c>
      <c r="AE26" s="22">
        <f ca="1">+GETPIVOTDATA("XSR4",'suoirao (2016)'!$A$3,"MA_HT","SKC","MA_QH","DBV")</f>
        <v>0</v>
      </c>
      <c r="AF26" s="22">
        <f ca="1">+GETPIVOTDATA("XSR4",'suoirao (2016)'!$A$3,"MA_HT","SKC","MA_QH","DVH")</f>
        <v>0</v>
      </c>
      <c r="AG26" s="22">
        <f ca="1">+GETPIVOTDATA("XSR4",'suoirao (2016)'!$A$3,"MA_HT","SKC","MA_QH","DYT")</f>
        <v>0</v>
      </c>
      <c r="AH26" s="22">
        <f ca="1">+GETPIVOTDATA("XSR4",'suoirao (2016)'!$A$3,"MA_HT","SKC","MA_QH","DGD")</f>
        <v>0</v>
      </c>
      <c r="AI26" s="22">
        <f ca="1">+GETPIVOTDATA("XSR4",'suoirao (2016)'!$A$3,"MA_HT","SKC","MA_QH","DTT")</f>
        <v>0</v>
      </c>
      <c r="AJ26" s="22">
        <f ca="1">+GETPIVOTDATA("XSR4",'suoirao (2016)'!$A$3,"MA_HT","SKC","MA_QH","NCK")</f>
        <v>0</v>
      </c>
      <c r="AK26" s="22">
        <f ca="1">+GETPIVOTDATA("XSR4",'suoirao (2016)'!$A$3,"MA_HT","SKC","MA_QH","DXH")</f>
        <v>0</v>
      </c>
      <c r="AL26" s="22">
        <f ca="1">+GETPIVOTDATA("XSR4",'suoirao (2016)'!$A$3,"MA_HT","SKC","MA_QH","DCH")</f>
        <v>0</v>
      </c>
      <c r="AM26" s="22">
        <f ca="1">+GETPIVOTDATA("XSR4",'suoirao (2016)'!$A$3,"MA_HT","SKC","MA_QH","DKG")</f>
        <v>0</v>
      </c>
      <c r="AN26" s="22">
        <f ca="1">+GETPIVOTDATA("XSR4",'suoirao (2016)'!$A$3,"MA_HT","SKC","MA_QH","DDT")</f>
        <v>0</v>
      </c>
      <c r="AO26" s="22">
        <f ca="1">+GETPIVOTDATA("XSR4",'suoirao (2016)'!$A$3,"MA_HT","SKC","MA_QH","DDL")</f>
        <v>0</v>
      </c>
      <c r="AP26" s="22">
        <f ca="1">+GETPIVOTDATA("XSR4",'suoirao (2016)'!$A$3,"MA_HT","SKC","MA_QH","DRA")</f>
        <v>0</v>
      </c>
      <c r="AQ26" s="22">
        <f ca="1">+GETPIVOTDATA("XSR4",'suoirao (2016)'!$A$3,"MA_HT","SKC","MA_QH","ONT")</f>
        <v>0</v>
      </c>
      <c r="AR26" s="22">
        <f ca="1">+GETPIVOTDATA("XSR4",'suoirao (2016)'!$A$3,"MA_HT","SKC","MA_QH","ODT")</f>
        <v>0</v>
      </c>
      <c r="AS26" s="22">
        <f ca="1">+GETPIVOTDATA("XSR4",'suoirao (2016)'!$A$3,"MA_HT","SKC","MA_QH","TSC")</f>
        <v>0</v>
      </c>
      <c r="AT26" s="22">
        <f ca="1">+GETPIVOTDATA("XSR4",'suoirao (2016)'!$A$3,"MA_HT","SKC","MA_QH","DTS")</f>
        <v>0</v>
      </c>
      <c r="AU26" s="22">
        <f ca="1">+GETPIVOTDATA("XSR4",'suoirao (2016)'!$A$3,"MA_HT","SKC","MA_QH","DNG")</f>
        <v>0</v>
      </c>
      <c r="AV26" s="22">
        <f ca="1">+GETPIVOTDATA("XSR4",'suoirao (2016)'!$A$3,"MA_HT","SKC","MA_QH","TON")</f>
        <v>0</v>
      </c>
      <c r="AW26" s="22">
        <f ca="1">+GETPIVOTDATA("XSR4",'suoirao (2016)'!$A$3,"MA_HT","SKC","MA_QH","NTD")</f>
        <v>0</v>
      </c>
      <c r="AX26" s="22">
        <f ca="1">+GETPIVOTDATA("XSR4",'suoirao (2016)'!$A$3,"MA_HT","SKC","MA_QH","SKX")</f>
        <v>0</v>
      </c>
      <c r="AY26" s="22">
        <f ca="1">+GETPIVOTDATA("XSR4",'suoirao (2016)'!$A$3,"MA_HT","SKC","MA_QH","DSH")</f>
        <v>0</v>
      </c>
      <c r="AZ26" s="22">
        <f ca="1">+GETPIVOTDATA("XSR4",'suoirao (2016)'!$A$3,"MA_HT","SKC","MA_QH","DKV")</f>
        <v>0</v>
      </c>
      <c r="BA26" s="89">
        <f ca="1">+GETPIVOTDATA("XSR4",'suoirao (2016)'!$A$3,"MA_HT","SKC","MA_QH","TIN")</f>
        <v>0</v>
      </c>
      <c r="BB26" s="50">
        <f ca="1">+GETPIVOTDATA("XSR4",'suoirao (2016)'!$A$3,"MA_HT","SKC","MA_QH","SON")</f>
        <v>0</v>
      </c>
      <c r="BC26" s="50">
        <f ca="1">+GETPIVOTDATA("XSR4",'suoirao (2016)'!$A$3,"MA_HT","SKC","MA_QH","MNC")</f>
        <v>0</v>
      </c>
      <c r="BD26" s="22">
        <f ca="1">+GETPIVOTDATA("XSR4",'suoirao (2016)'!$A$3,"MA_HT","SKC","MA_QH","PNK")</f>
        <v>0</v>
      </c>
      <c r="BE26" s="71">
        <f ca="1">+GETPIVOTDATA("XSR4",'suoirao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+GETPIVOTDATA("XSR4",'suoirao (2016)'!$A$3,"MA_HT","SKS","MA_QH","LUC")</f>
        <v>0</v>
      </c>
      <c r="H27" s="22">
        <f ca="1">+GETPIVOTDATA("XSR4",'suoirao (2016)'!$A$3,"MA_HT","SKS","MA_QH","LUK")</f>
        <v>0</v>
      </c>
      <c r="I27" s="22">
        <f ca="1">+GETPIVOTDATA("XSR4",'suoirao (2016)'!$A$3,"MA_HT","SKS","MA_QH","LUN")</f>
        <v>0</v>
      </c>
      <c r="J27" s="22">
        <f ca="1">+GETPIVOTDATA("XSR4",'suoirao (2016)'!$A$3,"MA_HT","SKS","MA_QH","HNK")</f>
        <v>0</v>
      </c>
      <c r="K27" s="22">
        <f ca="1">+GETPIVOTDATA("XSR4",'suoirao (2016)'!$A$3,"MA_HT","SKS","MA_QH","CLN")</f>
        <v>0</v>
      </c>
      <c r="L27" s="22">
        <f ca="1">+GETPIVOTDATA("XSR4",'suoirao (2016)'!$A$3,"MA_HT","SKS","MA_QH","RSX")</f>
        <v>0</v>
      </c>
      <c r="M27" s="22">
        <f ca="1">+GETPIVOTDATA("XSR4",'suoirao (2016)'!$A$3,"MA_HT","SKS","MA_QH","RPH")</f>
        <v>0</v>
      </c>
      <c r="N27" s="22">
        <f ca="1">+GETPIVOTDATA("XSR4",'suoirao (2016)'!$A$3,"MA_HT","SKS","MA_QH","RDD")</f>
        <v>0</v>
      </c>
      <c r="O27" s="22">
        <f ca="1">+GETPIVOTDATA("XSR4",'suoirao (2016)'!$A$3,"MA_HT","SKS","MA_QH","NTS")</f>
        <v>0</v>
      </c>
      <c r="P27" s="22">
        <f ca="1">+GETPIVOTDATA("XSR4",'suoirao (2016)'!$A$3,"MA_HT","SKS","MA_QH","LMU")</f>
        <v>0</v>
      </c>
      <c r="Q27" s="22">
        <f ca="1">+GETPIVOTDATA("XSR4",'suoirao (2016)'!$A$3,"MA_HT","SKS","MA_QH","NKH")</f>
        <v>0</v>
      </c>
      <c r="R27" s="42">
        <f ca="1">SUM(S27:Y27,AA27,AN27:BD27)</f>
        <v>0</v>
      </c>
      <c r="S27" s="22">
        <f ca="1">+GETPIVOTDATA("XSR4",'suoirao (2016)'!$A$3,"MA_HT","SKS","MA_QH","CQP")</f>
        <v>0</v>
      </c>
      <c r="T27" s="22">
        <f ca="1">+GETPIVOTDATA("XSR4",'suoirao (2016)'!$A$3,"MA_HT","SKS","MA_QH","CAN")</f>
        <v>0</v>
      </c>
      <c r="U27" s="22">
        <f ca="1">+GETPIVOTDATA("XSR4",'suoirao (2016)'!$A$3,"MA_HT","SKS","MA_QH","SKK")</f>
        <v>0</v>
      </c>
      <c r="V27" s="22">
        <f ca="1">+GETPIVOTDATA("XSR4",'suoirao (2016)'!$A$3,"MA_HT","SKS","MA_QH","SKT")</f>
        <v>0</v>
      </c>
      <c r="W27" s="22">
        <f ca="1">+GETPIVOTDATA("XSR4",'suoirao (2016)'!$A$3,"MA_HT","SKS","MA_QH","SKN")</f>
        <v>0</v>
      </c>
      <c r="X27" s="22">
        <f ca="1">+GETPIVOTDATA("XSR4",'suoirao (2016)'!$A$3,"MA_HT","SKS","MA_QH","TMD")</f>
        <v>0</v>
      </c>
      <c r="Y27" s="22">
        <f ca="1">+GETPIVOTDATA("XSR4",'suoirao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+GETPIVOTDATA("XSR4",'suoirao (2016)'!$A$3,"MA_HT","SKS","MA_QH","DGT")</f>
        <v>0</v>
      </c>
      <c r="AC27" s="22">
        <f ca="1">+GETPIVOTDATA("XSR4",'suoirao (2016)'!$A$3,"MA_HT","SKS","MA_QH","DTL")</f>
        <v>0</v>
      </c>
      <c r="AD27" s="22">
        <f ca="1">+GETPIVOTDATA("XSR4",'suoirao (2016)'!$A$3,"MA_HT","SKS","MA_QH","DNL")</f>
        <v>0</v>
      </c>
      <c r="AE27" s="22">
        <f ca="1">+GETPIVOTDATA("XSR4",'suoirao (2016)'!$A$3,"MA_HT","SKS","MA_QH","DBV")</f>
        <v>0</v>
      </c>
      <c r="AF27" s="22">
        <f ca="1">+GETPIVOTDATA("XSR4",'suoirao (2016)'!$A$3,"MA_HT","SKS","MA_QH","DVH")</f>
        <v>0</v>
      </c>
      <c r="AG27" s="22">
        <f ca="1">+GETPIVOTDATA("XSR4",'suoirao (2016)'!$A$3,"MA_HT","SKS","MA_QH","DYT")</f>
        <v>0</v>
      </c>
      <c r="AH27" s="22">
        <f ca="1">+GETPIVOTDATA("XSR4",'suoirao (2016)'!$A$3,"MA_HT","SKS","MA_QH","DGD")</f>
        <v>0</v>
      </c>
      <c r="AI27" s="22">
        <f ca="1">+GETPIVOTDATA("XSR4",'suoirao (2016)'!$A$3,"MA_HT","SKS","MA_QH","DTT")</f>
        <v>0</v>
      </c>
      <c r="AJ27" s="22">
        <f ca="1">+GETPIVOTDATA("XSR4",'suoirao (2016)'!$A$3,"MA_HT","SKS","MA_QH","NCK")</f>
        <v>0</v>
      </c>
      <c r="AK27" s="22">
        <f ca="1">+GETPIVOTDATA("XSR4",'suoirao (2016)'!$A$3,"MA_HT","SKS","MA_QH","DXH")</f>
        <v>0</v>
      </c>
      <c r="AL27" s="22">
        <f ca="1">+GETPIVOTDATA("XSR4",'suoirao (2016)'!$A$3,"MA_HT","SKS","MA_QH","DCH")</f>
        <v>0</v>
      </c>
      <c r="AM27" s="22">
        <f ca="1">+GETPIVOTDATA("XSR4",'suoirao (2016)'!$A$3,"MA_HT","SKS","MA_QH","DKG")</f>
        <v>0</v>
      </c>
      <c r="AN27" s="22">
        <f ca="1">+GETPIVOTDATA("XSR4",'suoirao (2016)'!$A$3,"MA_HT","SKS","MA_QH","DDT")</f>
        <v>0</v>
      </c>
      <c r="AO27" s="22">
        <f ca="1">+GETPIVOTDATA("XSR4",'suoirao (2016)'!$A$3,"MA_HT","SKS","MA_QH","DDL")</f>
        <v>0</v>
      </c>
      <c r="AP27" s="22">
        <f ca="1">+GETPIVOTDATA("XSR4",'suoirao (2016)'!$A$3,"MA_HT","SKS","MA_QH","DRA")</f>
        <v>0</v>
      </c>
      <c r="AQ27" s="22">
        <f ca="1">+GETPIVOTDATA("XSR4",'suoirao (2016)'!$A$3,"MA_HT","SKS","MA_QH","ONT")</f>
        <v>0</v>
      </c>
      <c r="AR27" s="22">
        <f ca="1">+GETPIVOTDATA("XSR4",'suoirao (2016)'!$A$3,"MA_HT","SKS","MA_QH","ODT")</f>
        <v>0</v>
      </c>
      <c r="AS27" s="22">
        <f ca="1">+GETPIVOTDATA("XSR4",'suoirao (2016)'!$A$3,"MA_HT","SKS","MA_QH","TSC")</f>
        <v>0</v>
      </c>
      <c r="AT27" s="22">
        <f ca="1">+GETPIVOTDATA("XSR4",'suoirao (2016)'!$A$3,"MA_HT","SKS","MA_QH","DTS")</f>
        <v>0</v>
      </c>
      <c r="AU27" s="22">
        <f ca="1">+GETPIVOTDATA("XSR4",'suoirao (2016)'!$A$3,"MA_HT","SKS","MA_QH","DNG")</f>
        <v>0</v>
      </c>
      <c r="AV27" s="22">
        <f ca="1">+GETPIVOTDATA("XSR4",'suoirao (2016)'!$A$3,"MA_HT","SKS","MA_QH","TON")</f>
        <v>0</v>
      </c>
      <c r="AW27" s="22">
        <f ca="1">+GETPIVOTDATA("XSR4",'suoirao (2016)'!$A$3,"MA_HT","SKS","MA_QH","NTD")</f>
        <v>0</v>
      </c>
      <c r="AX27" s="22">
        <f ca="1">+GETPIVOTDATA("XSR4",'suoirao (2016)'!$A$3,"MA_HT","SKS","MA_QH","SKX")</f>
        <v>0</v>
      </c>
      <c r="AY27" s="22">
        <f ca="1">+GETPIVOTDATA("XSR4",'suoirao (2016)'!$A$3,"MA_HT","SKS","MA_QH","DSH")</f>
        <v>0</v>
      </c>
      <c r="AZ27" s="22">
        <f ca="1">+GETPIVOTDATA("XSR4",'suoirao (2016)'!$A$3,"MA_HT","SKS","MA_QH","DKV")</f>
        <v>0</v>
      </c>
      <c r="BA27" s="89">
        <f ca="1">+GETPIVOTDATA("XSR4",'suoirao (2016)'!$A$3,"MA_HT","SKS","MA_QH","TIN")</f>
        <v>0</v>
      </c>
      <c r="BB27" s="50">
        <f ca="1">+GETPIVOTDATA("XSR4",'suoirao (2016)'!$A$3,"MA_HT","SKS","MA_QH","SON")</f>
        <v>0</v>
      </c>
      <c r="BC27" s="50">
        <f ca="1">+GETPIVOTDATA("XSR4",'suoirao (2016)'!$A$3,"MA_HT","SKS","MA_QH","MNC")</f>
        <v>0</v>
      </c>
      <c r="BD27" s="22">
        <f ca="1">+GETPIVOTDATA("XSR4",'suoirao (2016)'!$A$3,"MA_HT","SKS","MA_QH","PNK")</f>
        <v>0</v>
      </c>
      <c r="BE27" s="71">
        <f ca="1">+GETPIVOTDATA("XSR4",'suoirao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+GETPIVOTDATA("XSR4",'suoirao (2016)'!$A$3,"MA_HT","DGT","MA_QH","LUC")</f>
        <v>0</v>
      </c>
      <c r="H29" s="50">
        <f ca="1">+GETPIVOTDATA("XSR4",'suoirao (2016)'!$A$3,"MA_HT","DGT","MA_QH","LUK")</f>
        <v>0</v>
      </c>
      <c r="I29" s="50">
        <f ca="1">+GETPIVOTDATA("XSR4",'suoirao (2016)'!$A$3,"MA_HT","DGT","MA_QH","LUN")</f>
        <v>0</v>
      </c>
      <c r="J29" s="50">
        <f ca="1">+GETPIVOTDATA("XSR4",'suoirao (2016)'!$A$3,"MA_HT","DGT","MA_QH","HNK")</f>
        <v>0</v>
      </c>
      <c r="K29" s="50">
        <f ca="1">+GETPIVOTDATA("XSR4",'suoirao (2016)'!$A$3,"MA_HT","DGT","MA_QH","CLN")</f>
        <v>0</v>
      </c>
      <c r="L29" s="50">
        <f ca="1">+GETPIVOTDATA("XSR4",'suoirao (2016)'!$A$3,"MA_HT","DGT","MA_QH","RSX")</f>
        <v>0</v>
      </c>
      <c r="M29" s="50">
        <f ca="1">+GETPIVOTDATA("XSR4",'suoirao (2016)'!$A$3,"MA_HT","DGT","MA_QH","RPH")</f>
        <v>0</v>
      </c>
      <c r="N29" s="50">
        <f ca="1">+GETPIVOTDATA("XSR4",'suoirao (2016)'!$A$3,"MA_HT","DGT","MA_QH","RDD")</f>
        <v>0</v>
      </c>
      <c r="O29" s="50">
        <f ca="1">+GETPIVOTDATA("XSR4",'suoirao (2016)'!$A$3,"MA_HT","DGT","MA_QH","NTS")</f>
        <v>0</v>
      </c>
      <c r="P29" s="50">
        <f ca="1">+GETPIVOTDATA("XSR4",'suoirao (2016)'!$A$3,"MA_HT","DGT","MA_QH","LMU")</f>
        <v>0</v>
      </c>
      <c r="Q29" s="50">
        <f ca="1">+GETPIVOTDATA("XSR4",'suoirao (2016)'!$A$3,"MA_HT","DGT","MA_QH","NKH")</f>
        <v>0</v>
      </c>
      <c r="R29" s="48">
        <f ca="1">SUM(S29:AA29,AN29:BD29)</f>
        <v>0</v>
      </c>
      <c r="S29" s="50">
        <f ca="1">+GETPIVOTDATA("XSR4",'suoirao (2016)'!$A$3,"MA_HT","DGT","MA_QH","CQP")</f>
        <v>0</v>
      </c>
      <c r="T29" s="50">
        <f ca="1">+GETPIVOTDATA("XSR4",'suoirao (2016)'!$A$3,"MA_HT","DGT","MA_QH","CAN")</f>
        <v>0</v>
      </c>
      <c r="U29" s="50">
        <f ca="1">+GETPIVOTDATA("XSR4",'suoirao (2016)'!$A$3,"MA_HT","DGT","MA_QH","SKK")</f>
        <v>0</v>
      </c>
      <c r="V29" s="50">
        <f ca="1">+GETPIVOTDATA("XSR4",'suoirao (2016)'!$A$3,"MA_HT","DGT","MA_QH","SKT")</f>
        <v>0</v>
      </c>
      <c r="W29" s="50">
        <f ca="1">+GETPIVOTDATA("XSR4",'suoirao (2016)'!$A$3,"MA_HT","DGT","MA_QH","SKN")</f>
        <v>0</v>
      </c>
      <c r="X29" s="50">
        <f ca="1">+GETPIVOTDATA("XSR4",'suoirao (2016)'!$A$3,"MA_HT","DGT","MA_QH","TMD")</f>
        <v>0</v>
      </c>
      <c r="Y29" s="50">
        <f ca="1">+GETPIVOTDATA("XSR4",'suoirao (2016)'!$A$3,"MA_HT","DGT","MA_QH","SKC")</f>
        <v>0</v>
      </c>
      <c r="Z29" s="50">
        <f ca="1">+GETPIVOTDATA("XSR4",'suoirao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+GETPIVOTDATA("XSR4",'suoirao (2016)'!$A$3,"MA_HT","DGT","MA_QH","DTL")</f>
        <v>0</v>
      </c>
      <c r="AD29" s="50">
        <f ca="1">+GETPIVOTDATA("XSR4",'suoirao (2016)'!$A$3,"MA_HT","DGT","MA_QH","DNL")</f>
        <v>0</v>
      </c>
      <c r="AE29" s="50">
        <f ca="1">+GETPIVOTDATA("XSR4",'suoirao (2016)'!$A$3,"MA_HT","DGT","MA_QH","DBV")</f>
        <v>0</v>
      </c>
      <c r="AF29" s="50">
        <f ca="1">+GETPIVOTDATA("XSR4",'suoirao (2016)'!$A$3,"MA_HT","DGT","MA_QH","DVH")</f>
        <v>0</v>
      </c>
      <c r="AG29" s="50">
        <f ca="1">+GETPIVOTDATA("XSR4",'suoirao (2016)'!$A$3,"MA_HT","DGT","MA_QH","DYT")</f>
        <v>0</v>
      </c>
      <c r="AH29" s="50">
        <f ca="1">+GETPIVOTDATA("XSR4",'suoirao (2016)'!$A$3,"MA_HT","DGT","MA_QH","DGD")</f>
        <v>0</v>
      </c>
      <c r="AI29" s="50">
        <f ca="1">+GETPIVOTDATA("XSR4",'suoirao (2016)'!$A$3,"MA_HT","DGT","MA_QH","DTT")</f>
        <v>0</v>
      </c>
      <c r="AJ29" s="50">
        <f ca="1">+GETPIVOTDATA("XSR4",'suoirao (2016)'!$A$3,"MA_HT","DGT","MA_QH","NCK")</f>
        <v>0</v>
      </c>
      <c r="AK29" s="50">
        <f ca="1">+GETPIVOTDATA("XSR4",'suoirao (2016)'!$A$3,"MA_HT","DGT","MA_QH","DXH")</f>
        <v>0</v>
      </c>
      <c r="AL29" s="50">
        <f ca="1">+GETPIVOTDATA("XSR4",'suoirao (2016)'!$A$3,"MA_HT","DGT","MA_QH","DCH")</f>
        <v>0</v>
      </c>
      <c r="AM29" s="50">
        <f ca="1">+GETPIVOTDATA("XSR4",'suoirao (2016)'!$A$3,"MA_HT","DGT","MA_QH","DKG")</f>
        <v>0</v>
      </c>
      <c r="AN29" s="50">
        <f ca="1">+GETPIVOTDATA("XSR4",'suoirao (2016)'!$A$3,"MA_HT","DGT","MA_QH","DDT")</f>
        <v>0</v>
      </c>
      <c r="AO29" s="50">
        <f ca="1">+GETPIVOTDATA("XSR4",'suoirao (2016)'!$A$3,"MA_HT","DGT","MA_QH","DDL")</f>
        <v>0</v>
      </c>
      <c r="AP29" s="50">
        <f ca="1">+GETPIVOTDATA("XSR4",'suoirao (2016)'!$A$3,"MA_HT","DGT","MA_QH","DRA")</f>
        <v>0</v>
      </c>
      <c r="AQ29" s="50">
        <f ca="1">+GETPIVOTDATA("XSR4",'suoirao (2016)'!$A$3,"MA_HT","DGT","MA_QH","ONT")</f>
        <v>0</v>
      </c>
      <c r="AR29" s="50">
        <f ca="1">+GETPIVOTDATA("XSR4",'suoirao (2016)'!$A$3,"MA_HT","DGT","MA_QH","ODT")</f>
        <v>0</v>
      </c>
      <c r="AS29" s="50">
        <f ca="1">+GETPIVOTDATA("XSR4",'suoirao (2016)'!$A$3,"MA_HT","DGT","MA_QH","TSC")</f>
        <v>0</v>
      </c>
      <c r="AT29" s="50">
        <f ca="1">+GETPIVOTDATA("XSR4",'suoirao (2016)'!$A$3,"MA_HT","DGT","MA_QH","DTS")</f>
        <v>0</v>
      </c>
      <c r="AU29" s="50">
        <f ca="1">+GETPIVOTDATA("XSR4",'suoirao (2016)'!$A$3,"MA_HT","DGT","MA_QH","DNG")</f>
        <v>0</v>
      </c>
      <c r="AV29" s="50">
        <f ca="1">+GETPIVOTDATA("XSR4",'suoirao (2016)'!$A$3,"MA_HT","DGT","MA_QH","TON")</f>
        <v>0</v>
      </c>
      <c r="AW29" s="50">
        <f ca="1">+GETPIVOTDATA("XSR4",'suoirao (2016)'!$A$3,"MA_HT","DGT","MA_QH","NTD")</f>
        <v>0</v>
      </c>
      <c r="AX29" s="50">
        <f ca="1">+GETPIVOTDATA("XSR4",'suoirao (2016)'!$A$3,"MA_HT","DGT","MA_QH","SKX")</f>
        <v>0</v>
      </c>
      <c r="AY29" s="50">
        <f ca="1">+GETPIVOTDATA("XSR4",'suoirao (2016)'!$A$3,"MA_HT","DGT","MA_QH","DSH")</f>
        <v>0</v>
      </c>
      <c r="AZ29" s="50">
        <f ca="1">+GETPIVOTDATA("XSR4",'suoirao (2016)'!$A$3,"MA_HT","DGT","MA_QH","DKV")</f>
        <v>0</v>
      </c>
      <c r="BA29" s="88">
        <f ca="1">+GETPIVOTDATA("XSR4",'suoirao (2016)'!$A$3,"MA_HT","DGT","MA_QH","TIN")</f>
        <v>0</v>
      </c>
      <c r="BB29" s="50">
        <f ca="1">+GETPIVOTDATA("XSR4",'suoirao (2016)'!$A$3,"MA_HT","DGT","MA_QH","SON")</f>
        <v>0</v>
      </c>
      <c r="BC29" s="50">
        <f ca="1">+GETPIVOTDATA("XSR4",'suoirao (2016)'!$A$3,"MA_HT","DGT","MA_QH","MNC")</f>
        <v>0</v>
      </c>
      <c r="BD29" s="50">
        <f ca="1">+GETPIVOTDATA("XSR4",'suoirao (2016)'!$A$3,"MA_HT","DGT","MA_QH","PNK")</f>
        <v>0</v>
      </c>
      <c r="BE29" s="80">
        <f ca="1">+GETPIVOTDATA("XSR4",'suoirao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+GETPIVOTDATA("XSR4",'suoirao (2016)'!$A$3,"MA_HT","DTL","MA_QH","LUC")</f>
        <v>0</v>
      </c>
      <c r="H30" s="50">
        <f ca="1">+GETPIVOTDATA("XSR4",'suoirao (2016)'!$A$3,"MA_HT","DTL","MA_QH","LUK")</f>
        <v>0</v>
      </c>
      <c r="I30" s="50">
        <f ca="1">+GETPIVOTDATA("XSR4",'suoirao (2016)'!$A$3,"MA_HT","DTL","MA_QH","LUN")</f>
        <v>0</v>
      </c>
      <c r="J30" s="50">
        <f ca="1">+GETPIVOTDATA("XSR4",'suoirao (2016)'!$A$3,"MA_HT","DTL","MA_QH","HNK")</f>
        <v>0</v>
      </c>
      <c r="K30" s="50">
        <f ca="1">+GETPIVOTDATA("XSR4",'suoirao (2016)'!$A$3,"MA_HT","DTL","MA_QH","CLN")</f>
        <v>0</v>
      </c>
      <c r="L30" s="50">
        <f ca="1">+GETPIVOTDATA("XSR4",'suoirao (2016)'!$A$3,"MA_HT","DTL","MA_QH","RSX")</f>
        <v>0</v>
      </c>
      <c r="M30" s="50">
        <f ca="1">+GETPIVOTDATA("XSR4",'suoirao (2016)'!$A$3,"MA_HT","DTL","MA_QH","RPH")</f>
        <v>0</v>
      </c>
      <c r="N30" s="50">
        <f ca="1">+GETPIVOTDATA("XSR4",'suoirao (2016)'!$A$3,"MA_HT","DTL","MA_QH","RDD")</f>
        <v>0</v>
      </c>
      <c r="O30" s="50">
        <f ca="1">+GETPIVOTDATA("XSR4",'suoirao (2016)'!$A$3,"MA_HT","DTL","MA_QH","NTS")</f>
        <v>0</v>
      </c>
      <c r="P30" s="50">
        <f ca="1">+GETPIVOTDATA("XSR4",'suoirao (2016)'!$A$3,"MA_HT","DTL","MA_QH","LMU")</f>
        <v>0</v>
      </c>
      <c r="Q30" s="50">
        <f ca="1">+GETPIVOTDATA("XSR4",'suoirao (2016)'!$A$3,"MA_HT","DTL","MA_QH","NKH")</f>
        <v>0</v>
      </c>
      <c r="R30" s="48">
        <f ca="1" t="shared" ref="R30:R40" si="20">SUM(S30:AA30,AN30:BD30)</f>
        <v>0</v>
      </c>
      <c r="S30" s="50">
        <f ca="1">+GETPIVOTDATA("XSR4",'suoirao (2016)'!$A$3,"MA_HT","DTL","MA_QH","CQP")</f>
        <v>0</v>
      </c>
      <c r="T30" s="50">
        <f ca="1">+GETPIVOTDATA("XSR4",'suoirao (2016)'!$A$3,"MA_HT","DTL","MA_QH","CAN")</f>
        <v>0</v>
      </c>
      <c r="U30" s="50">
        <f ca="1">+GETPIVOTDATA("XSR4",'suoirao (2016)'!$A$3,"MA_HT","DTL","MA_QH","SKK")</f>
        <v>0</v>
      </c>
      <c r="V30" s="50">
        <f ca="1">+GETPIVOTDATA("XSR4",'suoirao (2016)'!$A$3,"MA_HT","DTL","MA_QH","SKT")</f>
        <v>0</v>
      </c>
      <c r="W30" s="50">
        <f ca="1">+GETPIVOTDATA("XSR4",'suoirao (2016)'!$A$3,"MA_HT","DTL","MA_QH","SKN")</f>
        <v>0</v>
      </c>
      <c r="X30" s="50">
        <f ca="1">+GETPIVOTDATA("XSR4",'suoirao (2016)'!$A$3,"MA_HT","DTL","MA_QH","TMD")</f>
        <v>0</v>
      </c>
      <c r="Y30" s="50">
        <f ca="1">+GETPIVOTDATA("XSR4",'suoirao (2016)'!$A$3,"MA_HT","DTL","MA_QH","SKC")</f>
        <v>0</v>
      </c>
      <c r="Z30" s="50">
        <f ca="1">+GETPIVOTDATA("XSR4",'suoirao (2016)'!$A$3,"MA_HT","DTL","MA_QH","SKS")</f>
        <v>0</v>
      </c>
      <c r="AA30" s="52">
        <f ca="1">+SUM(AB30,AD30:AM30)</f>
        <v>0</v>
      </c>
      <c r="AB30" s="50">
        <f ca="1">+GETPIVOTDATA("XSR4",'suoirao (2016)'!$A$3,"MA_HT","DTL","MA_QH","DGT")</f>
        <v>0</v>
      </c>
      <c r="AC30" s="49" t="e">
        <f ca="1">$D30-$BF30</f>
        <v>#REF!</v>
      </c>
      <c r="AD30" s="50">
        <f ca="1">+GETPIVOTDATA("XSR4",'suoirao (2016)'!$A$3,"MA_HT","DTL","MA_QH","DNL")</f>
        <v>0</v>
      </c>
      <c r="AE30" s="50">
        <f ca="1">+GETPIVOTDATA("XSR4",'suoirao (2016)'!$A$3,"MA_HT","DTL","MA_QH","DBV")</f>
        <v>0</v>
      </c>
      <c r="AF30" s="50">
        <f ca="1">+GETPIVOTDATA("XSR4",'suoirao (2016)'!$A$3,"MA_HT","DTL","MA_QH","DVH")</f>
        <v>0</v>
      </c>
      <c r="AG30" s="50">
        <f ca="1">+GETPIVOTDATA("XSR4",'suoirao (2016)'!$A$3,"MA_HT","DTL","MA_QH","DYT")</f>
        <v>0</v>
      </c>
      <c r="AH30" s="50">
        <f ca="1">+GETPIVOTDATA("XSR4",'suoirao (2016)'!$A$3,"MA_HT","DTL","MA_QH","DGD")</f>
        <v>0</v>
      </c>
      <c r="AI30" s="50">
        <f ca="1">+GETPIVOTDATA("XSR4",'suoirao (2016)'!$A$3,"MA_HT","DTL","MA_QH","DTT")</f>
        <v>0</v>
      </c>
      <c r="AJ30" s="50">
        <f ca="1">+GETPIVOTDATA("XSR4",'suoirao (2016)'!$A$3,"MA_HT","DTL","MA_QH","NCK")</f>
        <v>0</v>
      </c>
      <c r="AK30" s="50">
        <f ca="1">+GETPIVOTDATA("XSR4",'suoirao (2016)'!$A$3,"MA_HT","DTL","MA_QH","DXH")</f>
        <v>0</v>
      </c>
      <c r="AL30" s="50">
        <f ca="1">+GETPIVOTDATA("XSR4",'suoirao (2016)'!$A$3,"MA_HT","DTL","MA_QH","DCH")</f>
        <v>0</v>
      </c>
      <c r="AM30" s="50">
        <f ca="1">+GETPIVOTDATA("XSR4",'suoirao (2016)'!$A$3,"MA_HT","DTL","MA_QH","DKG")</f>
        <v>0</v>
      </c>
      <c r="AN30" s="50">
        <f ca="1">+GETPIVOTDATA("XSR4",'suoirao (2016)'!$A$3,"MA_HT","DTL","MA_QH","DDT")</f>
        <v>0</v>
      </c>
      <c r="AO30" s="50">
        <f ca="1">+GETPIVOTDATA("XSR4",'suoirao (2016)'!$A$3,"MA_HT","DTL","MA_QH","DDL")</f>
        <v>0</v>
      </c>
      <c r="AP30" s="50">
        <f ca="1">+GETPIVOTDATA("XSR4",'suoirao (2016)'!$A$3,"MA_HT","DTL","MA_QH","DRA")</f>
        <v>0</v>
      </c>
      <c r="AQ30" s="50">
        <f ca="1">+GETPIVOTDATA("XSR4",'suoirao (2016)'!$A$3,"MA_HT","DTL","MA_QH","ONT")</f>
        <v>0</v>
      </c>
      <c r="AR30" s="50">
        <f ca="1">+GETPIVOTDATA("XSR4",'suoirao (2016)'!$A$3,"MA_HT","DTL","MA_QH","ODT")</f>
        <v>0</v>
      </c>
      <c r="AS30" s="50">
        <f ca="1">+GETPIVOTDATA("XSR4",'suoirao (2016)'!$A$3,"MA_HT","DTL","MA_QH","TSC")</f>
        <v>0</v>
      </c>
      <c r="AT30" s="50">
        <f ca="1">+GETPIVOTDATA("XSR4",'suoirao (2016)'!$A$3,"MA_HT","DTL","MA_QH","DTS")</f>
        <v>0</v>
      </c>
      <c r="AU30" s="50">
        <f ca="1">+GETPIVOTDATA("XSR4",'suoirao (2016)'!$A$3,"MA_HT","DTL","MA_QH","DNG")</f>
        <v>0</v>
      </c>
      <c r="AV30" s="50">
        <f ca="1">+GETPIVOTDATA("XSR4",'suoirao (2016)'!$A$3,"MA_HT","DTL","MA_QH","TON")</f>
        <v>0</v>
      </c>
      <c r="AW30" s="50">
        <f ca="1">+GETPIVOTDATA("XSR4",'suoirao (2016)'!$A$3,"MA_HT","DTL","MA_QH","NTD")</f>
        <v>0</v>
      </c>
      <c r="AX30" s="50">
        <f ca="1">+GETPIVOTDATA("XSR4",'suoirao (2016)'!$A$3,"MA_HT","DTL","MA_QH","SKX")</f>
        <v>0</v>
      </c>
      <c r="AY30" s="50">
        <f ca="1">+GETPIVOTDATA("XSR4",'suoirao (2016)'!$A$3,"MA_HT","DTL","MA_QH","DSH")</f>
        <v>0</v>
      </c>
      <c r="AZ30" s="50">
        <f ca="1">+GETPIVOTDATA("XSR4",'suoirao (2016)'!$A$3,"MA_HT","DTL","MA_QH","DKV")</f>
        <v>0</v>
      </c>
      <c r="BA30" s="88">
        <f ca="1">+GETPIVOTDATA("XSR4",'suoirao (2016)'!$A$3,"MA_HT","DTL","MA_QH","TIN")</f>
        <v>0</v>
      </c>
      <c r="BB30" s="50">
        <f ca="1">+GETPIVOTDATA("XSR4",'suoirao (2016)'!$A$3,"MA_HT","DTL","MA_QH","SON")</f>
        <v>0</v>
      </c>
      <c r="BC30" s="50">
        <f ca="1">+GETPIVOTDATA("XSR4",'suoirao (2016)'!$A$3,"MA_HT","DTL","MA_QH","MNC")</f>
        <v>0</v>
      </c>
      <c r="BD30" s="50">
        <f ca="1">+GETPIVOTDATA("XSR4",'suoirao (2016)'!$A$3,"MA_HT","DTL","MA_QH","PNK")</f>
        <v>0</v>
      </c>
      <c r="BE30" s="80">
        <f ca="1">+GETPIVOTDATA("XSR4",'suoirao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+GETPIVOTDATA("XSR4",'suoirao (2016)'!$A$3,"MA_HT","DNL","MA_QH","LUC")</f>
        <v>0</v>
      </c>
      <c r="H31" s="50">
        <f ca="1">+GETPIVOTDATA("XSR4",'suoirao (2016)'!$A$3,"MA_HT","DNL","MA_QH","LUK")</f>
        <v>0</v>
      </c>
      <c r="I31" s="50">
        <f ca="1">+GETPIVOTDATA("XSR4",'suoirao (2016)'!$A$3,"MA_HT","DNL","MA_QH","LUN")</f>
        <v>0</v>
      </c>
      <c r="J31" s="50">
        <f ca="1">+GETPIVOTDATA("XSR4",'suoirao (2016)'!$A$3,"MA_HT","DNL","MA_QH","HNK")</f>
        <v>0</v>
      </c>
      <c r="K31" s="50">
        <f ca="1">+GETPIVOTDATA("XSR4",'suoirao (2016)'!$A$3,"MA_HT","DNL","MA_QH","CLN")</f>
        <v>0</v>
      </c>
      <c r="L31" s="50">
        <f ca="1">+GETPIVOTDATA("XSR4",'suoirao (2016)'!$A$3,"MA_HT","DNL","MA_QH","RSX")</f>
        <v>0</v>
      </c>
      <c r="M31" s="50">
        <f ca="1">+GETPIVOTDATA("XSR4",'suoirao (2016)'!$A$3,"MA_HT","DNL","MA_QH","RPH")</f>
        <v>0</v>
      </c>
      <c r="N31" s="50">
        <f ca="1">+GETPIVOTDATA("XSR4",'suoirao (2016)'!$A$3,"MA_HT","DNL","MA_QH","RDD")</f>
        <v>0</v>
      </c>
      <c r="O31" s="50">
        <f ca="1">+GETPIVOTDATA("XSR4",'suoirao (2016)'!$A$3,"MA_HT","DNL","MA_QH","NTS")</f>
        <v>0</v>
      </c>
      <c r="P31" s="50">
        <f ca="1">+GETPIVOTDATA("XSR4",'suoirao (2016)'!$A$3,"MA_HT","DNL","MA_QH","LMU")</f>
        <v>0</v>
      </c>
      <c r="Q31" s="50">
        <f ca="1">+GETPIVOTDATA("XSR4",'suoirao (2016)'!$A$3,"MA_HT","DNL","MA_QH","NKH")</f>
        <v>0</v>
      </c>
      <c r="R31" s="48">
        <f ca="1" t="shared" si="20"/>
        <v>0</v>
      </c>
      <c r="S31" s="50">
        <f ca="1">+GETPIVOTDATA("XSR4",'suoirao (2016)'!$A$3,"MA_HT","DNL","MA_QH","CQP")</f>
        <v>0</v>
      </c>
      <c r="T31" s="50">
        <f ca="1">+GETPIVOTDATA("XSR4",'suoirao (2016)'!$A$3,"MA_HT","DNL","MA_QH","CAN")</f>
        <v>0</v>
      </c>
      <c r="U31" s="50">
        <f ca="1">+GETPIVOTDATA("XSR4",'suoirao (2016)'!$A$3,"MA_HT","DNL","MA_QH","SKK")</f>
        <v>0</v>
      </c>
      <c r="V31" s="50">
        <f ca="1">+GETPIVOTDATA("XSR4",'suoirao (2016)'!$A$3,"MA_HT","DNL","MA_QH","SKT")</f>
        <v>0</v>
      </c>
      <c r="W31" s="50">
        <f ca="1">+GETPIVOTDATA("XSR4",'suoirao (2016)'!$A$3,"MA_HT","DNL","MA_QH","SKN")</f>
        <v>0</v>
      </c>
      <c r="X31" s="50">
        <f ca="1">+GETPIVOTDATA("XSR4",'suoirao (2016)'!$A$3,"MA_HT","DNL","MA_QH","TMD")</f>
        <v>0</v>
      </c>
      <c r="Y31" s="50">
        <f ca="1">+GETPIVOTDATA("XSR4",'suoirao (2016)'!$A$3,"MA_HT","DNL","MA_QH","SKC")</f>
        <v>0</v>
      </c>
      <c r="Z31" s="50">
        <f ca="1">+GETPIVOTDATA("XSR4",'suoirao (2016)'!$A$3,"MA_HT","DNL","MA_QH","SKS")</f>
        <v>0</v>
      </c>
      <c r="AA31" s="52">
        <f ca="1">+SUM(AB31:AC31,AE31:AM31)</f>
        <v>0</v>
      </c>
      <c r="AB31" s="50">
        <f ca="1">+GETPIVOTDATA("XSR4",'suoirao (2016)'!$A$3,"MA_HT","DNL","MA_QH","DGT")</f>
        <v>0</v>
      </c>
      <c r="AC31" s="50">
        <f ca="1">+GETPIVOTDATA("XSR4",'suoirao (2016)'!$A$3,"MA_HT","DNL","MA_QH","DTL")</f>
        <v>0</v>
      </c>
      <c r="AD31" s="49" t="e">
        <f ca="1">$D31-$BF31</f>
        <v>#REF!</v>
      </c>
      <c r="AE31" s="50">
        <f ca="1">+GETPIVOTDATA("XSR4",'suoirao (2016)'!$A$3,"MA_HT","DNL","MA_QH","DBV")</f>
        <v>0</v>
      </c>
      <c r="AF31" s="50">
        <f ca="1">+GETPIVOTDATA("XSR4",'suoirao (2016)'!$A$3,"MA_HT","DNL","MA_QH","DVH")</f>
        <v>0</v>
      </c>
      <c r="AG31" s="50">
        <f ca="1">+GETPIVOTDATA("XSR4",'suoirao (2016)'!$A$3,"MA_HT","DNL","MA_QH","DYT")</f>
        <v>0</v>
      </c>
      <c r="AH31" s="50">
        <f ca="1">+GETPIVOTDATA("XSR4",'suoirao (2016)'!$A$3,"MA_HT","DNL","MA_QH","DGD")</f>
        <v>0</v>
      </c>
      <c r="AI31" s="50">
        <f ca="1">+GETPIVOTDATA("XSR4",'suoirao (2016)'!$A$3,"MA_HT","DNL","MA_QH","DTT")</f>
        <v>0</v>
      </c>
      <c r="AJ31" s="50">
        <f ca="1">+GETPIVOTDATA("XSR4",'suoirao (2016)'!$A$3,"MA_HT","DNL","MA_QH","NCK")</f>
        <v>0</v>
      </c>
      <c r="AK31" s="50">
        <f ca="1">+GETPIVOTDATA("XSR4",'suoirao (2016)'!$A$3,"MA_HT","DNL","MA_QH","DXH")</f>
        <v>0</v>
      </c>
      <c r="AL31" s="50">
        <f ca="1">+GETPIVOTDATA("XSR4",'suoirao (2016)'!$A$3,"MA_HT","DNL","MA_QH","DCH")</f>
        <v>0</v>
      </c>
      <c r="AM31" s="50">
        <f ca="1">+GETPIVOTDATA("XSR4",'suoirao (2016)'!$A$3,"MA_HT","DNL","MA_QH","DKG")</f>
        <v>0</v>
      </c>
      <c r="AN31" s="50">
        <f ca="1">+GETPIVOTDATA("XSR4",'suoirao (2016)'!$A$3,"MA_HT","DNL","MA_QH","DDT")</f>
        <v>0</v>
      </c>
      <c r="AO31" s="50">
        <f ca="1">+GETPIVOTDATA("XSR4",'suoirao (2016)'!$A$3,"MA_HT","DNL","MA_QH","DDL")</f>
        <v>0</v>
      </c>
      <c r="AP31" s="50">
        <f ca="1">+GETPIVOTDATA("XSR4",'suoirao (2016)'!$A$3,"MA_HT","DNL","MA_QH","DRA")</f>
        <v>0</v>
      </c>
      <c r="AQ31" s="50">
        <f ca="1">+GETPIVOTDATA("XSR4",'suoirao (2016)'!$A$3,"MA_HT","DNL","MA_QH","ONT")</f>
        <v>0</v>
      </c>
      <c r="AR31" s="50">
        <f ca="1">+GETPIVOTDATA("XSR4",'suoirao (2016)'!$A$3,"MA_HT","DNL","MA_QH","ODT")</f>
        <v>0</v>
      </c>
      <c r="AS31" s="50">
        <f ca="1">+GETPIVOTDATA("XSR4",'suoirao (2016)'!$A$3,"MA_HT","DNL","MA_QH","TSC")</f>
        <v>0</v>
      </c>
      <c r="AT31" s="50">
        <f ca="1">+GETPIVOTDATA("XSR4",'suoirao (2016)'!$A$3,"MA_HT","DNL","MA_QH","DTS")</f>
        <v>0</v>
      </c>
      <c r="AU31" s="50">
        <f ca="1">+GETPIVOTDATA("XSR4",'suoirao (2016)'!$A$3,"MA_HT","DNL","MA_QH","DNG")</f>
        <v>0</v>
      </c>
      <c r="AV31" s="50">
        <f ca="1">+GETPIVOTDATA("XSR4",'suoirao (2016)'!$A$3,"MA_HT","DNL","MA_QH","TON")</f>
        <v>0</v>
      </c>
      <c r="AW31" s="50">
        <f ca="1">+GETPIVOTDATA("XSR4",'suoirao (2016)'!$A$3,"MA_HT","DNL","MA_QH","NTD")</f>
        <v>0</v>
      </c>
      <c r="AX31" s="50">
        <f ca="1">+GETPIVOTDATA("XSR4",'suoirao (2016)'!$A$3,"MA_HT","DNL","MA_QH","SKX")</f>
        <v>0</v>
      </c>
      <c r="AY31" s="50">
        <f ca="1">+GETPIVOTDATA("XSR4",'suoirao (2016)'!$A$3,"MA_HT","DNL","MA_QH","DSH")</f>
        <v>0</v>
      </c>
      <c r="AZ31" s="50">
        <f ca="1">+GETPIVOTDATA("XSR4",'suoirao (2016)'!$A$3,"MA_HT","DNL","MA_QH","DKV")</f>
        <v>0</v>
      </c>
      <c r="BA31" s="88">
        <f ca="1">+GETPIVOTDATA("XSR4",'suoirao (2016)'!$A$3,"MA_HT","DNL","MA_QH","TIN")</f>
        <v>0</v>
      </c>
      <c r="BB31" s="50">
        <f ca="1">+GETPIVOTDATA("XSR4",'suoirao (2016)'!$A$3,"MA_HT","DNL","MA_QH","SON")</f>
        <v>0</v>
      </c>
      <c r="BC31" s="50">
        <f ca="1">+GETPIVOTDATA("XSR4",'suoirao (2016)'!$A$3,"MA_HT","DNL","MA_QH","MNC")</f>
        <v>0</v>
      </c>
      <c r="BD31" s="50">
        <f ca="1">+GETPIVOTDATA("XSR4",'suoirao (2016)'!$A$3,"MA_HT","DNL","MA_QH","PNK")</f>
        <v>0</v>
      </c>
      <c r="BE31" s="80">
        <f ca="1">+GETPIVOTDATA("XSR4",'suoirao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+GETPIVOTDATA("XSR4",'suoirao (2016)'!$A$3,"MA_HT","DBV","MA_QH","LUC")</f>
        <v>0</v>
      </c>
      <c r="H32" s="50">
        <f ca="1">+GETPIVOTDATA("XSR4",'suoirao (2016)'!$A$3,"MA_HT","DBV","MA_QH","LUK")</f>
        <v>0</v>
      </c>
      <c r="I32" s="50">
        <f ca="1">+GETPIVOTDATA("XSR4",'suoirao (2016)'!$A$3,"MA_HT","DBV","MA_QH","LUN")</f>
        <v>0</v>
      </c>
      <c r="J32" s="50">
        <f ca="1">+GETPIVOTDATA("XSR4",'suoirao (2016)'!$A$3,"MA_HT","DBV","MA_QH","HNK")</f>
        <v>0</v>
      </c>
      <c r="K32" s="50">
        <f ca="1">+GETPIVOTDATA("XSR4",'suoirao (2016)'!$A$3,"MA_HT","DBV","MA_QH","CLN")</f>
        <v>0</v>
      </c>
      <c r="L32" s="50">
        <f ca="1">+GETPIVOTDATA("XSR4",'suoirao (2016)'!$A$3,"MA_HT","DBV","MA_QH","RSX")</f>
        <v>0</v>
      </c>
      <c r="M32" s="50">
        <f ca="1">+GETPIVOTDATA("XSR4",'suoirao (2016)'!$A$3,"MA_HT","DBV","MA_QH","RPH")</f>
        <v>0</v>
      </c>
      <c r="N32" s="50">
        <f ca="1">+GETPIVOTDATA("XSR4",'suoirao (2016)'!$A$3,"MA_HT","DBV","MA_QH","RDD")</f>
        <v>0</v>
      </c>
      <c r="O32" s="50">
        <f ca="1">+GETPIVOTDATA("XSR4",'suoirao (2016)'!$A$3,"MA_HT","DBV","MA_QH","NTS")</f>
        <v>0</v>
      </c>
      <c r="P32" s="50">
        <f ca="1">+GETPIVOTDATA("XSR4",'suoirao (2016)'!$A$3,"MA_HT","DBV","MA_QH","LMU")</f>
        <v>0</v>
      </c>
      <c r="Q32" s="50">
        <f ca="1">+GETPIVOTDATA("XSR4",'suoirao (2016)'!$A$3,"MA_HT","DBV","MA_QH","NKH")</f>
        <v>0</v>
      </c>
      <c r="R32" s="48">
        <f ca="1" t="shared" si="20"/>
        <v>0</v>
      </c>
      <c r="S32" s="50">
        <f ca="1">+GETPIVOTDATA("XSR4",'suoirao (2016)'!$A$3,"MA_HT","DBV","MA_QH","CQP")</f>
        <v>0</v>
      </c>
      <c r="T32" s="50">
        <f ca="1">+GETPIVOTDATA("XSR4",'suoirao (2016)'!$A$3,"MA_HT","DBV","MA_QH","CAN")</f>
        <v>0</v>
      </c>
      <c r="U32" s="50">
        <f ca="1">+GETPIVOTDATA("XSR4",'suoirao (2016)'!$A$3,"MA_HT","DBV","MA_QH","SKK")</f>
        <v>0</v>
      </c>
      <c r="V32" s="50">
        <f ca="1">+GETPIVOTDATA("XSR4",'suoirao (2016)'!$A$3,"MA_HT","DBV","MA_QH","SKT")</f>
        <v>0</v>
      </c>
      <c r="W32" s="50">
        <f ca="1">+GETPIVOTDATA("XSR4",'suoirao (2016)'!$A$3,"MA_HT","DBV","MA_QH","SKN")</f>
        <v>0</v>
      </c>
      <c r="X32" s="50">
        <f ca="1">+GETPIVOTDATA("XSR4",'suoirao (2016)'!$A$3,"MA_HT","DBV","MA_QH","TMD")</f>
        <v>0</v>
      </c>
      <c r="Y32" s="50">
        <f ca="1">+GETPIVOTDATA("XSR4",'suoirao (2016)'!$A$3,"MA_HT","DBV","MA_QH","SKC")</f>
        <v>0</v>
      </c>
      <c r="Z32" s="50">
        <f ca="1">+GETPIVOTDATA("XSR4",'suoirao (2016)'!$A$3,"MA_HT","DBV","MA_QH","SKS")</f>
        <v>0</v>
      </c>
      <c r="AA32" s="52">
        <f ca="1">+SUM(AB32:AD32,AF32:AM32)</f>
        <v>0</v>
      </c>
      <c r="AB32" s="50">
        <f ca="1">+GETPIVOTDATA("XSR4",'suoirao (2016)'!$A$3,"MA_HT","DBV","MA_QH","DGT")</f>
        <v>0</v>
      </c>
      <c r="AC32" s="50">
        <f ca="1">+GETPIVOTDATA("XSR4",'suoirao (2016)'!$A$3,"MA_HT","DBV","MA_QH","DTL")</f>
        <v>0</v>
      </c>
      <c r="AD32" s="50">
        <f ca="1">+GETPIVOTDATA("XSR4",'suoirao (2016)'!$A$3,"MA_HT","DBV","MA_QH","DNL")</f>
        <v>0</v>
      </c>
      <c r="AE32" s="49" t="e">
        <f ca="1">$D32-$BF32</f>
        <v>#REF!</v>
      </c>
      <c r="AF32" s="50">
        <f ca="1">+GETPIVOTDATA("XSR4",'suoirao (2016)'!$A$3,"MA_HT","DBV","MA_QH","DVH")</f>
        <v>0</v>
      </c>
      <c r="AG32" s="50">
        <f ca="1">+GETPIVOTDATA("XSR4",'suoirao (2016)'!$A$3,"MA_HT","DBV","MA_QH","DYT")</f>
        <v>0</v>
      </c>
      <c r="AH32" s="50">
        <f ca="1">+GETPIVOTDATA("XSR4",'suoirao (2016)'!$A$3,"MA_HT","DBV","MA_QH","DGD")</f>
        <v>0</v>
      </c>
      <c r="AI32" s="50">
        <f ca="1">+GETPIVOTDATA("XSR4",'suoirao (2016)'!$A$3,"MA_HT","DBV","MA_QH","DTT")</f>
        <v>0</v>
      </c>
      <c r="AJ32" s="50">
        <f ca="1">+GETPIVOTDATA("XSR4",'suoirao (2016)'!$A$3,"MA_HT","DBV","MA_QH","NCK")</f>
        <v>0</v>
      </c>
      <c r="AK32" s="50">
        <f ca="1">+GETPIVOTDATA("XSR4",'suoirao (2016)'!$A$3,"MA_HT","DBV","MA_QH","DXH")</f>
        <v>0</v>
      </c>
      <c r="AL32" s="50">
        <f ca="1">+GETPIVOTDATA("XSR4",'suoirao (2016)'!$A$3,"MA_HT","DBV","MA_QH","DCH")</f>
        <v>0</v>
      </c>
      <c r="AM32" s="50">
        <f ca="1">+GETPIVOTDATA("XSR4",'suoirao (2016)'!$A$3,"MA_HT","DBV","MA_QH","DKG")</f>
        <v>0</v>
      </c>
      <c r="AN32" s="50">
        <f ca="1">+GETPIVOTDATA("XSR4",'suoirao (2016)'!$A$3,"MA_HT","DBV","MA_QH","DDT")</f>
        <v>0</v>
      </c>
      <c r="AO32" s="50">
        <f ca="1">+GETPIVOTDATA("XSR4",'suoirao (2016)'!$A$3,"MA_HT","DBV","MA_QH","DDL")</f>
        <v>0</v>
      </c>
      <c r="AP32" s="50">
        <f ca="1">+GETPIVOTDATA("XSR4",'suoirao (2016)'!$A$3,"MA_HT","DBV","MA_QH","DRA")</f>
        <v>0</v>
      </c>
      <c r="AQ32" s="50">
        <f ca="1">+GETPIVOTDATA("XSR4",'suoirao (2016)'!$A$3,"MA_HT","DBV","MA_QH","ONT")</f>
        <v>0</v>
      </c>
      <c r="AR32" s="50">
        <f ca="1">+GETPIVOTDATA("XSR4",'suoirao (2016)'!$A$3,"MA_HT","DBV","MA_QH","ODT")</f>
        <v>0</v>
      </c>
      <c r="AS32" s="50">
        <f ca="1">+GETPIVOTDATA("XSR4",'suoirao (2016)'!$A$3,"MA_HT","DBV","MA_QH","TSC")</f>
        <v>0</v>
      </c>
      <c r="AT32" s="50">
        <f ca="1">+GETPIVOTDATA("XSR4",'suoirao (2016)'!$A$3,"MA_HT","DBV","MA_QH","DTS")</f>
        <v>0</v>
      </c>
      <c r="AU32" s="50">
        <f ca="1">+GETPIVOTDATA("XSR4",'suoirao (2016)'!$A$3,"MA_HT","DBV","MA_QH","DNG")</f>
        <v>0</v>
      </c>
      <c r="AV32" s="50">
        <f ca="1">+GETPIVOTDATA("XSR4",'suoirao (2016)'!$A$3,"MA_HT","DBV","MA_QH","TON")</f>
        <v>0</v>
      </c>
      <c r="AW32" s="50">
        <f ca="1">+GETPIVOTDATA("XSR4",'suoirao (2016)'!$A$3,"MA_HT","DBV","MA_QH","NTD")</f>
        <v>0</v>
      </c>
      <c r="AX32" s="50">
        <f ca="1">+GETPIVOTDATA("XSR4",'suoirao (2016)'!$A$3,"MA_HT","DBV","MA_QH","SKX")</f>
        <v>0</v>
      </c>
      <c r="AY32" s="50">
        <f ca="1">+GETPIVOTDATA("XSR4",'suoirao (2016)'!$A$3,"MA_HT","DBV","MA_QH","DSH")</f>
        <v>0</v>
      </c>
      <c r="AZ32" s="50">
        <f ca="1">+GETPIVOTDATA("XSR4",'suoirao (2016)'!$A$3,"MA_HT","DBV","MA_QH","DKV")</f>
        <v>0</v>
      </c>
      <c r="BA32" s="88">
        <f ca="1">+GETPIVOTDATA("XSR4",'suoirao (2016)'!$A$3,"MA_HT","DBV","MA_QH","TIN")</f>
        <v>0</v>
      </c>
      <c r="BB32" s="50">
        <f ca="1">+GETPIVOTDATA("XSR4",'suoirao (2016)'!$A$3,"MA_HT","DBV","MA_QH","SON")</f>
        <v>0</v>
      </c>
      <c r="BC32" s="50">
        <f ca="1">+GETPIVOTDATA("XSR4",'suoirao (2016)'!$A$3,"MA_HT","DBV","MA_QH","MNC")</f>
        <v>0</v>
      </c>
      <c r="BD32" s="50">
        <f ca="1">+GETPIVOTDATA("XSR4",'suoirao (2016)'!$A$3,"MA_HT","DBV","MA_QH","PNK")</f>
        <v>0</v>
      </c>
      <c r="BE32" s="80">
        <f ca="1">+GETPIVOTDATA("XSR4",'suoirao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+GETPIVOTDATA("XSR4",'suoirao (2016)'!$A$3,"MA_HT","DVH","MA_QH","LUC")</f>
        <v>0</v>
      </c>
      <c r="H33" s="50">
        <f ca="1">+GETPIVOTDATA("XSR4",'suoirao (2016)'!$A$3,"MA_HT","DVH","MA_QH","LUK")</f>
        <v>0</v>
      </c>
      <c r="I33" s="50">
        <f ca="1">+GETPIVOTDATA("XSR4",'suoirao (2016)'!$A$3,"MA_HT","DVH","MA_QH","LUN")</f>
        <v>0</v>
      </c>
      <c r="J33" s="50">
        <f ca="1">+GETPIVOTDATA("XSR4",'suoirao (2016)'!$A$3,"MA_HT","DVH","MA_QH","HNK")</f>
        <v>0</v>
      </c>
      <c r="K33" s="50">
        <f ca="1">+GETPIVOTDATA("XSR4",'suoirao (2016)'!$A$3,"MA_HT","DVH","MA_QH","CLN")</f>
        <v>0</v>
      </c>
      <c r="L33" s="50">
        <f ca="1">+GETPIVOTDATA("XSR4",'suoirao (2016)'!$A$3,"MA_HT","DVH","MA_QH","RSX")</f>
        <v>0</v>
      </c>
      <c r="M33" s="50">
        <f ca="1">+GETPIVOTDATA("XSR4",'suoirao (2016)'!$A$3,"MA_HT","DVH","MA_QH","RPH")</f>
        <v>0</v>
      </c>
      <c r="N33" s="50">
        <f ca="1">+GETPIVOTDATA("XSR4",'suoirao (2016)'!$A$3,"MA_HT","DVH","MA_QH","RDD")</f>
        <v>0</v>
      </c>
      <c r="O33" s="50">
        <f ca="1">+GETPIVOTDATA("XSR4",'suoirao (2016)'!$A$3,"MA_HT","DVH","MA_QH","NTS")</f>
        <v>0</v>
      </c>
      <c r="P33" s="50">
        <f ca="1">+GETPIVOTDATA("XSR4",'suoirao (2016)'!$A$3,"MA_HT","DVH","MA_QH","LMU")</f>
        <v>0</v>
      </c>
      <c r="Q33" s="50">
        <f ca="1">+GETPIVOTDATA("XSR4",'suoirao (2016)'!$A$3,"MA_HT","DVH","MA_QH","NKH")</f>
        <v>0</v>
      </c>
      <c r="R33" s="48">
        <f ca="1" t="shared" si="20"/>
        <v>0</v>
      </c>
      <c r="S33" s="50">
        <f ca="1">+GETPIVOTDATA("XSR4",'suoirao (2016)'!$A$3,"MA_HT","DVH","MA_QH","CQP")</f>
        <v>0</v>
      </c>
      <c r="T33" s="50">
        <f ca="1">+GETPIVOTDATA("XSR4",'suoirao (2016)'!$A$3,"MA_HT","DVH","MA_QH","CAN")</f>
        <v>0</v>
      </c>
      <c r="U33" s="50">
        <f ca="1">+GETPIVOTDATA("XSR4",'suoirao (2016)'!$A$3,"MA_HT","DVH","MA_QH","SKK")</f>
        <v>0</v>
      </c>
      <c r="V33" s="50">
        <f ca="1">+GETPIVOTDATA("XSR4",'suoirao (2016)'!$A$3,"MA_HT","DVH","MA_QH","SKT")</f>
        <v>0</v>
      </c>
      <c r="W33" s="50">
        <f ca="1">+GETPIVOTDATA("XSR4",'suoirao (2016)'!$A$3,"MA_HT","DVH","MA_QH","SKN")</f>
        <v>0</v>
      </c>
      <c r="X33" s="50">
        <f ca="1">+GETPIVOTDATA("XSR4",'suoirao (2016)'!$A$3,"MA_HT","DVH","MA_QH","TMD")</f>
        <v>0</v>
      </c>
      <c r="Y33" s="50">
        <f ca="1">+GETPIVOTDATA("XSR4",'suoirao (2016)'!$A$3,"MA_HT","DVH","MA_QH","SKC")</f>
        <v>0</v>
      </c>
      <c r="Z33" s="50">
        <f ca="1">+GETPIVOTDATA("XSR4",'suoirao (2016)'!$A$3,"MA_HT","DVH","MA_QH","SKS")</f>
        <v>0</v>
      </c>
      <c r="AA33" s="52">
        <f ca="1">+SUM(AB33:AE33,AG33:AM33)</f>
        <v>0</v>
      </c>
      <c r="AB33" s="50">
        <f ca="1">+GETPIVOTDATA("XSR4",'suoirao (2016)'!$A$3,"MA_HT","DVH","MA_QH","DGT")</f>
        <v>0</v>
      </c>
      <c r="AC33" s="50">
        <f ca="1">+GETPIVOTDATA("XSR4",'suoirao (2016)'!$A$3,"MA_HT","DVH","MA_QH","DTL")</f>
        <v>0</v>
      </c>
      <c r="AD33" s="50">
        <f ca="1">+GETPIVOTDATA("XSR4",'suoirao (2016)'!$A$3,"MA_HT","DVH","MA_QH","DNL")</f>
        <v>0</v>
      </c>
      <c r="AE33" s="50">
        <f ca="1">+GETPIVOTDATA("XSR4",'suoirao (2016)'!$A$3,"MA_HT","DVH","MA_QH","DBV")</f>
        <v>0</v>
      </c>
      <c r="AF33" s="49" t="e">
        <f ca="1">$D33-$BF33</f>
        <v>#REF!</v>
      </c>
      <c r="AG33" s="50">
        <f ca="1">+GETPIVOTDATA("XSR4",'suoirao (2016)'!$A$3,"MA_HT","DVH","MA_QH","DYT")</f>
        <v>0</v>
      </c>
      <c r="AH33" s="50">
        <f ca="1">+GETPIVOTDATA("XSR4",'suoirao (2016)'!$A$3,"MA_HT","DVH","MA_QH","DGD")</f>
        <v>0</v>
      </c>
      <c r="AI33" s="50">
        <f ca="1">+GETPIVOTDATA("XSR4",'suoirao (2016)'!$A$3,"MA_HT","DVH","MA_QH","DTT")</f>
        <v>0</v>
      </c>
      <c r="AJ33" s="50">
        <f ca="1">+GETPIVOTDATA("XSR4",'suoirao (2016)'!$A$3,"MA_HT","DVH","MA_QH","NCK")</f>
        <v>0</v>
      </c>
      <c r="AK33" s="50">
        <f ca="1">+GETPIVOTDATA("XSR4",'suoirao (2016)'!$A$3,"MA_HT","DVH","MA_QH","DXH")</f>
        <v>0</v>
      </c>
      <c r="AL33" s="50">
        <f ca="1">+GETPIVOTDATA("XSR4",'suoirao (2016)'!$A$3,"MA_HT","DVH","MA_QH","DCH")</f>
        <v>0</v>
      </c>
      <c r="AM33" s="50">
        <f ca="1">+GETPIVOTDATA("XSR4",'suoirao (2016)'!$A$3,"MA_HT","DVH","MA_QH","DKG")</f>
        <v>0</v>
      </c>
      <c r="AN33" s="50">
        <f ca="1">+GETPIVOTDATA("XSR4",'suoirao (2016)'!$A$3,"MA_HT","DVH","MA_QH","DDT")</f>
        <v>0</v>
      </c>
      <c r="AO33" s="50">
        <f ca="1">+GETPIVOTDATA("XSR4",'suoirao (2016)'!$A$3,"MA_HT","DVH","MA_QH","DDL")</f>
        <v>0</v>
      </c>
      <c r="AP33" s="50">
        <f ca="1">+GETPIVOTDATA("XSR4",'suoirao (2016)'!$A$3,"MA_HT","DVH","MA_QH","DRA")</f>
        <v>0</v>
      </c>
      <c r="AQ33" s="50">
        <f ca="1">+GETPIVOTDATA("XSR4",'suoirao (2016)'!$A$3,"MA_HT","DVH","MA_QH","ONT")</f>
        <v>0</v>
      </c>
      <c r="AR33" s="50">
        <f ca="1">+GETPIVOTDATA("XSR4",'suoirao (2016)'!$A$3,"MA_HT","DVH","MA_QH","ODT")</f>
        <v>0</v>
      </c>
      <c r="AS33" s="50">
        <f ca="1">+GETPIVOTDATA("XSR4",'suoirao (2016)'!$A$3,"MA_HT","DVH","MA_QH","TSC")</f>
        <v>0</v>
      </c>
      <c r="AT33" s="50">
        <f ca="1">+GETPIVOTDATA("XSR4",'suoirao (2016)'!$A$3,"MA_HT","DVH","MA_QH","DTS")</f>
        <v>0</v>
      </c>
      <c r="AU33" s="50">
        <f ca="1">+GETPIVOTDATA("XSR4",'suoirao (2016)'!$A$3,"MA_HT","DVH","MA_QH","DNG")</f>
        <v>0</v>
      </c>
      <c r="AV33" s="50">
        <f ca="1">+GETPIVOTDATA("XSR4",'suoirao (2016)'!$A$3,"MA_HT","DVH","MA_QH","TON")</f>
        <v>0</v>
      </c>
      <c r="AW33" s="50">
        <f ca="1">+GETPIVOTDATA("XSR4",'suoirao (2016)'!$A$3,"MA_HT","DVH","MA_QH","NTD")</f>
        <v>0</v>
      </c>
      <c r="AX33" s="50">
        <f ca="1">+GETPIVOTDATA("XSR4",'suoirao (2016)'!$A$3,"MA_HT","DVH","MA_QH","SKX")</f>
        <v>0</v>
      </c>
      <c r="AY33" s="50">
        <f ca="1">+GETPIVOTDATA("XSR4",'suoirao (2016)'!$A$3,"MA_HT","DVH","MA_QH","DSH")</f>
        <v>0</v>
      </c>
      <c r="AZ33" s="50">
        <f ca="1">+GETPIVOTDATA("XSR4",'suoirao (2016)'!$A$3,"MA_HT","DVH","MA_QH","DKV")</f>
        <v>0</v>
      </c>
      <c r="BA33" s="88">
        <f ca="1">+GETPIVOTDATA("XSR4",'suoirao (2016)'!$A$3,"MA_HT","DVH","MA_QH","TIN")</f>
        <v>0</v>
      </c>
      <c r="BB33" s="50">
        <f ca="1">+GETPIVOTDATA("XSR4",'suoirao (2016)'!$A$3,"MA_HT","DVH","MA_QH","SON")</f>
        <v>0</v>
      </c>
      <c r="BC33" s="50">
        <f ca="1">+GETPIVOTDATA("XSR4",'suoirao (2016)'!$A$3,"MA_HT","DVH","MA_QH","MNC")</f>
        <v>0</v>
      </c>
      <c r="BD33" s="50">
        <f ca="1">+GETPIVOTDATA("XSR4",'suoirao (2016)'!$A$3,"MA_HT","DVH","MA_QH","PNK")</f>
        <v>0</v>
      </c>
      <c r="BE33" s="80">
        <f ca="1">+GETPIVOTDATA("XSR4",'suoirao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+GETPIVOTDATA("XSR4",'suoirao (2016)'!$A$3,"MA_HT","DYT","MA_QH","LUC")</f>
        <v>0</v>
      </c>
      <c r="H34" s="50">
        <f ca="1">+GETPIVOTDATA("XSR4",'suoirao (2016)'!$A$3,"MA_HT","DYT","MA_QH","LUK")</f>
        <v>0</v>
      </c>
      <c r="I34" s="50">
        <f ca="1">+GETPIVOTDATA("XSR4",'suoirao (2016)'!$A$3,"MA_HT","DYT","MA_QH","LUN")</f>
        <v>0</v>
      </c>
      <c r="J34" s="50">
        <f ca="1">+GETPIVOTDATA("XSR4",'suoirao (2016)'!$A$3,"MA_HT","DYT","MA_QH","HNK")</f>
        <v>0</v>
      </c>
      <c r="K34" s="50">
        <f ca="1">+GETPIVOTDATA("XSR4",'suoirao (2016)'!$A$3,"MA_HT","DYT","MA_QH","CLN")</f>
        <v>0</v>
      </c>
      <c r="L34" s="50">
        <f ca="1">+GETPIVOTDATA("XSR4",'suoirao (2016)'!$A$3,"MA_HT","DYT","MA_QH","RSX")</f>
        <v>0</v>
      </c>
      <c r="M34" s="50">
        <f ca="1">+GETPIVOTDATA("XSR4",'suoirao (2016)'!$A$3,"MA_HT","DYT","MA_QH","RPH")</f>
        <v>0</v>
      </c>
      <c r="N34" s="50">
        <f ca="1">+GETPIVOTDATA("XSR4",'suoirao (2016)'!$A$3,"MA_HT","DYT","MA_QH","RDD")</f>
        <v>0</v>
      </c>
      <c r="O34" s="50">
        <f ca="1">+GETPIVOTDATA("XSR4",'suoirao (2016)'!$A$3,"MA_HT","DYT","MA_QH","NTS")</f>
        <v>0</v>
      </c>
      <c r="P34" s="50">
        <f ca="1">+GETPIVOTDATA("XSR4",'suoirao (2016)'!$A$3,"MA_HT","DYT","MA_QH","LMU")</f>
        <v>0</v>
      </c>
      <c r="Q34" s="50">
        <f ca="1">+GETPIVOTDATA("XSR4",'suoirao (2016)'!$A$3,"MA_HT","DYT","MA_QH","NKH")</f>
        <v>0</v>
      </c>
      <c r="R34" s="48">
        <f ca="1" t="shared" si="20"/>
        <v>0</v>
      </c>
      <c r="S34" s="50">
        <f ca="1">+GETPIVOTDATA("XSR4",'suoirao (2016)'!$A$3,"MA_HT","DYT","MA_QH","CQP")</f>
        <v>0</v>
      </c>
      <c r="T34" s="50">
        <f ca="1">+GETPIVOTDATA("XSR4",'suoirao (2016)'!$A$3,"MA_HT","DYT","MA_QH","CAN")</f>
        <v>0</v>
      </c>
      <c r="U34" s="50">
        <f ca="1">+GETPIVOTDATA("XSR4",'suoirao (2016)'!$A$3,"MA_HT","DYT","MA_QH","SKK")</f>
        <v>0</v>
      </c>
      <c r="V34" s="50">
        <f ca="1">+GETPIVOTDATA("XSR4",'suoirao (2016)'!$A$3,"MA_HT","DYT","MA_QH","SKT")</f>
        <v>0</v>
      </c>
      <c r="W34" s="50">
        <f ca="1">+GETPIVOTDATA("XSR4",'suoirao (2016)'!$A$3,"MA_HT","DYT","MA_QH","SKN")</f>
        <v>0</v>
      </c>
      <c r="X34" s="50">
        <f ca="1">+GETPIVOTDATA("XSR4",'suoirao (2016)'!$A$3,"MA_HT","DYT","MA_QH","TMD")</f>
        <v>0</v>
      </c>
      <c r="Y34" s="50">
        <f ca="1">+GETPIVOTDATA("XSR4",'suoirao (2016)'!$A$3,"MA_HT","DYT","MA_QH","SKC")</f>
        <v>0</v>
      </c>
      <c r="Z34" s="50">
        <f ca="1">+GETPIVOTDATA("XSR4",'suoirao (2016)'!$A$3,"MA_HT","DYT","MA_QH","SKS")</f>
        <v>0</v>
      </c>
      <c r="AA34" s="52">
        <f ca="1">+SUM(AB34:AF34,AH34:AM34)</f>
        <v>0</v>
      </c>
      <c r="AB34" s="50">
        <f ca="1">+GETPIVOTDATA("XSR4",'suoirao (2016)'!$A$3,"MA_HT","DYT","MA_QH","DGT")</f>
        <v>0</v>
      </c>
      <c r="AC34" s="50">
        <f ca="1">+GETPIVOTDATA("XSR4",'suoirao (2016)'!$A$3,"MA_HT","DYT","MA_QH","DTL")</f>
        <v>0</v>
      </c>
      <c r="AD34" s="50">
        <f ca="1">+GETPIVOTDATA("XSR4",'suoirao (2016)'!$A$3,"MA_HT","DYT","MA_QH","DNL")</f>
        <v>0</v>
      </c>
      <c r="AE34" s="50">
        <f ca="1">+GETPIVOTDATA("XSR4",'suoirao (2016)'!$A$3,"MA_HT","DYT","MA_QH","DBV")</f>
        <v>0</v>
      </c>
      <c r="AF34" s="50">
        <f ca="1">+GETPIVOTDATA("XSR4",'suoirao (2016)'!$A$3,"MA_HT","DYT","MA_QH","DVH")</f>
        <v>0</v>
      </c>
      <c r="AG34" s="49" t="e">
        <f ca="1">$D34-$BF34</f>
        <v>#REF!</v>
      </c>
      <c r="AH34" s="50">
        <f ca="1">+GETPIVOTDATA("XSR4",'suoirao (2016)'!$A$3,"MA_HT","DYT","MA_QH","DGD")</f>
        <v>0</v>
      </c>
      <c r="AI34" s="50">
        <f ca="1">+GETPIVOTDATA("XSR4",'suoirao (2016)'!$A$3,"MA_HT","DYT","MA_QH","DTT")</f>
        <v>0</v>
      </c>
      <c r="AJ34" s="50">
        <f ca="1">+GETPIVOTDATA("XSR4",'suoirao (2016)'!$A$3,"MA_HT","DYT","MA_QH","NCK")</f>
        <v>0</v>
      </c>
      <c r="AK34" s="50">
        <f ca="1">+GETPIVOTDATA("XSR4",'suoirao (2016)'!$A$3,"MA_HT","DYT","MA_QH","DXH")</f>
        <v>0</v>
      </c>
      <c r="AL34" s="50">
        <f ca="1">+GETPIVOTDATA("XSR4",'suoirao (2016)'!$A$3,"MA_HT","DYT","MA_QH","DCH")</f>
        <v>0</v>
      </c>
      <c r="AM34" s="50">
        <f ca="1">+GETPIVOTDATA("XSR4",'suoirao (2016)'!$A$3,"MA_HT","DYT","MA_QH","DKG")</f>
        <v>0</v>
      </c>
      <c r="AN34" s="50">
        <f ca="1">+GETPIVOTDATA("XSR4",'suoirao (2016)'!$A$3,"MA_HT","DYT","MA_QH","DDT")</f>
        <v>0</v>
      </c>
      <c r="AO34" s="50">
        <f ca="1">+GETPIVOTDATA("XSR4",'suoirao (2016)'!$A$3,"MA_HT","DYT","MA_QH","DDL")</f>
        <v>0</v>
      </c>
      <c r="AP34" s="50">
        <f ca="1">+GETPIVOTDATA("XSR4",'suoirao (2016)'!$A$3,"MA_HT","DYT","MA_QH","DRA")</f>
        <v>0</v>
      </c>
      <c r="AQ34" s="50">
        <f ca="1">+GETPIVOTDATA("XSR4",'suoirao (2016)'!$A$3,"MA_HT","DYT","MA_QH","ONT")</f>
        <v>0</v>
      </c>
      <c r="AR34" s="50">
        <f ca="1">+GETPIVOTDATA("XSR4",'suoirao (2016)'!$A$3,"MA_HT","DYT","MA_QH","ODT")</f>
        <v>0</v>
      </c>
      <c r="AS34" s="50">
        <f ca="1">+GETPIVOTDATA("XSR4",'suoirao (2016)'!$A$3,"MA_HT","DYT","MA_QH","TSC")</f>
        <v>0</v>
      </c>
      <c r="AT34" s="50">
        <f ca="1">+GETPIVOTDATA("XSR4",'suoirao (2016)'!$A$3,"MA_HT","DYT","MA_QH","DTS")</f>
        <v>0</v>
      </c>
      <c r="AU34" s="50">
        <f ca="1">+GETPIVOTDATA("XSR4",'suoirao (2016)'!$A$3,"MA_HT","DYT","MA_QH","DNG")</f>
        <v>0</v>
      </c>
      <c r="AV34" s="50">
        <f ca="1">+GETPIVOTDATA("XSR4",'suoirao (2016)'!$A$3,"MA_HT","DYT","MA_QH","TON")</f>
        <v>0</v>
      </c>
      <c r="AW34" s="50">
        <f ca="1">+GETPIVOTDATA("XSR4",'suoirao (2016)'!$A$3,"MA_HT","DYT","MA_QH","NTD")</f>
        <v>0</v>
      </c>
      <c r="AX34" s="50">
        <f ca="1">+GETPIVOTDATA("XSR4",'suoirao (2016)'!$A$3,"MA_HT","DYT","MA_QH","SKX")</f>
        <v>0</v>
      </c>
      <c r="AY34" s="50">
        <f ca="1">+GETPIVOTDATA("XSR4",'suoirao (2016)'!$A$3,"MA_HT","DYT","MA_QH","DSH")</f>
        <v>0</v>
      </c>
      <c r="AZ34" s="50">
        <f ca="1">+GETPIVOTDATA("XSR4",'suoirao (2016)'!$A$3,"MA_HT","DYT","MA_QH","DKV")</f>
        <v>0</v>
      </c>
      <c r="BA34" s="88">
        <f ca="1">+GETPIVOTDATA("XSR4",'suoirao (2016)'!$A$3,"MA_HT","DYT","MA_QH","TIN")</f>
        <v>0</v>
      </c>
      <c r="BB34" s="50">
        <f ca="1">+GETPIVOTDATA("XSR4",'suoirao (2016)'!$A$3,"MA_HT","DYT","MA_QH","SON")</f>
        <v>0</v>
      </c>
      <c r="BC34" s="50">
        <f ca="1">+GETPIVOTDATA("XSR4",'suoirao (2016)'!$A$3,"MA_HT","DYT","MA_QH","MNC")</f>
        <v>0</v>
      </c>
      <c r="BD34" s="50">
        <f ca="1">+GETPIVOTDATA("XSR4",'suoirao (2016)'!$A$3,"MA_HT","DYT","MA_QH","PNK")</f>
        <v>0</v>
      </c>
      <c r="BE34" s="80">
        <f ca="1">+GETPIVOTDATA("XSR4",'suoirao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+GETPIVOTDATA("XSR4",'suoirao (2016)'!$A$3,"MA_HT","DGD","MA_QH","LUC")</f>
        <v>0</v>
      </c>
      <c r="H35" s="50">
        <f ca="1">+GETPIVOTDATA("XSR4",'suoirao (2016)'!$A$3,"MA_HT","DGD","MA_QH","LUK")</f>
        <v>0</v>
      </c>
      <c r="I35" s="50">
        <f ca="1">+GETPIVOTDATA("XSR4",'suoirao (2016)'!$A$3,"MA_HT","DGD","MA_QH","LUN")</f>
        <v>0</v>
      </c>
      <c r="J35" s="50">
        <f ca="1">+GETPIVOTDATA("XSR4",'suoirao (2016)'!$A$3,"MA_HT","DGD","MA_QH","HNK")</f>
        <v>0</v>
      </c>
      <c r="K35" s="50">
        <f ca="1">+GETPIVOTDATA("XSR4",'suoirao (2016)'!$A$3,"MA_HT","DGD","MA_QH","CLN")</f>
        <v>0</v>
      </c>
      <c r="L35" s="50">
        <f ca="1">+GETPIVOTDATA("XSR4",'suoirao (2016)'!$A$3,"MA_HT","DGD","MA_QH","RSX")</f>
        <v>0</v>
      </c>
      <c r="M35" s="50">
        <f ca="1">+GETPIVOTDATA("XSR4",'suoirao (2016)'!$A$3,"MA_HT","DGD","MA_QH","RPH")</f>
        <v>0</v>
      </c>
      <c r="N35" s="50">
        <f ca="1">+GETPIVOTDATA("XSR4",'suoirao (2016)'!$A$3,"MA_HT","DGD","MA_QH","RDD")</f>
        <v>0</v>
      </c>
      <c r="O35" s="50">
        <f ca="1">+GETPIVOTDATA("XSR4",'suoirao (2016)'!$A$3,"MA_HT","DGD","MA_QH","NTS")</f>
        <v>0</v>
      </c>
      <c r="P35" s="50">
        <f ca="1">+GETPIVOTDATA("XSR4",'suoirao (2016)'!$A$3,"MA_HT","DGD","MA_QH","LMU")</f>
        <v>0</v>
      </c>
      <c r="Q35" s="50">
        <f ca="1">+GETPIVOTDATA("XSR4",'suoirao (2016)'!$A$3,"MA_HT","DGD","MA_QH","NKH")</f>
        <v>0</v>
      </c>
      <c r="R35" s="48">
        <f ca="1" t="shared" si="20"/>
        <v>0</v>
      </c>
      <c r="S35" s="50">
        <f ca="1">+GETPIVOTDATA("XSR4",'suoirao (2016)'!$A$3,"MA_HT","DGD","MA_QH","CQP")</f>
        <v>0</v>
      </c>
      <c r="T35" s="50">
        <f ca="1">+GETPIVOTDATA("XSR4",'suoirao (2016)'!$A$3,"MA_HT","DGD","MA_QH","CAN")</f>
        <v>0</v>
      </c>
      <c r="U35" s="50">
        <f ca="1">+GETPIVOTDATA("XSR4",'suoirao (2016)'!$A$3,"MA_HT","DGD","MA_QH","SKK")</f>
        <v>0</v>
      </c>
      <c r="V35" s="50">
        <f ca="1">+GETPIVOTDATA("XSR4",'suoirao (2016)'!$A$3,"MA_HT","DGD","MA_QH","SKT")</f>
        <v>0</v>
      </c>
      <c r="W35" s="50">
        <f ca="1">+GETPIVOTDATA("XSR4",'suoirao (2016)'!$A$3,"MA_HT","DGD","MA_QH","SKN")</f>
        <v>0</v>
      </c>
      <c r="X35" s="50">
        <f ca="1">+GETPIVOTDATA("XSR4",'suoirao (2016)'!$A$3,"MA_HT","DGD","MA_QH","TMD")</f>
        <v>0</v>
      </c>
      <c r="Y35" s="50">
        <f ca="1">+GETPIVOTDATA("XSR4",'suoirao (2016)'!$A$3,"MA_HT","DGD","MA_QH","SKC")</f>
        <v>0</v>
      </c>
      <c r="Z35" s="50">
        <f ca="1">+GETPIVOTDATA("XSR4",'suoirao (2016)'!$A$3,"MA_HT","DGD","MA_QH","SKS")</f>
        <v>0</v>
      </c>
      <c r="AA35" s="52">
        <f ca="1">+SUM(AB35:AG35,AI35:AM35)</f>
        <v>0</v>
      </c>
      <c r="AB35" s="50">
        <f ca="1">+GETPIVOTDATA("XSR4",'suoirao (2016)'!$A$3,"MA_HT","DGD","MA_QH","DGT")</f>
        <v>0</v>
      </c>
      <c r="AC35" s="50">
        <f ca="1">+GETPIVOTDATA("XSR4",'suoirao (2016)'!$A$3,"MA_HT","DGD","MA_QH","DTL")</f>
        <v>0</v>
      </c>
      <c r="AD35" s="50">
        <f ca="1">+GETPIVOTDATA("XSR4",'suoirao (2016)'!$A$3,"MA_HT","DGD","MA_QH","DNL")</f>
        <v>0</v>
      </c>
      <c r="AE35" s="50">
        <f ca="1">+GETPIVOTDATA("XSR4",'suoirao (2016)'!$A$3,"MA_HT","DGD","MA_QH","DBV")</f>
        <v>0</v>
      </c>
      <c r="AF35" s="50">
        <f ca="1">+GETPIVOTDATA("XSR4",'suoirao (2016)'!$A$3,"MA_HT","DGD","MA_QH","DVH")</f>
        <v>0</v>
      </c>
      <c r="AG35" s="50">
        <f ca="1">+GETPIVOTDATA("XSR4",'suoirao (2016)'!$A$3,"MA_HT","DGD","MA_QH","DYT")</f>
        <v>0</v>
      </c>
      <c r="AH35" s="49" t="e">
        <f ca="1">$D35-$BF35</f>
        <v>#REF!</v>
      </c>
      <c r="AI35" s="50">
        <f ca="1">+GETPIVOTDATA("XSR4",'suoirao (2016)'!$A$3,"MA_HT","DGD","MA_QH","DTT")</f>
        <v>0</v>
      </c>
      <c r="AJ35" s="50">
        <f ca="1">+GETPIVOTDATA("XSR4",'suoirao (2016)'!$A$3,"MA_HT","DGD","MA_QH","NCK")</f>
        <v>0</v>
      </c>
      <c r="AK35" s="50">
        <f ca="1">+GETPIVOTDATA("XSR4",'suoirao (2016)'!$A$3,"MA_HT","DGD","MA_QH","DXH")</f>
        <v>0</v>
      </c>
      <c r="AL35" s="50">
        <f ca="1">+GETPIVOTDATA("XSR4",'suoirao (2016)'!$A$3,"MA_HT","DGD","MA_QH","DCH")</f>
        <v>0</v>
      </c>
      <c r="AM35" s="50">
        <f ca="1">+GETPIVOTDATA("XSR4",'suoirao (2016)'!$A$3,"MA_HT","DGD","MA_QH","DKG")</f>
        <v>0</v>
      </c>
      <c r="AN35" s="50">
        <f ca="1">+GETPIVOTDATA("XSR4",'suoirao (2016)'!$A$3,"MA_HT","DGD","MA_QH","DDT")</f>
        <v>0</v>
      </c>
      <c r="AO35" s="50">
        <f ca="1">+GETPIVOTDATA("XSR4",'suoirao (2016)'!$A$3,"MA_HT","DGD","MA_QH","DDL")</f>
        <v>0</v>
      </c>
      <c r="AP35" s="50">
        <f ca="1">+GETPIVOTDATA("XSR4",'suoirao (2016)'!$A$3,"MA_HT","DGD","MA_QH","DRA")</f>
        <v>0</v>
      </c>
      <c r="AQ35" s="50">
        <f ca="1">+GETPIVOTDATA("XSR4",'suoirao (2016)'!$A$3,"MA_HT","DGD","MA_QH","ONT")</f>
        <v>0</v>
      </c>
      <c r="AR35" s="50">
        <f ca="1">+GETPIVOTDATA("XSR4",'suoirao (2016)'!$A$3,"MA_HT","DGD","MA_QH","ODT")</f>
        <v>0</v>
      </c>
      <c r="AS35" s="50">
        <f ca="1">+GETPIVOTDATA("XSR4",'suoirao (2016)'!$A$3,"MA_HT","DGD","MA_QH","TSC")</f>
        <v>0</v>
      </c>
      <c r="AT35" s="50">
        <f ca="1">+GETPIVOTDATA("XSR4",'suoirao (2016)'!$A$3,"MA_HT","DGD","MA_QH","DTS")</f>
        <v>0</v>
      </c>
      <c r="AU35" s="50">
        <f ca="1">+GETPIVOTDATA("XSR4",'suoirao (2016)'!$A$3,"MA_HT","DGD","MA_QH","DNG")</f>
        <v>0</v>
      </c>
      <c r="AV35" s="50">
        <f ca="1">+GETPIVOTDATA("XSR4",'suoirao (2016)'!$A$3,"MA_HT","DGD","MA_QH","TON")</f>
        <v>0</v>
      </c>
      <c r="AW35" s="50">
        <f ca="1">+GETPIVOTDATA("XSR4",'suoirao (2016)'!$A$3,"MA_HT","DGD","MA_QH","NTD")</f>
        <v>0</v>
      </c>
      <c r="AX35" s="50">
        <f ca="1">+GETPIVOTDATA("XSR4",'suoirao (2016)'!$A$3,"MA_HT","DGD","MA_QH","SKX")</f>
        <v>0</v>
      </c>
      <c r="AY35" s="50">
        <f ca="1">+GETPIVOTDATA("XSR4",'suoirao (2016)'!$A$3,"MA_HT","DGD","MA_QH","DSH")</f>
        <v>0</v>
      </c>
      <c r="AZ35" s="50">
        <f ca="1">+GETPIVOTDATA("XSR4",'suoirao (2016)'!$A$3,"MA_HT","DGD","MA_QH","DKV")</f>
        <v>0</v>
      </c>
      <c r="BA35" s="88">
        <f ca="1">+GETPIVOTDATA("XSR4",'suoirao (2016)'!$A$3,"MA_HT","DGD","MA_QH","TIN")</f>
        <v>0</v>
      </c>
      <c r="BB35" s="50">
        <f ca="1">+GETPIVOTDATA("XSR4",'suoirao (2016)'!$A$3,"MA_HT","DGD","MA_QH","SON")</f>
        <v>0</v>
      </c>
      <c r="BC35" s="50">
        <f ca="1">+GETPIVOTDATA("XSR4",'suoirao (2016)'!$A$3,"MA_HT","DGD","MA_QH","MNC")</f>
        <v>0</v>
      </c>
      <c r="BD35" s="50">
        <f ca="1">+GETPIVOTDATA("XSR4",'suoirao (2016)'!$A$3,"MA_HT","DGD","MA_QH","PNK")</f>
        <v>0</v>
      </c>
      <c r="BE35" s="80">
        <f ca="1">+GETPIVOTDATA("XSR4",'suoirao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+GETPIVOTDATA("XSR4",'suoirao (2016)'!$A$3,"MA_HT","DTT","MA_QH","LUC")</f>
        <v>0</v>
      </c>
      <c r="H36" s="50">
        <f ca="1">+GETPIVOTDATA("XSR4",'suoirao (2016)'!$A$3,"MA_HT","DTT","MA_QH","LUK")</f>
        <v>0</v>
      </c>
      <c r="I36" s="50">
        <f ca="1">+GETPIVOTDATA("XSR4",'suoirao (2016)'!$A$3,"MA_HT","DTT","MA_QH","LUN")</f>
        <v>0</v>
      </c>
      <c r="J36" s="50">
        <f ca="1">+GETPIVOTDATA("XSR4",'suoirao (2016)'!$A$3,"MA_HT","DTT","MA_QH","HNK")</f>
        <v>0</v>
      </c>
      <c r="K36" s="50">
        <f ca="1">+GETPIVOTDATA("XSR4",'suoirao (2016)'!$A$3,"MA_HT","DTT","MA_QH","CLN")</f>
        <v>0</v>
      </c>
      <c r="L36" s="50">
        <f ca="1">+GETPIVOTDATA("XSR4",'suoirao (2016)'!$A$3,"MA_HT","DTT","MA_QH","RSX")</f>
        <v>0</v>
      </c>
      <c r="M36" s="50">
        <f ca="1">+GETPIVOTDATA("XSR4",'suoirao (2016)'!$A$3,"MA_HT","DTT","MA_QH","RPH")</f>
        <v>0</v>
      </c>
      <c r="N36" s="50">
        <f ca="1">+GETPIVOTDATA("XSR4",'suoirao (2016)'!$A$3,"MA_HT","DTT","MA_QH","RDD")</f>
        <v>0</v>
      </c>
      <c r="O36" s="50">
        <f ca="1">+GETPIVOTDATA("XSR4",'suoirao (2016)'!$A$3,"MA_HT","DTT","MA_QH","NTS")</f>
        <v>0</v>
      </c>
      <c r="P36" s="50">
        <f ca="1">+GETPIVOTDATA("XSR4",'suoirao (2016)'!$A$3,"MA_HT","DTT","MA_QH","LMU")</f>
        <v>0</v>
      </c>
      <c r="Q36" s="50">
        <f ca="1">+GETPIVOTDATA("XSR4",'suoirao (2016)'!$A$3,"MA_HT","DTT","MA_QH","NKH")</f>
        <v>0</v>
      </c>
      <c r="R36" s="48">
        <f ca="1" t="shared" si="20"/>
        <v>0</v>
      </c>
      <c r="S36" s="50">
        <f ca="1">+GETPIVOTDATA("XSR4",'suoirao (2016)'!$A$3,"MA_HT","DTT","MA_QH","CQP")</f>
        <v>0</v>
      </c>
      <c r="T36" s="50">
        <f ca="1">+GETPIVOTDATA("XSR4",'suoirao (2016)'!$A$3,"MA_HT","DTT","MA_QH","CAN")</f>
        <v>0</v>
      </c>
      <c r="U36" s="50">
        <f ca="1">+GETPIVOTDATA("XSR4",'suoirao (2016)'!$A$3,"MA_HT","DTT","MA_QH","SKK")</f>
        <v>0</v>
      </c>
      <c r="V36" s="50">
        <f ca="1">+GETPIVOTDATA("XSR4",'suoirao (2016)'!$A$3,"MA_HT","DTT","MA_QH","SKT")</f>
        <v>0</v>
      </c>
      <c r="W36" s="50">
        <f ca="1">+GETPIVOTDATA("XSR4",'suoirao (2016)'!$A$3,"MA_HT","DTT","MA_QH","SKN")</f>
        <v>0</v>
      </c>
      <c r="X36" s="50">
        <f ca="1">+GETPIVOTDATA("XSR4",'suoirao (2016)'!$A$3,"MA_HT","DTT","MA_QH","TMD")</f>
        <v>0</v>
      </c>
      <c r="Y36" s="50">
        <f ca="1">+GETPIVOTDATA("XSR4",'suoirao (2016)'!$A$3,"MA_HT","DTT","MA_QH","SKC")</f>
        <v>0</v>
      </c>
      <c r="Z36" s="50">
        <f ca="1">+GETPIVOTDATA("XSR4",'suoirao (2016)'!$A$3,"MA_HT","DTT","MA_QH","SKS")</f>
        <v>0</v>
      </c>
      <c r="AA36" s="52">
        <f ca="1">+SUM(AB36:AH36,AJ36:AM36)</f>
        <v>0</v>
      </c>
      <c r="AB36" s="50">
        <f ca="1">+GETPIVOTDATA("XSR4",'suoirao (2016)'!$A$3,"MA_HT","DTT","MA_QH","DGT")</f>
        <v>0</v>
      </c>
      <c r="AC36" s="50">
        <f ca="1">+GETPIVOTDATA("XSR4",'suoirao (2016)'!$A$3,"MA_HT","DTT","MA_QH","DTL")</f>
        <v>0</v>
      </c>
      <c r="AD36" s="50">
        <f ca="1">+GETPIVOTDATA("XSR4",'suoirao (2016)'!$A$3,"MA_HT","DTT","MA_QH","DNL")</f>
        <v>0</v>
      </c>
      <c r="AE36" s="50">
        <f ca="1">+GETPIVOTDATA("XSR4",'suoirao (2016)'!$A$3,"MA_HT","DTT","MA_QH","DBV")</f>
        <v>0</v>
      </c>
      <c r="AF36" s="50">
        <f ca="1">+GETPIVOTDATA("XSR4",'suoirao (2016)'!$A$3,"MA_HT","DTT","MA_QH","DVH")</f>
        <v>0</v>
      </c>
      <c r="AG36" s="50">
        <f ca="1">+GETPIVOTDATA("XSR4",'suoirao (2016)'!$A$3,"MA_HT","DTT","MA_QH","DYT")</f>
        <v>0</v>
      </c>
      <c r="AH36" s="50">
        <f ca="1">+GETPIVOTDATA("XSR4",'suoirao (2016)'!$A$3,"MA_HT","DTT","MA_QH","DGD")</f>
        <v>0</v>
      </c>
      <c r="AI36" s="49" t="e">
        <f ca="1">$D36-$BF36</f>
        <v>#REF!</v>
      </c>
      <c r="AJ36" s="50">
        <f ca="1">+GETPIVOTDATA("XSR4",'suoirao (2016)'!$A$3,"MA_HT","DTT","MA_QH","NCK")</f>
        <v>0</v>
      </c>
      <c r="AK36" s="50">
        <f ca="1">+GETPIVOTDATA("XSR4",'suoirao (2016)'!$A$3,"MA_HT","DTT","MA_QH","DXH")</f>
        <v>0</v>
      </c>
      <c r="AL36" s="50">
        <f ca="1">+GETPIVOTDATA("XSR4",'suoirao (2016)'!$A$3,"MA_HT","DTT","MA_QH","DCH")</f>
        <v>0</v>
      </c>
      <c r="AM36" s="50">
        <f ca="1">+GETPIVOTDATA("XSR4",'suoirao (2016)'!$A$3,"MA_HT","DTT","MA_QH","DKG")</f>
        <v>0</v>
      </c>
      <c r="AN36" s="50">
        <f ca="1">+GETPIVOTDATA("XSR4",'suoirao (2016)'!$A$3,"MA_HT","DTT","MA_QH","DDT")</f>
        <v>0</v>
      </c>
      <c r="AO36" s="50">
        <f ca="1">+GETPIVOTDATA("XSR4",'suoirao (2016)'!$A$3,"MA_HT","DTT","MA_QH","DDL")</f>
        <v>0</v>
      </c>
      <c r="AP36" s="50">
        <f ca="1">+GETPIVOTDATA("XSR4",'suoirao (2016)'!$A$3,"MA_HT","DTT","MA_QH","DRA")</f>
        <v>0</v>
      </c>
      <c r="AQ36" s="50">
        <f ca="1">+GETPIVOTDATA("XSR4",'suoirao (2016)'!$A$3,"MA_HT","DTT","MA_QH","ONT")</f>
        <v>0</v>
      </c>
      <c r="AR36" s="50">
        <f ca="1">+GETPIVOTDATA("XSR4",'suoirao (2016)'!$A$3,"MA_HT","DTT","MA_QH","ODT")</f>
        <v>0</v>
      </c>
      <c r="AS36" s="50">
        <f ca="1">+GETPIVOTDATA("XSR4",'suoirao (2016)'!$A$3,"MA_HT","DTT","MA_QH","TSC")</f>
        <v>0</v>
      </c>
      <c r="AT36" s="50">
        <f ca="1">+GETPIVOTDATA("XSR4",'suoirao (2016)'!$A$3,"MA_HT","DTT","MA_QH","DTS")</f>
        <v>0</v>
      </c>
      <c r="AU36" s="50">
        <f ca="1">+GETPIVOTDATA("XSR4",'suoirao (2016)'!$A$3,"MA_HT","DTT","MA_QH","DNG")</f>
        <v>0</v>
      </c>
      <c r="AV36" s="50">
        <f ca="1">+GETPIVOTDATA("XSR4",'suoirao (2016)'!$A$3,"MA_HT","DTT","MA_QH","TON")</f>
        <v>0</v>
      </c>
      <c r="AW36" s="50">
        <f ca="1">+GETPIVOTDATA("XSR4",'suoirao (2016)'!$A$3,"MA_HT","DTT","MA_QH","NTD")</f>
        <v>0</v>
      </c>
      <c r="AX36" s="50">
        <f ca="1">+GETPIVOTDATA("XSR4",'suoirao (2016)'!$A$3,"MA_HT","DTT","MA_QH","SKX")</f>
        <v>0</v>
      </c>
      <c r="AY36" s="50">
        <f ca="1">+GETPIVOTDATA("XSR4",'suoirao (2016)'!$A$3,"MA_HT","DTT","MA_QH","DSH")</f>
        <v>0</v>
      </c>
      <c r="AZ36" s="50">
        <f ca="1">+GETPIVOTDATA("XSR4",'suoirao (2016)'!$A$3,"MA_HT","DTT","MA_QH","DKV")</f>
        <v>0</v>
      </c>
      <c r="BA36" s="88">
        <f ca="1">+GETPIVOTDATA("XSR4",'suoirao (2016)'!$A$3,"MA_HT","DTT","MA_QH","TIN")</f>
        <v>0</v>
      </c>
      <c r="BB36" s="50">
        <f ca="1">+GETPIVOTDATA("XSR4",'suoirao (2016)'!$A$3,"MA_HT","DTT","MA_QH","SON")</f>
        <v>0</v>
      </c>
      <c r="BC36" s="50">
        <f ca="1">+GETPIVOTDATA("XSR4",'suoirao (2016)'!$A$3,"MA_HT","DTT","MA_QH","MNC")</f>
        <v>0</v>
      </c>
      <c r="BD36" s="50">
        <f ca="1">+GETPIVOTDATA("XSR4",'suoirao (2016)'!$A$3,"MA_HT","DTT","MA_QH","PNK")</f>
        <v>0</v>
      </c>
      <c r="BE36" s="80">
        <f ca="1">+GETPIVOTDATA("XSR4",'suoirao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+GETPIVOTDATA("XSR4",'suoirao (2016)'!$A$3,"MA_HT","NCK","MA_QH","LUC")</f>
        <v>0</v>
      </c>
      <c r="H37" s="50">
        <f ca="1">+GETPIVOTDATA("XSR4",'suoirao (2016)'!$A$3,"MA_HT","NCK","MA_QH","LUK")</f>
        <v>0</v>
      </c>
      <c r="I37" s="50">
        <f ca="1">+GETPIVOTDATA("XSR4",'suoirao (2016)'!$A$3,"MA_HT","NCK","MA_QH","LUN")</f>
        <v>0</v>
      </c>
      <c r="J37" s="50">
        <f ca="1">+GETPIVOTDATA("XSR4",'suoirao (2016)'!$A$3,"MA_HT","NCK","MA_QH","HNK")</f>
        <v>0</v>
      </c>
      <c r="K37" s="50">
        <f ca="1">+GETPIVOTDATA("XSR4",'suoirao (2016)'!$A$3,"MA_HT","NCK","MA_QH","CLN")</f>
        <v>0</v>
      </c>
      <c r="L37" s="50">
        <f ca="1">+GETPIVOTDATA("XSR4",'suoirao (2016)'!$A$3,"MA_HT","NCK","MA_QH","RSX")</f>
        <v>0</v>
      </c>
      <c r="M37" s="50">
        <f ca="1">+GETPIVOTDATA("XSR4",'suoirao (2016)'!$A$3,"MA_HT","NCK","MA_QH","RPH")</f>
        <v>0</v>
      </c>
      <c r="N37" s="50">
        <f ca="1">+GETPIVOTDATA("XSR4",'suoirao (2016)'!$A$3,"MA_HT","NCK","MA_QH","RDD")</f>
        <v>0</v>
      </c>
      <c r="O37" s="50">
        <f ca="1">+GETPIVOTDATA("XSR4",'suoirao (2016)'!$A$3,"MA_HT","NCK","MA_QH","NTS")</f>
        <v>0</v>
      </c>
      <c r="P37" s="50">
        <f ca="1">+GETPIVOTDATA("XSR4",'suoirao (2016)'!$A$3,"MA_HT","NCK","MA_QH","LMU")</f>
        <v>0</v>
      </c>
      <c r="Q37" s="50">
        <f ca="1">+GETPIVOTDATA("XSR4",'suoirao (2016)'!$A$3,"MA_HT","NCK","MA_QH","NKH")</f>
        <v>0</v>
      </c>
      <c r="R37" s="48">
        <f ca="1" t="shared" si="20"/>
        <v>0</v>
      </c>
      <c r="S37" s="50">
        <f ca="1">+GETPIVOTDATA("XSR4",'suoirao (2016)'!$A$3,"MA_HT","NCK","MA_QH","CQP")</f>
        <v>0</v>
      </c>
      <c r="T37" s="50">
        <f ca="1">+GETPIVOTDATA("XSR4",'suoirao (2016)'!$A$3,"MA_HT","NCK","MA_QH","CAN")</f>
        <v>0</v>
      </c>
      <c r="U37" s="50">
        <f ca="1">+GETPIVOTDATA("XSR4",'suoirao (2016)'!$A$3,"MA_HT","NCK","MA_QH","SKK")</f>
        <v>0</v>
      </c>
      <c r="V37" s="50">
        <f ca="1">+GETPIVOTDATA("XSR4",'suoirao (2016)'!$A$3,"MA_HT","NCK","MA_QH","SKT")</f>
        <v>0</v>
      </c>
      <c r="W37" s="50">
        <f ca="1">+GETPIVOTDATA("XSR4",'suoirao (2016)'!$A$3,"MA_HT","NCK","MA_QH","SKN")</f>
        <v>0</v>
      </c>
      <c r="X37" s="50">
        <f ca="1">+GETPIVOTDATA("XSR4",'suoirao (2016)'!$A$3,"MA_HT","NCK","MA_QH","TMD")</f>
        <v>0</v>
      </c>
      <c r="Y37" s="50">
        <f ca="1">+GETPIVOTDATA("XSR4",'suoirao (2016)'!$A$3,"MA_HT","NCK","MA_QH","SKC")</f>
        <v>0</v>
      </c>
      <c r="Z37" s="50">
        <f ca="1">+GETPIVOTDATA("XSR4",'suoirao (2016)'!$A$3,"MA_HT","NCK","MA_QH","SKS")</f>
        <v>0</v>
      </c>
      <c r="AA37" s="52">
        <f ca="1">+SUM(AB37:AI37,AK37:AM37)</f>
        <v>0</v>
      </c>
      <c r="AB37" s="50">
        <f ca="1">+GETPIVOTDATA("XSR4",'suoirao (2016)'!$A$3,"MA_HT","NCK","MA_QH","DGT")</f>
        <v>0</v>
      </c>
      <c r="AC37" s="50">
        <f ca="1">+GETPIVOTDATA("XSR4",'suoirao (2016)'!$A$3,"MA_HT","NCK","MA_QH","DTL")</f>
        <v>0</v>
      </c>
      <c r="AD37" s="50">
        <f ca="1">+GETPIVOTDATA("XSR4",'suoirao (2016)'!$A$3,"MA_HT","NCK","MA_QH","DNL")</f>
        <v>0</v>
      </c>
      <c r="AE37" s="50">
        <f ca="1">+GETPIVOTDATA("XSR4",'suoirao (2016)'!$A$3,"MA_HT","NCK","MA_QH","DBV")</f>
        <v>0</v>
      </c>
      <c r="AF37" s="50">
        <f ca="1">+GETPIVOTDATA("XSR4",'suoirao (2016)'!$A$3,"MA_HT","NCK","MA_QH","DVH")</f>
        <v>0</v>
      </c>
      <c r="AG37" s="50">
        <f ca="1">+GETPIVOTDATA("XSR4",'suoirao (2016)'!$A$3,"MA_HT","NCK","MA_QH","DYT")</f>
        <v>0</v>
      </c>
      <c r="AH37" s="50">
        <f ca="1">+GETPIVOTDATA("XSR4",'suoirao (2016)'!$A$3,"MA_HT","NCK","MA_QH","DGD")</f>
        <v>0</v>
      </c>
      <c r="AI37" s="50">
        <f ca="1">+GETPIVOTDATA("XSR4",'suoirao (2016)'!$A$3,"MA_HT","NCK","MA_QH","DTT")</f>
        <v>0</v>
      </c>
      <c r="AJ37" s="49" t="e">
        <f ca="1">$D37-$BF37</f>
        <v>#REF!</v>
      </c>
      <c r="AK37" s="50">
        <f ca="1">+GETPIVOTDATA("XSR4",'suoirao (2016)'!$A$3,"MA_HT","NCK","MA_QH","DXH")</f>
        <v>0</v>
      </c>
      <c r="AL37" s="50">
        <f ca="1">+GETPIVOTDATA("XSR4",'suoirao (2016)'!$A$3,"MA_HT","NCK","MA_QH","DCH")</f>
        <v>0</v>
      </c>
      <c r="AM37" s="50">
        <f ca="1">+GETPIVOTDATA("XSR4",'suoirao (2016)'!$A$3,"MA_HT","NCK","MA_QH","DKG")</f>
        <v>0</v>
      </c>
      <c r="AN37" s="50">
        <f ca="1">+GETPIVOTDATA("XSR4",'suoirao (2016)'!$A$3,"MA_HT","NCK","MA_QH","DDT")</f>
        <v>0</v>
      </c>
      <c r="AO37" s="50">
        <f ca="1">+GETPIVOTDATA("XSR4",'suoirao (2016)'!$A$3,"MA_HT","NCK","MA_QH","DDL")</f>
        <v>0</v>
      </c>
      <c r="AP37" s="50">
        <f ca="1">+GETPIVOTDATA("XSR4",'suoirao (2016)'!$A$3,"MA_HT","NCK","MA_QH","DRA")</f>
        <v>0</v>
      </c>
      <c r="AQ37" s="50">
        <f ca="1">+GETPIVOTDATA("XSR4",'suoirao (2016)'!$A$3,"MA_HT","NCK","MA_QH","ONT")</f>
        <v>0</v>
      </c>
      <c r="AR37" s="50">
        <f ca="1">+GETPIVOTDATA("XSR4",'suoirao (2016)'!$A$3,"MA_HT","NCK","MA_QH","ODT")</f>
        <v>0</v>
      </c>
      <c r="AS37" s="50">
        <f ca="1">+GETPIVOTDATA("XSR4",'suoirao (2016)'!$A$3,"MA_HT","NCK","MA_QH","TSC")</f>
        <v>0</v>
      </c>
      <c r="AT37" s="50">
        <f ca="1">+GETPIVOTDATA("XSR4",'suoirao (2016)'!$A$3,"MA_HT","NCK","MA_QH","DTS")</f>
        <v>0</v>
      </c>
      <c r="AU37" s="50">
        <f ca="1">+GETPIVOTDATA("XSR4",'suoirao (2016)'!$A$3,"MA_HT","NCK","MA_QH","DNG")</f>
        <v>0</v>
      </c>
      <c r="AV37" s="50">
        <f ca="1">+GETPIVOTDATA("XSR4",'suoirao (2016)'!$A$3,"MA_HT","NCK","MA_QH","TON")</f>
        <v>0</v>
      </c>
      <c r="AW37" s="50">
        <f ca="1">+GETPIVOTDATA("XSR4",'suoirao (2016)'!$A$3,"MA_HT","NCK","MA_QH","NTD")</f>
        <v>0</v>
      </c>
      <c r="AX37" s="50">
        <f ca="1">+GETPIVOTDATA("XSR4",'suoirao (2016)'!$A$3,"MA_HT","NCK","MA_QH","SKX")</f>
        <v>0</v>
      </c>
      <c r="AY37" s="50">
        <f ca="1">+GETPIVOTDATA("XSR4",'suoirao (2016)'!$A$3,"MA_HT","NCK","MA_QH","DSH")</f>
        <v>0</v>
      </c>
      <c r="AZ37" s="50">
        <f ca="1">+GETPIVOTDATA("XSR4",'suoirao (2016)'!$A$3,"MA_HT","NCK","MA_QH","DKV")</f>
        <v>0</v>
      </c>
      <c r="BA37" s="88">
        <f ca="1">+GETPIVOTDATA("XSR4",'suoirao (2016)'!$A$3,"MA_HT","NCK","MA_QH","TIN")</f>
        <v>0</v>
      </c>
      <c r="BB37" s="50">
        <f ca="1">+GETPIVOTDATA("XSR4",'suoirao (2016)'!$A$3,"MA_HT","NCK","MA_QH","SON")</f>
        <v>0</v>
      </c>
      <c r="BC37" s="50">
        <f ca="1">+GETPIVOTDATA("XSR4",'suoirao (2016)'!$A$3,"MA_HT","NCK","MA_QH","MNC")</f>
        <v>0</v>
      </c>
      <c r="BD37" s="50">
        <f ca="1">+GETPIVOTDATA("XSR4",'suoirao (2016)'!$A$3,"MA_HT","NCK","MA_QH","PNK")</f>
        <v>0</v>
      </c>
      <c r="BE37" s="80">
        <f ca="1">+GETPIVOTDATA("XSR4",'suoirao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+GETPIVOTDATA("XSR4",'suoirao (2016)'!$A$3,"MA_HT","DXH","MA_QH","LUC")</f>
        <v>0</v>
      </c>
      <c r="H38" s="50">
        <f ca="1">+GETPIVOTDATA("XSR4",'suoirao (2016)'!$A$3,"MA_HT","DXH","MA_QH","LUK")</f>
        <v>0</v>
      </c>
      <c r="I38" s="50">
        <f ca="1">+GETPIVOTDATA("XSR4",'suoirao (2016)'!$A$3,"MA_HT","DXH","MA_QH","LUN")</f>
        <v>0</v>
      </c>
      <c r="J38" s="50">
        <f ca="1">+GETPIVOTDATA("XSR4",'suoirao (2016)'!$A$3,"MA_HT","DXH","MA_QH","HNK")</f>
        <v>0</v>
      </c>
      <c r="K38" s="50">
        <f ca="1">+GETPIVOTDATA("XSR4",'suoirao (2016)'!$A$3,"MA_HT","DXH","MA_QH","CLN")</f>
        <v>0</v>
      </c>
      <c r="L38" s="50">
        <f ca="1">+GETPIVOTDATA("XSR4",'suoirao (2016)'!$A$3,"MA_HT","DXH","MA_QH","RSX")</f>
        <v>0</v>
      </c>
      <c r="M38" s="50">
        <f ca="1">+GETPIVOTDATA("XSR4",'suoirao (2016)'!$A$3,"MA_HT","DXH","MA_QH","RPH")</f>
        <v>0</v>
      </c>
      <c r="N38" s="50">
        <f ca="1">+GETPIVOTDATA("XSR4",'suoirao (2016)'!$A$3,"MA_HT","DXH","MA_QH","RDD")</f>
        <v>0</v>
      </c>
      <c r="O38" s="50">
        <f ca="1">+GETPIVOTDATA("XSR4",'suoirao (2016)'!$A$3,"MA_HT","DXH","MA_QH","NTS")</f>
        <v>0</v>
      </c>
      <c r="P38" s="50">
        <f ca="1">+GETPIVOTDATA("XSR4",'suoirao (2016)'!$A$3,"MA_HT","DXH","MA_QH","LMU")</f>
        <v>0</v>
      </c>
      <c r="Q38" s="50">
        <f ca="1">+GETPIVOTDATA("XSR4",'suoirao (2016)'!$A$3,"MA_HT","DXH","MA_QH","NKH")</f>
        <v>0</v>
      </c>
      <c r="R38" s="48">
        <f ca="1" t="shared" si="20"/>
        <v>0</v>
      </c>
      <c r="S38" s="50">
        <f ca="1">+GETPIVOTDATA("XSR4",'suoirao (2016)'!$A$3,"MA_HT","DXH","MA_QH","CQP")</f>
        <v>0</v>
      </c>
      <c r="T38" s="50">
        <f ca="1">+GETPIVOTDATA("XSR4",'suoirao (2016)'!$A$3,"MA_HT","DXH","MA_QH","CAN")</f>
        <v>0</v>
      </c>
      <c r="U38" s="50">
        <f ca="1">+GETPIVOTDATA("XSR4",'suoirao (2016)'!$A$3,"MA_HT","DXH","MA_QH","SKK")</f>
        <v>0</v>
      </c>
      <c r="V38" s="50">
        <f ca="1">+GETPIVOTDATA("XSR4",'suoirao (2016)'!$A$3,"MA_HT","DXH","MA_QH","SKT")</f>
        <v>0</v>
      </c>
      <c r="W38" s="50">
        <f ca="1">+GETPIVOTDATA("XSR4",'suoirao (2016)'!$A$3,"MA_HT","DXH","MA_QH","SKN")</f>
        <v>0</v>
      </c>
      <c r="X38" s="50">
        <f ca="1">+GETPIVOTDATA("XSR4",'suoirao (2016)'!$A$3,"MA_HT","DXH","MA_QH","TMD")</f>
        <v>0</v>
      </c>
      <c r="Y38" s="50">
        <f ca="1">+GETPIVOTDATA("XSR4",'suoirao (2016)'!$A$3,"MA_HT","DXH","MA_QH","SKC")</f>
        <v>0</v>
      </c>
      <c r="Z38" s="50">
        <f ca="1">+GETPIVOTDATA("XSR4",'suoirao (2016)'!$A$3,"MA_HT","DXH","MA_QH","SKS")</f>
        <v>0</v>
      </c>
      <c r="AA38" s="52">
        <f ca="1">+SUM(AB38:AJ38,AL38:AM38)</f>
        <v>0</v>
      </c>
      <c r="AB38" s="50">
        <f ca="1">+GETPIVOTDATA("XSR4",'suoirao (2016)'!$A$3,"MA_HT","DXH","MA_QH","DGT")</f>
        <v>0</v>
      </c>
      <c r="AC38" s="50">
        <f ca="1">+GETPIVOTDATA("XSR4",'suoirao (2016)'!$A$3,"MA_HT","DXH","MA_QH","DTL")</f>
        <v>0</v>
      </c>
      <c r="AD38" s="50">
        <f ca="1">+GETPIVOTDATA("XSR4",'suoirao (2016)'!$A$3,"MA_HT","DXH","MA_QH","DNL")</f>
        <v>0</v>
      </c>
      <c r="AE38" s="50">
        <f ca="1">+GETPIVOTDATA("XSR4",'suoirao (2016)'!$A$3,"MA_HT","DXH","MA_QH","DBV")</f>
        <v>0</v>
      </c>
      <c r="AF38" s="50">
        <f ca="1">+GETPIVOTDATA("XSR4",'suoirao (2016)'!$A$3,"MA_HT","DXH","MA_QH","DVH")</f>
        <v>0</v>
      </c>
      <c r="AG38" s="50">
        <f ca="1">+GETPIVOTDATA("XSR4",'suoirao (2016)'!$A$3,"MA_HT","DXH","MA_QH","DYT")</f>
        <v>0</v>
      </c>
      <c r="AH38" s="50">
        <f ca="1">+GETPIVOTDATA("XSR4",'suoirao (2016)'!$A$3,"MA_HT","DXH","MA_QH","DGD")</f>
        <v>0</v>
      </c>
      <c r="AI38" s="50">
        <f ca="1">+GETPIVOTDATA("XSR4",'suoirao (2016)'!$A$3,"MA_HT","DXH","MA_QH","DTT")</f>
        <v>0</v>
      </c>
      <c r="AJ38" s="50">
        <f ca="1">+GETPIVOTDATA("XSR4",'suoirao (2016)'!$A$3,"MA_HT","DXH","MA_QH","NCK")</f>
        <v>0</v>
      </c>
      <c r="AK38" s="49" t="e">
        <f ca="1">$D38-$BF38</f>
        <v>#REF!</v>
      </c>
      <c r="AL38" s="50">
        <f ca="1">+GETPIVOTDATA("XSR4",'suoirao (2016)'!$A$3,"MA_HT","DXH","MA_QH","DCH")</f>
        <v>0</v>
      </c>
      <c r="AM38" s="50">
        <f ca="1">+GETPIVOTDATA("XSR4",'suoirao (2016)'!$A$3,"MA_HT","DXH","MA_QH","DKG")</f>
        <v>0</v>
      </c>
      <c r="AN38" s="50">
        <f ca="1">+GETPIVOTDATA("XSR4",'suoirao (2016)'!$A$3,"MA_HT","DXH","MA_QH","DDT")</f>
        <v>0</v>
      </c>
      <c r="AO38" s="50">
        <f ca="1">+GETPIVOTDATA("XSR4",'suoirao (2016)'!$A$3,"MA_HT","DXH","MA_QH","DDL")</f>
        <v>0</v>
      </c>
      <c r="AP38" s="50">
        <f ca="1">+GETPIVOTDATA("XSR4",'suoirao (2016)'!$A$3,"MA_HT","DXH","MA_QH","DRA")</f>
        <v>0</v>
      </c>
      <c r="AQ38" s="50">
        <f ca="1">+GETPIVOTDATA("XSR4",'suoirao (2016)'!$A$3,"MA_HT","DXH","MA_QH","ONT")</f>
        <v>0</v>
      </c>
      <c r="AR38" s="50">
        <f ca="1">+GETPIVOTDATA("XSR4",'suoirao (2016)'!$A$3,"MA_HT","DXH","MA_QH","ODT")</f>
        <v>0</v>
      </c>
      <c r="AS38" s="50">
        <f ca="1">+GETPIVOTDATA("XSR4",'suoirao (2016)'!$A$3,"MA_HT","DXH","MA_QH","TSC")</f>
        <v>0</v>
      </c>
      <c r="AT38" s="50">
        <f ca="1">+GETPIVOTDATA("XSR4",'suoirao (2016)'!$A$3,"MA_HT","DXH","MA_QH","DTS")</f>
        <v>0</v>
      </c>
      <c r="AU38" s="50">
        <f ca="1">+GETPIVOTDATA("XSR4",'suoirao (2016)'!$A$3,"MA_HT","DXH","MA_QH","DNG")</f>
        <v>0</v>
      </c>
      <c r="AV38" s="50">
        <f ca="1">+GETPIVOTDATA("XSR4",'suoirao (2016)'!$A$3,"MA_HT","DXH","MA_QH","TON")</f>
        <v>0</v>
      </c>
      <c r="AW38" s="50">
        <f ca="1">+GETPIVOTDATA("XSR4",'suoirao (2016)'!$A$3,"MA_HT","DXH","MA_QH","NTD")</f>
        <v>0</v>
      </c>
      <c r="AX38" s="50">
        <f ca="1">+GETPIVOTDATA("XSR4",'suoirao (2016)'!$A$3,"MA_HT","DXH","MA_QH","SKX")</f>
        <v>0</v>
      </c>
      <c r="AY38" s="50">
        <f ca="1">+GETPIVOTDATA("XSR4",'suoirao (2016)'!$A$3,"MA_HT","DXH","MA_QH","DSH")</f>
        <v>0</v>
      </c>
      <c r="AZ38" s="50">
        <f ca="1">+GETPIVOTDATA("XSR4",'suoirao (2016)'!$A$3,"MA_HT","DXH","MA_QH","DKV")</f>
        <v>0</v>
      </c>
      <c r="BA38" s="88">
        <f ca="1">+GETPIVOTDATA("XSR4",'suoirao (2016)'!$A$3,"MA_HT","DXH","MA_QH","TIN")</f>
        <v>0</v>
      </c>
      <c r="BB38" s="50">
        <f ca="1">+GETPIVOTDATA("XSR4",'suoirao (2016)'!$A$3,"MA_HT","DXH","MA_QH","SON")</f>
        <v>0</v>
      </c>
      <c r="BC38" s="50">
        <f ca="1">+GETPIVOTDATA("XSR4",'suoirao (2016)'!$A$3,"MA_HT","DXH","MA_QH","MNC")</f>
        <v>0</v>
      </c>
      <c r="BD38" s="50">
        <f ca="1">+GETPIVOTDATA("XSR4",'suoirao (2016)'!$A$3,"MA_HT","DXH","MA_QH","PNK")</f>
        <v>0</v>
      </c>
      <c r="BE38" s="80">
        <f ca="1">+GETPIVOTDATA("XSR4",'suoirao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+GETPIVOTDATA("XSR4",'suoirao (2016)'!$A$3,"MA_HT","DCH","MA_QH","LUC")</f>
        <v>0</v>
      </c>
      <c r="H39" s="50">
        <f ca="1">+GETPIVOTDATA("XSR4",'suoirao (2016)'!$A$3,"MA_HT","DCH","MA_QH","LUK")</f>
        <v>0</v>
      </c>
      <c r="I39" s="50">
        <f ca="1">+GETPIVOTDATA("XSR4",'suoirao (2016)'!$A$3,"MA_HT","DCH","MA_QH","LUN")</f>
        <v>0</v>
      </c>
      <c r="J39" s="50">
        <f ca="1">+GETPIVOTDATA("XSR4",'suoirao (2016)'!$A$3,"MA_HT","DCH","MA_QH","HNK")</f>
        <v>0</v>
      </c>
      <c r="K39" s="50">
        <f ca="1">+GETPIVOTDATA("XSR4",'suoirao (2016)'!$A$3,"MA_HT","DCH","MA_QH","CLN")</f>
        <v>0</v>
      </c>
      <c r="L39" s="50">
        <f ca="1">+GETPIVOTDATA("XSR4",'suoirao (2016)'!$A$3,"MA_HT","DCH","MA_QH","RSX")</f>
        <v>0</v>
      </c>
      <c r="M39" s="50">
        <f ca="1">+GETPIVOTDATA("XSR4",'suoirao (2016)'!$A$3,"MA_HT","DCH","MA_QH","RPH")</f>
        <v>0</v>
      </c>
      <c r="N39" s="50">
        <f ca="1">+GETPIVOTDATA("XSR4",'suoirao (2016)'!$A$3,"MA_HT","DCH","MA_QH","RDD")</f>
        <v>0</v>
      </c>
      <c r="O39" s="50">
        <f ca="1">+GETPIVOTDATA("XSR4",'suoirao (2016)'!$A$3,"MA_HT","DCH","MA_QH","NTS")</f>
        <v>0</v>
      </c>
      <c r="P39" s="50">
        <f ca="1">+GETPIVOTDATA("XSR4",'suoirao (2016)'!$A$3,"MA_HT","DCH","MA_QH","LMU")</f>
        <v>0</v>
      </c>
      <c r="Q39" s="50">
        <f ca="1">+GETPIVOTDATA("XSR4",'suoirao (2016)'!$A$3,"MA_HT","DCH","MA_QH","NKH")</f>
        <v>0</v>
      </c>
      <c r="R39" s="48">
        <f ca="1" t="shared" si="20"/>
        <v>0</v>
      </c>
      <c r="S39" s="50">
        <f ca="1">+GETPIVOTDATA("XSR4",'suoirao (2016)'!$A$3,"MA_HT","DCH","MA_QH","CQP")</f>
        <v>0</v>
      </c>
      <c r="T39" s="50">
        <f ca="1">+GETPIVOTDATA("XSR4",'suoirao (2016)'!$A$3,"MA_HT","DCH","MA_QH","CAN")</f>
        <v>0</v>
      </c>
      <c r="U39" s="50">
        <f ca="1">+GETPIVOTDATA("XSR4",'suoirao (2016)'!$A$3,"MA_HT","DCH","MA_QH","SKK")</f>
        <v>0</v>
      </c>
      <c r="V39" s="50">
        <f ca="1">+GETPIVOTDATA("XSR4",'suoirao (2016)'!$A$3,"MA_HT","DCH","MA_QH","SKT")</f>
        <v>0</v>
      </c>
      <c r="W39" s="50">
        <f ca="1">+GETPIVOTDATA("XSR4",'suoirao (2016)'!$A$3,"MA_HT","DCH","MA_QH","SKN")</f>
        <v>0</v>
      </c>
      <c r="X39" s="50">
        <f ca="1">+GETPIVOTDATA("XSR4",'suoirao (2016)'!$A$3,"MA_HT","DCH","MA_QH","TMD")</f>
        <v>0</v>
      </c>
      <c r="Y39" s="50">
        <f ca="1">+GETPIVOTDATA("XSR4",'suoirao (2016)'!$A$3,"MA_HT","DCH","MA_QH","SKC")</f>
        <v>0</v>
      </c>
      <c r="Z39" s="50">
        <f ca="1">+GETPIVOTDATA("XSR4",'suoirao (2016)'!$A$3,"MA_HT","DCH","MA_QH","SKS")</f>
        <v>0</v>
      </c>
      <c r="AA39" s="52">
        <f ca="1">+SUM(AB39:AK39,AM39)</f>
        <v>0</v>
      </c>
      <c r="AB39" s="50">
        <f ca="1">+GETPIVOTDATA("XSR4",'suoirao (2016)'!$A$3,"MA_HT","DCH","MA_QH","DGT")</f>
        <v>0</v>
      </c>
      <c r="AC39" s="50">
        <f ca="1">+GETPIVOTDATA("XSR4",'suoirao (2016)'!$A$3,"MA_HT","DCH","MA_QH","DTL")</f>
        <v>0</v>
      </c>
      <c r="AD39" s="50">
        <f ca="1">+GETPIVOTDATA("XSR4",'suoirao (2016)'!$A$3,"MA_HT","DCH","MA_QH","DNL")</f>
        <v>0</v>
      </c>
      <c r="AE39" s="50">
        <f ca="1">+GETPIVOTDATA("XSR4",'suoirao (2016)'!$A$3,"MA_HT","DCH","MA_QH","DBV")</f>
        <v>0</v>
      </c>
      <c r="AF39" s="50">
        <f ca="1">+GETPIVOTDATA("XSR4",'suoirao (2016)'!$A$3,"MA_HT","DCH","MA_QH","DVH")</f>
        <v>0</v>
      </c>
      <c r="AG39" s="50">
        <f ca="1">+GETPIVOTDATA("XSR4",'suoirao (2016)'!$A$3,"MA_HT","DCH","MA_QH","DYT")</f>
        <v>0</v>
      </c>
      <c r="AH39" s="50">
        <f ca="1">+GETPIVOTDATA("XSR4",'suoirao (2016)'!$A$3,"MA_HT","DCH","MA_QH","DGD")</f>
        <v>0</v>
      </c>
      <c r="AI39" s="50">
        <f ca="1">+GETPIVOTDATA("XSR4",'suoirao (2016)'!$A$3,"MA_HT","DCH","MA_QH","DTT")</f>
        <v>0</v>
      </c>
      <c r="AJ39" s="50">
        <f ca="1">+GETPIVOTDATA("XSR4",'suoirao (2016)'!$A$3,"MA_HT","DCH","MA_QH","NCK")</f>
        <v>0</v>
      </c>
      <c r="AK39" s="50">
        <f ca="1">+GETPIVOTDATA("XSR4",'suoirao (2016)'!$A$3,"MA_HT","DCH","MA_QH","DXH")</f>
        <v>0</v>
      </c>
      <c r="AL39" s="49" t="e">
        <f ca="1">$D39-$BF39</f>
        <v>#REF!</v>
      </c>
      <c r="AM39" s="50">
        <f ca="1">+GETPIVOTDATA("XSR4",'suoirao (2016)'!$A$3,"MA_HT","DXH","MA_QH","DKG")</f>
        <v>0</v>
      </c>
      <c r="AN39" s="50">
        <f ca="1">+GETPIVOTDATA("XSR4",'suoirao (2016)'!$A$3,"MA_HT","DCH","MA_QH","DDT")</f>
        <v>0</v>
      </c>
      <c r="AO39" s="50">
        <f ca="1">+GETPIVOTDATA("XSR4",'suoirao (2016)'!$A$3,"MA_HT","DCH","MA_QH","DDL")</f>
        <v>0</v>
      </c>
      <c r="AP39" s="50">
        <f ca="1">+GETPIVOTDATA("XSR4",'suoirao (2016)'!$A$3,"MA_HT","DCH","MA_QH","DRA")</f>
        <v>0</v>
      </c>
      <c r="AQ39" s="50">
        <f ca="1">+GETPIVOTDATA("XSR4",'suoirao (2016)'!$A$3,"MA_HT","DCH","MA_QH","ONT")</f>
        <v>0</v>
      </c>
      <c r="AR39" s="50">
        <f ca="1">+GETPIVOTDATA("XSR4",'suoirao (2016)'!$A$3,"MA_HT","DCH","MA_QH","ODT")</f>
        <v>0</v>
      </c>
      <c r="AS39" s="50">
        <f ca="1">+GETPIVOTDATA("XSR4",'suoirao (2016)'!$A$3,"MA_HT","DCH","MA_QH","TSC")</f>
        <v>0</v>
      </c>
      <c r="AT39" s="50">
        <f ca="1">+GETPIVOTDATA("XSR4",'suoirao (2016)'!$A$3,"MA_HT","DCH","MA_QH","DTS")</f>
        <v>0</v>
      </c>
      <c r="AU39" s="50">
        <f ca="1">+GETPIVOTDATA("XSR4",'suoirao (2016)'!$A$3,"MA_HT","DCH","MA_QH","DNG")</f>
        <v>0</v>
      </c>
      <c r="AV39" s="50">
        <f ca="1">+GETPIVOTDATA("XSR4",'suoirao (2016)'!$A$3,"MA_HT","DCH","MA_QH","TON")</f>
        <v>0</v>
      </c>
      <c r="AW39" s="50">
        <f ca="1">+GETPIVOTDATA("XSR4",'suoirao (2016)'!$A$3,"MA_HT","DCH","MA_QH","NTD")</f>
        <v>0</v>
      </c>
      <c r="AX39" s="50">
        <f ca="1">+GETPIVOTDATA("XSR4",'suoirao (2016)'!$A$3,"MA_HT","DCH","MA_QH","SKX")</f>
        <v>0</v>
      </c>
      <c r="AY39" s="50">
        <f ca="1">+GETPIVOTDATA("XSR4",'suoirao (2016)'!$A$3,"MA_HT","DCH","MA_QH","DSH")</f>
        <v>0</v>
      </c>
      <c r="AZ39" s="50">
        <f ca="1">+GETPIVOTDATA("XSR4",'suoirao (2016)'!$A$3,"MA_HT","DCH","MA_QH","DKV")</f>
        <v>0</v>
      </c>
      <c r="BA39" s="88">
        <f ca="1">+GETPIVOTDATA("XSR4",'suoirao (2016)'!$A$3,"MA_HT","DCH","MA_QH","TIN")</f>
        <v>0</v>
      </c>
      <c r="BB39" s="50">
        <f ca="1">+GETPIVOTDATA("XSR4",'suoirao (2016)'!$A$3,"MA_HT","DCH","MA_QH","SON")</f>
        <v>0</v>
      </c>
      <c r="BC39" s="50">
        <f ca="1">+GETPIVOTDATA("XSR4",'suoirao (2016)'!$A$3,"MA_HT","DCH","MA_QH","MNC")</f>
        <v>0</v>
      </c>
      <c r="BD39" s="50">
        <f ca="1">+GETPIVOTDATA("XSR4",'suoirao (2016)'!$A$3,"MA_HT","DCH","MA_QH","PNK")</f>
        <v>0</v>
      </c>
      <c r="BE39" s="80">
        <f ca="1">+GETPIVOTDATA("XSR4",'suoirao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+GETPIVOTDATA("XSR4",'suoirao (2016)'!$A$3,"MA_HT","DKG","MA_QH","LUC")</f>
        <v>0</v>
      </c>
      <c r="H40" s="50">
        <f ca="1">+GETPIVOTDATA("XSR4",'suoirao (2016)'!$A$3,"MA_HT","DKG","MA_QH","LUK")</f>
        <v>0</v>
      </c>
      <c r="I40" s="50">
        <f ca="1">+GETPIVOTDATA("XSR4",'suoirao (2016)'!$A$3,"MA_HT","DKG","MA_QH","LUN")</f>
        <v>0</v>
      </c>
      <c r="J40" s="50">
        <f ca="1">+GETPIVOTDATA("XSR4",'suoirao (2016)'!$A$3,"MA_HT","DKG","MA_QH","HNK")</f>
        <v>0</v>
      </c>
      <c r="K40" s="50">
        <f ca="1">+GETPIVOTDATA("XSR4",'suoirao (2016)'!$A$3,"MA_HT","DKG","MA_QH","CLN")</f>
        <v>0</v>
      </c>
      <c r="L40" s="50">
        <f ca="1">+GETPIVOTDATA("XSR4",'suoirao (2016)'!$A$3,"MA_HT","DKG","MA_QH","RSX")</f>
        <v>0</v>
      </c>
      <c r="M40" s="50">
        <f ca="1">+GETPIVOTDATA("XSR4",'suoirao (2016)'!$A$3,"MA_HT","DKG","MA_QH","RPH")</f>
        <v>0</v>
      </c>
      <c r="N40" s="50">
        <f ca="1">+GETPIVOTDATA("XSR4",'suoirao (2016)'!$A$3,"MA_HT","DKG","MA_QH","RDD")</f>
        <v>0</v>
      </c>
      <c r="O40" s="50">
        <f ca="1">+GETPIVOTDATA("XSR4",'suoirao (2016)'!$A$3,"MA_HT","DKG","MA_QH","NTS")</f>
        <v>0</v>
      </c>
      <c r="P40" s="50">
        <f ca="1">+GETPIVOTDATA("XSR4",'suoirao (2016)'!$A$3,"MA_HT","DKG","MA_QH","LMU")</f>
        <v>0</v>
      </c>
      <c r="Q40" s="50">
        <f ca="1">+GETPIVOTDATA("XSR4",'suoirao (2016)'!$A$3,"MA_HT","DKG","MA_QH","NKH")</f>
        <v>0</v>
      </c>
      <c r="R40" s="48">
        <f ca="1" t="shared" si="20"/>
        <v>0</v>
      </c>
      <c r="S40" s="50">
        <f ca="1">+GETPIVOTDATA("XSR4",'suoirao (2016)'!$A$3,"MA_HT","DKG","MA_QH","CQP")</f>
        <v>0</v>
      </c>
      <c r="T40" s="50">
        <f ca="1">+GETPIVOTDATA("XSR4",'suoirao (2016)'!$A$3,"MA_HT","DKG","MA_QH","CAN")</f>
        <v>0</v>
      </c>
      <c r="U40" s="50">
        <f ca="1">+GETPIVOTDATA("XSR4",'suoirao (2016)'!$A$3,"MA_HT","DKG","MA_QH","SKK")</f>
        <v>0</v>
      </c>
      <c r="V40" s="50">
        <f ca="1">+GETPIVOTDATA("XSR4",'suoirao (2016)'!$A$3,"MA_HT","DKG","MA_QH","SKT")</f>
        <v>0</v>
      </c>
      <c r="W40" s="50">
        <f ca="1">+GETPIVOTDATA("XSR4",'suoirao (2016)'!$A$3,"MA_HT","DKG","MA_QH","SKN")</f>
        <v>0</v>
      </c>
      <c r="X40" s="50">
        <f ca="1">+GETPIVOTDATA("XSR4",'suoirao (2016)'!$A$3,"MA_HT","DKG","MA_QH","TMD")</f>
        <v>0</v>
      </c>
      <c r="Y40" s="50">
        <f ca="1">+GETPIVOTDATA("XSR4",'suoirao (2016)'!$A$3,"MA_HT","DKG","MA_QH","SKC")</f>
        <v>0</v>
      </c>
      <c r="Z40" s="50">
        <f ca="1">+GETPIVOTDATA("XSR4",'suoirao (2016)'!$A$3,"MA_HT","DKG","MA_QH","SKS")</f>
        <v>0</v>
      </c>
      <c r="AA40" s="52">
        <f ca="1">+SUM(AB40:AL40)</f>
        <v>0</v>
      </c>
      <c r="AB40" s="50">
        <f ca="1">+GETPIVOTDATA("XSR4",'suoirao (2016)'!$A$3,"MA_HT","DKG","MA_QH","DGT")</f>
        <v>0</v>
      </c>
      <c r="AC40" s="50">
        <f ca="1">+GETPIVOTDATA("XSR4",'suoirao (2016)'!$A$3,"MA_HT","DKG","MA_QH","DTL")</f>
        <v>0</v>
      </c>
      <c r="AD40" s="50">
        <f ca="1">+GETPIVOTDATA("XSR4",'suoirao (2016)'!$A$3,"MA_HT","DKG","MA_QH","DNL")</f>
        <v>0</v>
      </c>
      <c r="AE40" s="50">
        <f ca="1">+GETPIVOTDATA("XSR4",'suoirao (2016)'!$A$3,"MA_HT","DKG","MA_QH","DBV")</f>
        <v>0</v>
      </c>
      <c r="AF40" s="50">
        <f ca="1">+GETPIVOTDATA("XSR4",'suoirao (2016)'!$A$3,"MA_HT","DKG","MA_QH","DVH")</f>
        <v>0</v>
      </c>
      <c r="AG40" s="50">
        <f ca="1">+GETPIVOTDATA("XSR4",'suoirao (2016)'!$A$3,"MA_HT","DKG","MA_QH","DYT")</f>
        <v>0</v>
      </c>
      <c r="AH40" s="50">
        <f ca="1">+GETPIVOTDATA("XSR4",'suoirao (2016)'!$A$3,"MA_HT","DKG","MA_QH","DGD")</f>
        <v>0</v>
      </c>
      <c r="AI40" s="50">
        <f ca="1">+GETPIVOTDATA("XSR4",'suoirao (2016)'!$A$3,"MA_HT","DKG","MA_QH","DTT")</f>
        <v>0</v>
      </c>
      <c r="AJ40" s="50">
        <f ca="1">+GETPIVOTDATA("XSR4",'suoirao (2016)'!$A$3,"MA_HT","DKG","MA_QH","NCK")</f>
        <v>0</v>
      </c>
      <c r="AK40" s="50">
        <f ca="1">+GETPIVOTDATA("XSR4",'suoirao (2016)'!$A$3,"MA_HT","DKG","MA_QH","DXH")</f>
        <v>0</v>
      </c>
      <c r="AL40" s="60">
        <f ca="1">+GETPIVOTDATA("XSR4",'suoirao (2016)'!$A$3,"MA_HT","DDT","MA_QH","DKG")</f>
        <v>0</v>
      </c>
      <c r="AM40" s="49" t="e">
        <f ca="1">$D40-$BF40</f>
        <v>#REF!</v>
      </c>
      <c r="AN40" s="50">
        <f ca="1">+GETPIVOTDATA("XSR4",'suoirao (2016)'!$A$3,"MA_HT","DKG","MA_QH","DDT")</f>
        <v>0</v>
      </c>
      <c r="AO40" s="50">
        <f ca="1">+GETPIVOTDATA("XSR4",'suoirao (2016)'!$A$3,"MA_HT","DKG","MA_QH","DDL")</f>
        <v>0</v>
      </c>
      <c r="AP40" s="50">
        <f ca="1">+GETPIVOTDATA("XSR4",'suoirao (2016)'!$A$3,"MA_HT","DKG","MA_QH","DRA")</f>
        <v>0</v>
      </c>
      <c r="AQ40" s="50">
        <f ca="1">+GETPIVOTDATA("XSR4",'suoirao (2016)'!$A$3,"MA_HT","DKG","MA_QH","ONT")</f>
        <v>0</v>
      </c>
      <c r="AR40" s="50">
        <f ca="1">+GETPIVOTDATA("XSR4",'suoirao (2016)'!$A$3,"MA_HT","DKG","MA_QH","ODT")</f>
        <v>0</v>
      </c>
      <c r="AS40" s="50">
        <f ca="1">+GETPIVOTDATA("XSR4",'suoirao (2016)'!$A$3,"MA_HT","DKG","MA_QH","TSC")</f>
        <v>0</v>
      </c>
      <c r="AT40" s="50">
        <f ca="1">+GETPIVOTDATA("XSR4",'suoirao (2016)'!$A$3,"MA_HT","DKG","MA_QH","DTS")</f>
        <v>0</v>
      </c>
      <c r="AU40" s="50">
        <f ca="1">+GETPIVOTDATA("XSR4",'suoirao (2016)'!$A$3,"MA_HT","DKG","MA_QH","DNG")</f>
        <v>0</v>
      </c>
      <c r="AV40" s="50">
        <f ca="1">+GETPIVOTDATA("XSR4",'suoirao (2016)'!$A$3,"MA_HT","DKG","MA_QH","TON")</f>
        <v>0</v>
      </c>
      <c r="AW40" s="50">
        <f ca="1">+GETPIVOTDATA("XSR4",'suoirao (2016)'!$A$3,"MA_HT","DKG","MA_QH","NTD")</f>
        <v>0</v>
      </c>
      <c r="AX40" s="50">
        <f ca="1">+GETPIVOTDATA("XSR4",'suoirao (2016)'!$A$3,"MA_HT","DKG","MA_QH","SKX")</f>
        <v>0</v>
      </c>
      <c r="AY40" s="50">
        <f ca="1">+GETPIVOTDATA("XSR4",'suoirao (2016)'!$A$3,"MA_HT","DKG","MA_QH","DSH")</f>
        <v>0</v>
      </c>
      <c r="AZ40" s="50">
        <f ca="1">+GETPIVOTDATA("XSR4",'suoirao (2016)'!$A$3,"MA_HT","DKG","MA_QH","DKV")</f>
        <v>0</v>
      </c>
      <c r="BA40" s="88">
        <f ca="1">+GETPIVOTDATA("XSR4",'suoirao (2016)'!$A$3,"MA_HT","DKG","MA_QH","TIN")</f>
        <v>0</v>
      </c>
      <c r="BB40" s="50">
        <f ca="1">+GETPIVOTDATA("XSR4",'suoirao (2016)'!$A$3,"MA_HT","DKG","MA_QH","SON")</f>
        <v>0</v>
      </c>
      <c r="BC40" s="50">
        <f ca="1">+GETPIVOTDATA("XSR4",'suoirao (2016)'!$A$3,"MA_HT","DKG","MA_QH","MNC")</f>
        <v>0</v>
      </c>
      <c r="BD40" s="50">
        <f ca="1">+GETPIVOTDATA("XSR4",'suoirao (2016)'!$A$3,"MA_HT","DKG","MA_QH","PNK")</f>
        <v>0</v>
      </c>
      <c r="BE40" s="80">
        <f ca="1">+GETPIVOTDATA("XSR4",'suoirao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+GETPIVOTDATA("XSR4",'suoirao (2016)'!$A$3,"MA_HT","DDT","MA_QH","LUC")</f>
        <v>0</v>
      </c>
      <c r="H41" s="60">
        <f ca="1">+GETPIVOTDATA("XSR4",'suoirao (2016)'!$A$3,"MA_HT","DDT","MA_QH","LUK")</f>
        <v>0</v>
      </c>
      <c r="I41" s="60">
        <f ca="1">+GETPIVOTDATA("XSR4",'suoirao (2016)'!$A$3,"MA_HT","DDT","MA_QH","LUN")</f>
        <v>0</v>
      </c>
      <c r="J41" s="60">
        <f ca="1">+GETPIVOTDATA("XSR4",'suoirao (2016)'!$A$3,"MA_HT","DDT","MA_QH","HNK")</f>
        <v>0</v>
      </c>
      <c r="K41" s="60">
        <f ca="1">+GETPIVOTDATA("XSR4",'suoirao (2016)'!$A$3,"MA_HT","DDT","MA_QH","CLN")</f>
        <v>0</v>
      </c>
      <c r="L41" s="60">
        <f ca="1">+GETPIVOTDATA("XSR4",'suoirao (2016)'!$A$3,"MA_HT","DDT","MA_QH","RSX")</f>
        <v>0</v>
      </c>
      <c r="M41" s="60">
        <f ca="1">+GETPIVOTDATA("XSR4",'suoirao (2016)'!$A$3,"MA_HT","DDT","MA_QH","RPH")</f>
        <v>0</v>
      </c>
      <c r="N41" s="60">
        <f ca="1">+GETPIVOTDATA("XSR4",'suoirao (2016)'!$A$3,"MA_HT","DDT","MA_QH","RDD")</f>
        <v>0</v>
      </c>
      <c r="O41" s="60">
        <f ca="1">+GETPIVOTDATA("XSR4",'suoirao (2016)'!$A$3,"MA_HT","DDT","MA_QH","NTS")</f>
        <v>0</v>
      </c>
      <c r="P41" s="60">
        <f ca="1">+GETPIVOTDATA("XSR4",'suoirao (2016)'!$A$3,"MA_HT","DDT","MA_QH","LMU")</f>
        <v>0</v>
      </c>
      <c r="Q41" s="60">
        <f ca="1">+GETPIVOTDATA("XSR4",'suoirao (2016)'!$A$3,"MA_HT","DDT","MA_QH","NKH")</f>
        <v>0</v>
      </c>
      <c r="R41" s="78">
        <f ca="1">SUM(S41:AA41,AO41:BD41)</f>
        <v>0</v>
      </c>
      <c r="S41" s="60">
        <f ca="1">+GETPIVOTDATA("XSR4",'suoirao (2016)'!$A$3,"MA_HT","DDT","MA_QH","CQP")</f>
        <v>0</v>
      </c>
      <c r="T41" s="60">
        <f ca="1">+GETPIVOTDATA("XSR4",'suoirao (2016)'!$A$3,"MA_HT","DDT","MA_QH","CAN")</f>
        <v>0</v>
      </c>
      <c r="U41" s="60">
        <f ca="1">+GETPIVOTDATA("XSR4",'suoirao (2016)'!$A$3,"MA_HT","DDT","MA_QH","SKK")</f>
        <v>0</v>
      </c>
      <c r="V41" s="60">
        <f ca="1">+GETPIVOTDATA("XSR4",'suoirao (2016)'!$A$3,"MA_HT","DDT","MA_QH","SKT")</f>
        <v>0</v>
      </c>
      <c r="W41" s="60">
        <f ca="1">+GETPIVOTDATA("XSR4",'suoirao (2016)'!$A$3,"MA_HT","DDT","MA_QH","SKN")</f>
        <v>0</v>
      </c>
      <c r="X41" s="60">
        <f ca="1">+GETPIVOTDATA("XSR4",'suoirao (2016)'!$A$3,"MA_HT","DDT","MA_QH","TMD")</f>
        <v>0</v>
      </c>
      <c r="Y41" s="60">
        <f ca="1">+GETPIVOTDATA("XSR4",'suoirao (2016)'!$A$3,"MA_HT","DDT","MA_QH","SKC")</f>
        <v>0</v>
      </c>
      <c r="Z41" s="60">
        <f ca="1">+GETPIVOTDATA("XSR4",'suoirao (2016)'!$A$3,"MA_HT","DDT","MA_QH","SKS")</f>
        <v>0</v>
      </c>
      <c r="AA41" s="59">
        <f ca="1" t="shared" ref="AA41:AA58" si="21">+SUM(AB41:AM41)</f>
        <v>0</v>
      </c>
      <c r="AB41" s="60">
        <f ca="1">+GETPIVOTDATA("XSR4",'suoirao (2016)'!$A$3,"MA_HT","DDT","MA_QH","DGT")</f>
        <v>0</v>
      </c>
      <c r="AC41" s="60">
        <f ca="1">+GETPIVOTDATA("XSR4",'suoirao (2016)'!$A$3,"MA_HT","DDT","MA_QH","DTL")</f>
        <v>0</v>
      </c>
      <c r="AD41" s="60">
        <f ca="1">+GETPIVOTDATA("XSR4",'suoirao (2016)'!$A$3,"MA_HT","DDT","MA_QH","DNL")</f>
        <v>0</v>
      </c>
      <c r="AE41" s="60">
        <f ca="1">+GETPIVOTDATA("XSR4",'suoirao (2016)'!$A$3,"MA_HT","DDT","MA_QH","DBV")</f>
        <v>0</v>
      </c>
      <c r="AF41" s="60">
        <f ca="1">+GETPIVOTDATA("XSR4",'suoirao (2016)'!$A$3,"MA_HT","DDT","MA_QH","DVH")</f>
        <v>0</v>
      </c>
      <c r="AG41" s="60">
        <f ca="1">+GETPIVOTDATA("XSR4",'suoirao (2016)'!$A$3,"MA_HT","DDT","MA_QH","DYT")</f>
        <v>0</v>
      </c>
      <c r="AH41" s="60">
        <f ca="1">+GETPIVOTDATA("XSR4",'suoirao (2016)'!$A$3,"MA_HT","DDT","MA_QH","DGD")</f>
        <v>0</v>
      </c>
      <c r="AI41" s="60">
        <f ca="1">+GETPIVOTDATA("XSR4",'suoirao (2016)'!$A$3,"MA_HT","DDT","MA_QH","DTT")</f>
        <v>0</v>
      </c>
      <c r="AJ41" s="60">
        <f ca="1">+GETPIVOTDATA("XSR4",'suoirao (2016)'!$A$3,"MA_HT","DDT","MA_QH","NCK")</f>
        <v>0</v>
      </c>
      <c r="AK41" s="60">
        <f ca="1">+GETPIVOTDATA("XSR4",'suoirao (2016)'!$A$3,"MA_HT","DDT","MA_QH","DXH")</f>
        <v>0</v>
      </c>
      <c r="AL41" s="60">
        <f ca="1">+GETPIVOTDATA("XSR4",'suoirao (2016)'!$A$3,"MA_HT","DDT","MA_QH","DCH")</f>
        <v>0</v>
      </c>
      <c r="AM41" s="60">
        <f ca="1">+GETPIVOTDATA("XSR4",'suoirao (2016)'!$A$3,"MA_HT","DDT","MA_QH","DKG")</f>
        <v>0</v>
      </c>
      <c r="AN41" s="81" t="e">
        <f ca="1">$D41-$BF41</f>
        <v>#REF!</v>
      </c>
      <c r="AO41" s="60">
        <f ca="1">+GETPIVOTDATA("XSR4",'suoirao (2016)'!$A$3,"MA_HT","DDT","MA_QH","DDL")</f>
        <v>0</v>
      </c>
      <c r="AP41" s="60">
        <f ca="1">+GETPIVOTDATA("XSR4",'suoirao (2016)'!$A$3,"MA_HT","DDT","MA_QH","DRA")</f>
        <v>0</v>
      </c>
      <c r="AQ41" s="60">
        <f ca="1">+GETPIVOTDATA("XSR4",'suoirao (2016)'!$A$3,"MA_HT","DDT","MA_QH","ONT")</f>
        <v>0</v>
      </c>
      <c r="AR41" s="60">
        <f ca="1">+GETPIVOTDATA("XSR4",'suoirao (2016)'!$A$3,"MA_HT","DDT","MA_QH","ODT")</f>
        <v>0</v>
      </c>
      <c r="AS41" s="60">
        <f ca="1">+GETPIVOTDATA("XSR4",'suoirao (2016)'!$A$3,"MA_HT","DDT","MA_QH","TSC")</f>
        <v>0</v>
      </c>
      <c r="AT41" s="60">
        <f ca="1">+GETPIVOTDATA("XSR4",'suoirao (2016)'!$A$3,"MA_HT","DDT","MA_QH","DTS")</f>
        <v>0</v>
      </c>
      <c r="AU41" s="60">
        <f ca="1">+GETPIVOTDATA("XSR4",'suoirao (2016)'!$A$3,"MA_HT","DDT","MA_QH","DNG")</f>
        <v>0</v>
      </c>
      <c r="AV41" s="60">
        <f ca="1">+GETPIVOTDATA("XSR4",'suoirao (2016)'!$A$3,"MA_HT","DDT","MA_QH","TON")</f>
        <v>0</v>
      </c>
      <c r="AW41" s="60">
        <f ca="1">+GETPIVOTDATA("XSR4",'suoirao (2016)'!$A$3,"MA_HT","DDT","MA_QH","NTD")</f>
        <v>0</v>
      </c>
      <c r="AX41" s="60">
        <f ca="1">+GETPIVOTDATA("XSR4",'suoirao (2016)'!$A$3,"MA_HT","DDT","MA_QH","SKX")</f>
        <v>0</v>
      </c>
      <c r="AY41" s="60">
        <f ca="1">+GETPIVOTDATA("XSR4",'suoirao (2016)'!$A$3,"MA_HT","DDT","MA_QH","DSH")</f>
        <v>0</v>
      </c>
      <c r="AZ41" s="60">
        <f ca="1">+GETPIVOTDATA("XSR4",'suoirao (2016)'!$A$3,"MA_HT","DDT","MA_QH","DKV")</f>
        <v>0</v>
      </c>
      <c r="BA41" s="90">
        <f ca="1">+GETPIVOTDATA("XSR4",'suoirao (2016)'!$A$3,"MA_HT","DDT","MA_QH","TIN")</f>
        <v>0</v>
      </c>
      <c r="BB41" s="91">
        <f ca="1">+GETPIVOTDATA("XSR4",'suoirao (2016)'!$A$3,"MA_HT","DDT","MA_QH","SON")</f>
        <v>0</v>
      </c>
      <c r="BC41" s="91">
        <f ca="1">+GETPIVOTDATA("XSR4",'suoirao (2016)'!$A$3,"MA_HT","DDT","MA_QH","MNC")</f>
        <v>0</v>
      </c>
      <c r="BD41" s="60">
        <f ca="1">+GETPIVOTDATA("XSR4",'suoirao (2016)'!$A$3,"MA_HT","DDT","MA_QH","PNK")</f>
        <v>0</v>
      </c>
      <c r="BE41" s="111">
        <f ca="1">+GETPIVOTDATA("XSR4",'suoirao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+GETPIVOTDATA("XSR4",'suoirao (2016)'!$A$3,"MA_HT","DDL","MA_QH","LUC")</f>
        <v>0</v>
      </c>
      <c r="H42" s="22">
        <f ca="1">+GETPIVOTDATA("XSR4",'suoirao (2016)'!$A$3,"MA_HT","DDL","MA_QH","LUK")</f>
        <v>0</v>
      </c>
      <c r="I42" s="22">
        <f ca="1">+GETPIVOTDATA("XSR4",'suoirao (2016)'!$A$3,"MA_HT","DDL","MA_QH","LUN")</f>
        <v>0</v>
      </c>
      <c r="J42" s="22">
        <f ca="1">+GETPIVOTDATA("XSR4",'suoirao (2016)'!$A$3,"MA_HT","DDL","MA_QH","HNK")</f>
        <v>0</v>
      </c>
      <c r="K42" s="22">
        <f ca="1">+GETPIVOTDATA("XSR4",'suoirao (2016)'!$A$3,"MA_HT","DDL","MA_QH","CLN")</f>
        <v>0</v>
      </c>
      <c r="L42" s="22">
        <f ca="1">+GETPIVOTDATA("XSR4",'suoirao (2016)'!$A$3,"MA_HT","DDL","MA_QH","RSX")</f>
        <v>0</v>
      </c>
      <c r="M42" s="22">
        <f ca="1">+GETPIVOTDATA("XSR4",'suoirao (2016)'!$A$3,"MA_HT","DDL","MA_QH","RPH")</f>
        <v>0</v>
      </c>
      <c r="N42" s="22">
        <f ca="1">+GETPIVOTDATA("XSR4",'suoirao (2016)'!$A$3,"MA_HT","DDL","MA_QH","RDD")</f>
        <v>0</v>
      </c>
      <c r="O42" s="22">
        <f ca="1">+GETPIVOTDATA("XSR4",'suoirao (2016)'!$A$3,"MA_HT","DDL","MA_QH","NTS")</f>
        <v>0</v>
      </c>
      <c r="P42" s="22">
        <f ca="1">+GETPIVOTDATA("XSR4",'suoirao (2016)'!$A$3,"MA_HT","DDL","MA_QH","LMU")</f>
        <v>0</v>
      </c>
      <c r="Q42" s="22">
        <f ca="1">+GETPIVOTDATA("XSR4",'suoirao (2016)'!$A$3,"MA_HT","DDL","MA_QH","NKH")</f>
        <v>0</v>
      </c>
      <c r="R42" s="79">
        <f ca="1">SUM(S42:AA42,AN42,AP42:BD42)</f>
        <v>0</v>
      </c>
      <c r="S42" s="22">
        <f ca="1">+GETPIVOTDATA("XSR4",'suoirao (2016)'!$A$3,"MA_HT","DDL","MA_QH","CQP")</f>
        <v>0</v>
      </c>
      <c r="T42" s="22">
        <f ca="1">+GETPIVOTDATA("XSR4",'suoirao (2016)'!$A$3,"MA_HT","DDL","MA_QH","CAN")</f>
        <v>0</v>
      </c>
      <c r="U42" s="22">
        <f ca="1">+GETPIVOTDATA("XSR4",'suoirao (2016)'!$A$3,"MA_HT","DDL","MA_QH","SKK")</f>
        <v>0</v>
      </c>
      <c r="V42" s="22">
        <f ca="1">+GETPIVOTDATA("XSR4",'suoirao (2016)'!$A$3,"MA_HT","DDL","MA_QH","SKT")</f>
        <v>0</v>
      </c>
      <c r="W42" s="22">
        <f ca="1">+GETPIVOTDATA("XSR4",'suoirao (2016)'!$A$3,"MA_HT","DDL","MA_QH","SKN")</f>
        <v>0</v>
      </c>
      <c r="X42" s="22">
        <f ca="1">+GETPIVOTDATA("XSR4",'suoirao (2016)'!$A$3,"MA_HT","DDL","MA_QH","TMD")</f>
        <v>0</v>
      </c>
      <c r="Y42" s="22">
        <f ca="1">+GETPIVOTDATA("XSR4",'suoirao (2016)'!$A$3,"MA_HT","DDL","MA_QH","SKC")</f>
        <v>0</v>
      </c>
      <c r="Z42" s="22">
        <f ca="1">+GETPIVOTDATA("XSR4",'suoirao (2016)'!$A$3,"MA_HT","DDL","MA_QH","SKS")</f>
        <v>0</v>
      </c>
      <c r="AA42" s="52">
        <f ca="1" t="shared" si="21"/>
        <v>0</v>
      </c>
      <c r="AB42" s="22">
        <f ca="1">+GETPIVOTDATA("XSR4",'suoirao (2016)'!$A$3,"MA_HT","DDL","MA_QH","DGT")</f>
        <v>0</v>
      </c>
      <c r="AC42" s="22">
        <f ca="1">+GETPIVOTDATA("XSR4",'suoirao (2016)'!$A$3,"MA_HT","DDL","MA_QH","DTL")</f>
        <v>0</v>
      </c>
      <c r="AD42" s="22">
        <f ca="1">+GETPIVOTDATA("XSR4",'suoirao (2016)'!$A$3,"MA_HT","DDL","MA_QH","DNL")</f>
        <v>0</v>
      </c>
      <c r="AE42" s="22">
        <f ca="1">+GETPIVOTDATA("XSR4",'suoirao (2016)'!$A$3,"MA_HT","DDL","MA_QH","DBV")</f>
        <v>0</v>
      </c>
      <c r="AF42" s="22">
        <f ca="1">+GETPIVOTDATA("XSR4",'suoirao (2016)'!$A$3,"MA_HT","DDL","MA_QH","DVH")</f>
        <v>0</v>
      </c>
      <c r="AG42" s="22">
        <f ca="1">+GETPIVOTDATA("XSR4",'suoirao (2016)'!$A$3,"MA_HT","DDL","MA_QH","DYT")</f>
        <v>0</v>
      </c>
      <c r="AH42" s="22">
        <f ca="1">+GETPIVOTDATA("XSR4",'suoirao (2016)'!$A$3,"MA_HT","DDL","MA_QH","DGD")</f>
        <v>0</v>
      </c>
      <c r="AI42" s="22">
        <f ca="1">+GETPIVOTDATA("XSR4",'suoirao (2016)'!$A$3,"MA_HT","DDL","MA_QH","DTT")</f>
        <v>0</v>
      </c>
      <c r="AJ42" s="22">
        <f ca="1">+GETPIVOTDATA("XSR4",'suoirao (2016)'!$A$3,"MA_HT","DDL","MA_QH","NCK")</f>
        <v>0</v>
      </c>
      <c r="AK42" s="22">
        <f ca="1">+GETPIVOTDATA("XSR4",'suoirao (2016)'!$A$3,"MA_HT","DDL","MA_QH","DXH")</f>
        <v>0</v>
      </c>
      <c r="AL42" s="22">
        <f ca="1">+GETPIVOTDATA("XSR4",'suoirao (2016)'!$A$3,"MA_HT","DDL","MA_QH","DCH")</f>
        <v>0</v>
      </c>
      <c r="AM42" s="22">
        <f ca="1">+GETPIVOTDATA("XSR4",'suoirao (2016)'!$A$3,"MA_HT","DDL","MA_QH","DKG")</f>
        <v>0</v>
      </c>
      <c r="AN42" s="22">
        <f ca="1">+GETPIVOTDATA("XSR4",'suoirao (2016)'!$A$3,"MA_HT","DDL","MA_QH","DDT")</f>
        <v>0</v>
      </c>
      <c r="AO42" s="43" t="e">
        <f ca="1">$D42-$BF42</f>
        <v>#REF!</v>
      </c>
      <c r="AP42" s="22">
        <f ca="1">+GETPIVOTDATA("XSR4",'suoirao (2016)'!$A$3,"MA_HT","DDL","MA_QH","DRA")</f>
        <v>0</v>
      </c>
      <c r="AQ42" s="22">
        <f ca="1">+GETPIVOTDATA("XSR4",'suoirao (2016)'!$A$3,"MA_HT","DDL","MA_QH","ONT")</f>
        <v>0</v>
      </c>
      <c r="AR42" s="22">
        <f ca="1">+GETPIVOTDATA("XSR4",'suoirao (2016)'!$A$3,"MA_HT","DDL","MA_QH","ODT")</f>
        <v>0</v>
      </c>
      <c r="AS42" s="22">
        <f ca="1">+GETPIVOTDATA("XSR4",'suoirao (2016)'!$A$3,"MA_HT","DDL","MA_QH","TSC")</f>
        <v>0</v>
      </c>
      <c r="AT42" s="22">
        <f ca="1">+GETPIVOTDATA("XSR4",'suoirao (2016)'!$A$3,"MA_HT","DDL","MA_QH","DTS")</f>
        <v>0</v>
      </c>
      <c r="AU42" s="22">
        <f ca="1">+GETPIVOTDATA("XSR4",'suoirao (2016)'!$A$3,"MA_HT","DDL","MA_QH","DNG")</f>
        <v>0</v>
      </c>
      <c r="AV42" s="22">
        <f ca="1">+GETPIVOTDATA("XSR4",'suoirao (2016)'!$A$3,"MA_HT","DDL","MA_QH","TON")</f>
        <v>0</v>
      </c>
      <c r="AW42" s="22">
        <f ca="1">+GETPIVOTDATA("XSR4",'suoirao (2016)'!$A$3,"MA_HT","DDL","MA_QH","NTD")</f>
        <v>0</v>
      </c>
      <c r="AX42" s="22">
        <f ca="1">+GETPIVOTDATA("XSR4",'suoirao (2016)'!$A$3,"MA_HT","DDL","MA_QH","SKX")</f>
        <v>0</v>
      </c>
      <c r="AY42" s="22">
        <f ca="1">+GETPIVOTDATA("XSR4",'suoirao (2016)'!$A$3,"MA_HT","DDL","MA_QH","DSH")</f>
        <v>0</v>
      </c>
      <c r="AZ42" s="22">
        <f ca="1">+GETPIVOTDATA("XSR4",'suoirao (2016)'!$A$3,"MA_HT","DDL","MA_QH","DKV")</f>
        <v>0</v>
      </c>
      <c r="BA42" s="89">
        <f ca="1">+GETPIVOTDATA("XSR4",'suoirao (2016)'!$A$3,"MA_HT","DDL","MA_QH","TIN")</f>
        <v>0</v>
      </c>
      <c r="BB42" s="50">
        <f ca="1">+GETPIVOTDATA("XSR4",'suoirao (2016)'!$A$3,"MA_HT","DDL","MA_QH","SON")</f>
        <v>0</v>
      </c>
      <c r="BC42" s="50">
        <f ca="1">+GETPIVOTDATA("XSR4",'suoirao (2016)'!$A$3,"MA_HT","DDL","MA_QH","MNC")</f>
        <v>0</v>
      </c>
      <c r="BD42" s="22">
        <f ca="1">+GETPIVOTDATA("XSR4",'suoirao (2016)'!$A$3,"MA_HT","DDL","MA_QH","PNK")</f>
        <v>0</v>
      </c>
      <c r="BE42" s="71">
        <f ca="1">+GETPIVOTDATA("XSR4",'suoirao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+GETPIVOTDATA("XSR4",'suoirao (2016)'!$A$3,"MA_HT","DRA","MA_QH","LUC")</f>
        <v>0</v>
      </c>
      <c r="H43" s="22">
        <f ca="1">+GETPIVOTDATA("XSR4",'suoirao (2016)'!$A$3,"MA_HT","DRA","MA_QH","LUK")</f>
        <v>0</v>
      </c>
      <c r="I43" s="22">
        <f ca="1">+GETPIVOTDATA("XSR4",'suoirao (2016)'!$A$3,"MA_HT","DRA","MA_QH","LUN")</f>
        <v>0</v>
      </c>
      <c r="J43" s="22">
        <f ca="1">+GETPIVOTDATA("XSR4",'suoirao (2016)'!$A$3,"MA_HT","DRA","MA_QH","HNK")</f>
        <v>0</v>
      </c>
      <c r="K43" s="22">
        <f ca="1">+GETPIVOTDATA("XSR4",'suoirao (2016)'!$A$3,"MA_HT","DRA","MA_QH","CLN")</f>
        <v>0</v>
      </c>
      <c r="L43" s="22">
        <f ca="1">+GETPIVOTDATA("XSR4",'suoirao (2016)'!$A$3,"MA_HT","DRA","MA_QH","RSX")</f>
        <v>0</v>
      </c>
      <c r="M43" s="22">
        <f ca="1">+GETPIVOTDATA("XSR4",'suoirao (2016)'!$A$3,"MA_HT","DRA","MA_QH","RPH")</f>
        <v>0</v>
      </c>
      <c r="N43" s="22">
        <f ca="1">+GETPIVOTDATA("XSR4",'suoirao (2016)'!$A$3,"MA_HT","DRA","MA_QH","RDD")</f>
        <v>0</v>
      </c>
      <c r="O43" s="22">
        <f ca="1">+GETPIVOTDATA("XSR4",'suoirao (2016)'!$A$3,"MA_HT","DRA","MA_QH","NTS")</f>
        <v>0</v>
      </c>
      <c r="P43" s="22">
        <f ca="1">+GETPIVOTDATA("XSR4",'suoirao (2016)'!$A$3,"MA_HT","DRA","MA_QH","LMU")</f>
        <v>0</v>
      </c>
      <c r="Q43" s="22">
        <f ca="1">+GETPIVOTDATA("XSR4",'suoirao (2016)'!$A$3,"MA_HT","DRA","MA_QH","NKH")</f>
        <v>0</v>
      </c>
      <c r="R43" s="79">
        <f ca="1">SUM(S43:AA43,AN43:AO43,AQ43:BD43)</f>
        <v>0</v>
      </c>
      <c r="S43" s="22">
        <f ca="1">+GETPIVOTDATA("XSR4",'suoirao (2016)'!$A$3,"MA_HT","DRA","MA_QH","CQP")</f>
        <v>0</v>
      </c>
      <c r="T43" s="22">
        <f ca="1">+GETPIVOTDATA("XSR4",'suoirao (2016)'!$A$3,"MA_HT","DRA","MA_QH","CAN")</f>
        <v>0</v>
      </c>
      <c r="U43" s="22">
        <f ca="1">+GETPIVOTDATA("XSR4",'suoirao (2016)'!$A$3,"MA_HT","DRA","MA_QH","SKK")</f>
        <v>0</v>
      </c>
      <c r="V43" s="22">
        <f ca="1">+GETPIVOTDATA("XSR4",'suoirao (2016)'!$A$3,"MA_HT","DRA","MA_QH","SKT")</f>
        <v>0</v>
      </c>
      <c r="W43" s="22">
        <f ca="1">+GETPIVOTDATA("XSR4",'suoirao (2016)'!$A$3,"MA_HT","DRA","MA_QH","SKN")</f>
        <v>0</v>
      </c>
      <c r="X43" s="22">
        <f ca="1">+GETPIVOTDATA("XSR4",'suoirao (2016)'!$A$3,"MA_HT","DRA","MA_QH","TMD")</f>
        <v>0</v>
      </c>
      <c r="Y43" s="22">
        <f ca="1">+GETPIVOTDATA("XSR4",'suoirao (2016)'!$A$3,"MA_HT","DRA","MA_QH","SKC")</f>
        <v>0</v>
      </c>
      <c r="Z43" s="22">
        <f ca="1">+GETPIVOTDATA("XSR4",'suoirao (2016)'!$A$3,"MA_HT","DRA","MA_QH","SKS")</f>
        <v>0</v>
      </c>
      <c r="AA43" s="52">
        <f ca="1" t="shared" si="21"/>
        <v>0</v>
      </c>
      <c r="AB43" s="22">
        <f ca="1">+GETPIVOTDATA("XSR4",'suoirao (2016)'!$A$3,"MA_HT","DRA","MA_QH","DGT")</f>
        <v>0</v>
      </c>
      <c r="AC43" s="22">
        <f ca="1">+GETPIVOTDATA("XSR4",'suoirao (2016)'!$A$3,"MA_HT","DRA","MA_QH","DTL")</f>
        <v>0</v>
      </c>
      <c r="AD43" s="22">
        <f ca="1">+GETPIVOTDATA("XSR4",'suoirao (2016)'!$A$3,"MA_HT","DRA","MA_QH","DNL")</f>
        <v>0</v>
      </c>
      <c r="AE43" s="22">
        <f ca="1">+GETPIVOTDATA("XSR4",'suoirao (2016)'!$A$3,"MA_HT","DRA","MA_QH","DBV")</f>
        <v>0</v>
      </c>
      <c r="AF43" s="22">
        <f ca="1">+GETPIVOTDATA("XSR4",'suoirao (2016)'!$A$3,"MA_HT","DRA","MA_QH","DVH")</f>
        <v>0</v>
      </c>
      <c r="AG43" s="22">
        <f ca="1">+GETPIVOTDATA("XSR4",'suoirao (2016)'!$A$3,"MA_HT","DRA","MA_QH","DYT")</f>
        <v>0</v>
      </c>
      <c r="AH43" s="22">
        <f ca="1">+GETPIVOTDATA("XSR4",'suoirao (2016)'!$A$3,"MA_HT","DRA","MA_QH","DGD")</f>
        <v>0</v>
      </c>
      <c r="AI43" s="22">
        <f ca="1">+GETPIVOTDATA("XSR4",'suoirao (2016)'!$A$3,"MA_HT","DRA","MA_QH","DTT")</f>
        <v>0</v>
      </c>
      <c r="AJ43" s="22">
        <f ca="1">+GETPIVOTDATA("XSR4",'suoirao (2016)'!$A$3,"MA_HT","DRA","MA_QH","NCK")</f>
        <v>0</v>
      </c>
      <c r="AK43" s="22">
        <f ca="1">+GETPIVOTDATA("XSR4",'suoirao (2016)'!$A$3,"MA_HT","DRA","MA_QH","DXH")</f>
        <v>0</v>
      </c>
      <c r="AL43" s="22">
        <f ca="1">+GETPIVOTDATA("XSR4",'suoirao (2016)'!$A$3,"MA_HT","DRA","MA_QH","DCH")</f>
        <v>0</v>
      </c>
      <c r="AM43" s="22">
        <f ca="1">+GETPIVOTDATA("XSR4",'suoirao (2016)'!$A$3,"MA_HT","DRA","MA_QH","DKG")</f>
        <v>0</v>
      </c>
      <c r="AN43" s="22">
        <f ca="1">+GETPIVOTDATA("XSR4",'suoirao (2016)'!$A$3,"MA_HT","DRA","MA_QH","DDT")</f>
        <v>0</v>
      </c>
      <c r="AO43" s="22">
        <f ca="1">+GETPIVOTDATA("XSR4",'suoirao (2016)'!$A$3,"MA_HT","DRA","MA_QH","DDL")</f>
        <v>0</v>
      </c>
      <c r="AP43" s="43" t="e">
        <f ca="1">$D43-$BF43</f>
        <v>#REF!</v>
      </c>
      <c r="AQ43" s="22">
        <f ca="1">+GETPIVOTDATA("XSR4",'suoirao (2016)'!$A$3,"MA_HT","DRA","MA_QH","ONT")</f>
        <v>0</v>
      </c>
      <c r="AR43" s="22">
        <f ca="1">+GETPIVOTDATA("XSR4",'suoirao (2016)'!$A$3,"MA_HT","DRA","MA_QH","ODT")</f>
        <v>0</v>
      </c>
      <c r="AS43" s="22">
        <f ca="1">+GETPIVOTDATA("XSR4",'suoirao (2016)'!$A$3,"MA_HT","DRA","MA_QH","TSC")</f>
        <v>0</v>
      </c>
      <c r="AT43" s="22">
        <f ca="1">+GETPIVOTDATA("XSR4",'suoirao (2016)'!$A$3,"MA_HT","DRA","MA_QH","DTS")</f>
        <v>0</v>
      </c>
      <c r="AU43" s="22">
        <f ca="1">+GETPIVOTDATA("XSR4",'suoirao (2016)'!$A$3,"MA_HT","DRA","MA_QH","DNG")</f>
        <v>0</v>
      </c>
      <c r="AV43" s="22">
        <f ca="1">+GETPIVOTDATA("XSR4",'suoirao (2016)'!$A$3,"MA_HT","DRA","MA_QH","TON")</f>
        <v>0</v>
      </c>
      <c r="AW43" s="22">
        <f ca="1">+GETPIVOTDATA("XSR4",'suoirao (2016)'!$A$3,"MA_HT","DRA","MA_QH","NTD")</f>
        <v>0</v>
      </c>
      <c r="AX43" s="22">
        <f ca="1">+GETPIVOTDATA("XSR4",'suoirao (2016)'!$A$3,"MA_HT","DRA","MA_QH","SKX")</f>
        <v>0</v>
      </c>
      <c r="AY43" s="22">
        <f ca="1">+GETPIVOTDATA("XSR4",'suoirao (2016)'!$A$3,"MA_HT","DRA","MA_QH","DSH")</f>
        <v>0</v>
      </c>
      <c r="AZ43" s="22">
        <f ca="1">+GETPIVOTDATA("XSR4",'suoirao (2016)'!$A$3,"MA_HT","DRA","MA_QH","DKV")</f>
        <v>0</v>
      </c>
      <c r="BA43" s="89">
        <f ca="1">+GETPIVOTDATA("XSR4",'suoirao (2016)'!$A$3,"MA_HT","DRA","MA_QH","TIN")</f>
        <v>0</v>
      </c>
      <c r="BB43" s="50">
        <f ca="1">+GETPIVOTDATA("XSR4",'suoirao (2016)'!$A$3,"MA_HT","DRA","MA_QH","SON")</f>
        <v>0</v>
      </c>
      <c r="BC43" s="50">
        <f ca="1">+GETPIVOTDATA("XSR4",'suoirao (2016)'!$A$3,"MA_HT","DRA","MA_QH","MNC")</f>
        <v>0</v>
      </c>
      <c r="BD43" s="22">
        <f ca="1">+GETPIVOTDATA("XSR4",'suoirao (2016)'!$A$3,"MA_HT","DRA","MA_QH","PNK")</f>
        <v>0</v>
      </c>
      <c r="BE43" s="71">
        <f ca="1">+GETPIVOTDATA("XSR4",'suoirao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+GETPIVOTDATA("XSR4",'suoirao (2016)'!$A$3,"MA_HT","ONT","MA_QH","LUC")</f>
        <v>0</v>
      </c>
      <c r="H44" s="22">
        <f ca="1">+GETPIVOTDATA("XSR4",'suoirao (2016)'!$A$3,"MA_HT","ONT","MA_QH","LUK")</f>
        <v>0</v>
      </c>
      <c r="I44" s="22">
        <f ca="1">+GETPIVOTDATA("XSR4",'suoirao (2016)'!$A$3,"MA_HT","ONT","MA_QH","LUN")</f>
        <v>0</v>
      </c>
      <c r="J44" s="22">
        <f ca="1">+GETPIVOTDATA("XSR4",'suoirao (2016)'!$A$3,"MA_HT","ONT","MA_QH","HNK")</f>
        <v>0</v>
      </c>
      <c r="K44" s="22">
        <f ca="1">+GETPIVOTDATA("XSR4",'suoirao (2016)'!$A$3,"MA_HT","ONT","MA_QH","CLN")</f>
        <v>0</v>
      </c>
      <c r="L44" s="22">
        <f ca="1">+GETPIVOTDATA("XSR4",'suoirao (2016)'!$A$3,"MA_HT","ONT","MA_QH","RSX")</f>
        <v>0</v>
      </c>
      <c r="M44" s="22">
        <f ca="1">+GETPIVOTDATA("XSR4",'suoirao (2016)'!$A$3,"MA_HT","ONT","MA_QH","RPH")</f>
        <v>0</v>
      </c>
      <c r="N44" s="22">
        <f ca="1">+GETPIVOTDATA("XSR4",'suoirao (2016)'!$A$3,"MA_HT","ONT","MA_QH","RDD")</f>
        <v>0</v>
      </c>
      <c r="O44" s="22">
        <f ca="1">+GETPIVOTDATA("XSR4",'suoirao (2016)'!$A$3,"MA_HT","ONT","MA_QH","NTS")</f>
        <v>0</v>
      </c>
      <c r="P44" s="22">
        <f ca="1">+GETPIVOTDATA("XSR4",'suoirao (2016)'!$A$3,"MA_HT","ONT","MA_QH","LMU")</f>
        <v>0</v>
      </c>
      <c r="Q44" s="22">
        <f ca="1">+GETPIVOTDATA("XSR4",'suoirao (2016)'!$A$3,"MA_HT","ONT","MA_QH","NKH")</f>
        <v>0</v>
      </c>
      <c r="R44" s="79">
        <f ca="1">SUM(S44:AA44,AN44:AP44,AR44:BD44)</f>
        <v>0</v>
      </c>
      <c r="S44" s="22">
        <f ca="1">+GETPIVOTDATA("XSR4",'suoirao (2016)'!$A$3,"MA_HT","ONT","MA_QH","CQP")</f>
        <v>0</v>
      </c>
      <c r="T44" s="22">
        <f ca="1">+GETPIVOTDATA("XSR4",'suoirao (2016)'!$A$3,"MA_HT","ONT","MA_QH","CAN")</f>
        <v>0</v>
      </c>
      <c r="U44" s="22">
        <f ca="1">+GETPIVOTDATA("XSR4",'suoirao (2016)'!$A$3,"MA_HT","ONT","MA_QH","SKK")</f>
        <v>0</v>
      </c>
      <c r="V44" s="22">
        <f ca="1">+GETPIVOTDATA("XSR4",'suoirao (2016)'!$A$3,"MA_HT","ONT","MA_QH","SKT")</f>
        <v>0</v>
      </c>
      <c r="W44" s="22">
        <f ca="1">+GETPIVOTDATA("XSR4",'suoirao (2016)'!$A$3,"MA_HT","ONT","MA_QH","SKN")</f>
        <v>0</v>
      </c>
      <c r="X44" s="22">
        <f ca="1">+GETPIVOTDATA("XSR4",'suoirao (2016)'!$A$3,"MA_HT","ONT","MA_QH","TMD")</f>
        <v>0</v>
      </c>
      <c r="Y44" s="22">
        <f ca="1">+GETPIVOTDATA("XSR4",'suoirao (2016)'!$A$3,"MA_HT","ONT","MA_QH","SKC")</f>
        <v>0</v>
      </c>
      <c r="Z44" s="22">
        <f ca="1">+GETPIVOTDATA("XSR4",'suoirao (2016)'!$A$3,"MA_HT","ONT","MA_QH","SKS")</f>
        <v>0</v>
      </c>
      <c r="AA44" s="52">
        <f ca="1" t="shared" si="21"/>
        <v>0</v>
      </c>
      <c r="AB44" s="22">
        <f ca="1">+GETPIVOTDATA("XSR4",'suoirao (2016)'!$A$3,"MA_HT","ONT","MA_QH","DGT")</f>
        <v>0</v>
      </c>
      <c r="AC44" s="22">
        <f ca="1">+GETPIVOTDATA("XSR4",'suoirao (2016)'!$A$3,"MA_HT","ONT","MA_QH","DTL")</f>
        <v>0</v>
      </c>
      <c r="AD44" s="22">
        <f ca="1">+GETPIVOTDATA("XSR4",'suoirao (2016)'!$A$3,"MA_HT","ONT","MA_QH","DNL")</f>
        <v>0</v>
      </c>
      <c r="AE44" s="22">
        <f ca="1">+GETPIVOTDATA("XSR4",'suoirao (2016)'!$A$3,"MA_HT","ONT","MA_QH","DBV")</f>
        <v>0</v>
      </c>
      <c r="AF44" s="22">
        <f ca="1">+GETPIVOTDATA("XSR4",'suoirao (2016)'!$A$3,"MA_HT","ONT","MA_QH","DVH")</f>
        <v>0</v>
      </c>
      <c r="AG44" s="22">
        <f ca="1">+GETPIVOTDATA("XSR4",'suoirao (2016)'!$A$3,"MA_HT","ONT","MA_QH","DYT")</f>
        <v>0</v>
      </c>
      <c r="AH44" s="22">
        <f ca="1">+GETPIVOTDATA("XSR4",'suoirao (2016)'!$A$3,"MA_HT","ONT","MA_QH","DGD")</f>
        <v>0</v>
      </c>
      <c r="AI44" s="22">
        <f ca="1">+GETPIVOTDATA("XSR4",'suoirao (2016)'!$A$3,"MA_HT","ONT","MA_QH","DTT")</f>
        <v>0</v>
      </c>
      <c r="AJ44" s="22">
        <f ca="1">+GETPIVOTDATA("XSR4",'suoirao (2016)'!$A$3,"MA_HT","ONT","MA_QH","NCK")</f>
        <v>0</v>
      </c>
      <c r="AK44" s="22">
        <f ca="1">+GETPIVOTDATA("XSR4",'suoirao (2016)'!$A$3,"MA_HT","ONT","MA_QH","DXH")</f>
        <v>0</v>
      </c>
      <c r="AL44" s="22">
        <f ca="1">+GETPIVOTDATA("XSR4",'suoirao (2016)'!$A$3,"MA_HT","ONT","MA_QH","DCH")</f>
        <v>0</v>
      </c>
      <c r="AM44" s="22">
        <f ca="1">+GETPIVOTDATA("XSR4",'suoirao (2016)'!$A$3,"MA_HT","ONT","MA_QH","DKG")</f>
        <v>0</v>
      </c>
      <c r="AN44" s="22">
        <f ca="1">+GETPIVOTDATA("XSR4",'suoirao (2016)'!$A$3,"MA_HT","ONT","MA_QH","DDT")</f>
        <v>0</v>
      </c>
      <c r="AO44" s="22">
        <f ca="1">+GETPIVOTDATA("XSR4",'suoirao (2016)'!$A$3,"MA_HT","ONT","MA_QH","DDL")</f>
        <v>0</v>
      </c>
      <c r="AP44" s="22">
        <f ca="1">+GETPIVOTDATA("XSR4",'suoirao (2016)'!$A$3,"MA_HT","ONT","MA_QH","DRA")</f>
        <v>0</v>
      </c>
      <c r="AQ44" s="43" t="e">
        <f ca="1">$D44-$BF44</f>
        <v>#REF!</v>
      </c>
      <c r="AR44" s="22">
        <f ca="1">+GETPIVOTDATA("XSR4",'suoirao (2016)'!$A$3,"MA_HT","ONT","MA_QH","ODT")</f>
        <v>0</v>
      </c>
      <c r="AS44" s="22">
        <f ca="1">+GETPIVOTDATA("XSR4",'suoirao (2016)'!$A$3,"MA_HT","ONT","MA_QH","TSC")</f>
        <v>0</v>
      </c>
      <c r="AT44" s="22">
        <f ca="1">+GETPIVOTDATA("XSR4",'suoirao (2016)'!$A$3,"MA_HT","ONT","MA_QH","DTS")</f>
        <v>0</v>
      </c>
      <c r="AU44" s="22">
        <f ca="1">+GETPIVOTDATA("XSR4",'suoirao (2016)'!$A$3,"MA_HT","ONT","MA_QH","DNG")</f>
        <v>0</v>
      </c>
      <c r="AV44" s="22">
        <f ca="1">+GETPIVOTDATA("XSR4",'suoirao (2016)'!$A$3,"MA_HT","ONT","MA_QH","TON")</f>
        <v>0</v>
      </c>
      <c r="AW44" s="22">
        <f ca="1">+GETPIVOTDATA("XSR4",'suoirao (2016)'!$A$3,"MA_HT","ONT","MA_QH","NTD")</f>
        <v>0</v>
      </c>
      <c r="AX44" s="22">
        <f ca="1">+GETPIVOTDATA("XSR4",'suoirao (2016)'!$A$3,"MA_HT","ONT","MA_QH","SKX")</f>
        <v>0</v>
      </c>
      <c r="AY44" s="22">
        <f ca="1">+GETPIVOTDATA("XSR4",'suoirao (2016)'!$A$3,"MA_HT","ONT","MA_QH","DSH")</f>
        <v>0</v>
      </c>
      <c r="AZ44" s="22">
        <f ca="1">+GETPIVOTDATA("XSR4",'suoirao (2016)'!$A$3,"MA_HT","ONT","MA_QH","DKV")</f>
        <v>0</v>
      </c>
      <c r="BA44" s="89">
        <f ca="1">+GETPIVOTDATA("XSR4",'suoirao (2016)'!$A$3,"MA_HT","ONT","MA_QH","TIN")</f>
        <v>0</v>
      </c>
      <c r="BB44" s="50">
        <f ca="1">+GETPIVOTDATA("XSR4",'suoirao (2016)'!$A$3,"MA_HT","ONT","MA_QH","SON")</f>
        <v>0</v>
      </c>
      <c r="BC44" s="50">
        <f ca="1">+GETPIVOTDATA("XSR4",'suoirao (2016)'!$A$3,"MA_HT","ONT","MA_QH","MNC")</f>
        <v>0</v>
      </c>
      <c r="BD44" s="22">
        <f ca="1">+GETPIVOTDATA("XSR4",'suoirao (2016)'!$A$3,"MA_HT","ONT","MA_QH","PNK")</f>
        <v>0</v>
      </c>
      <c r="BE44" s="71">
        <f ca="1">+GETPIVOTDATA("XSR4",'suoirao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+GETPIVOTDATA("XSR4",'suoirao (2016)'!$A$3,"MA_HT","ODT","MA_QH","LUC")</f>
        <v>0</v>
      </c>
      <c r="H45" s="67">
        <f ca="1">+GETPIVOTDATA("XSR4",'suoirao (2016)'!$A$3,"MA_HT","ODT","MA_QH","LUK")</f>
        <v>0</v>
      </c>
      <c r="I45" s="67">
        <f ca="1">+GETPIVOTDATA("XSR4",'suoirao (2016)'!$A$3,"MA_HT","ODT","MA_QH","LUN")</f>
        <v>0</v>
      </c>
      <c r="J45" s="67">
        <f ca="1">+GETPIVOTDATA("XSR4",'suoirao (2016)'!$A$3,"MA_HT","ODT","MA_QH","HNK")</f>
        <v>0</v>
      </c>
      <c r="K45" s="67">
        <f ca="1">+GETPIVOTDATA("XSR4",'suoirao (2016)'!$A$3,"MA_HT","ODT","MA_QH","CLN")</f>
        <v>0</v>
      </c>
      <c r="L45" s="67">
        <f ca="1">+GETPIVOTDATA("XSR4",'suoirao (2016)'!$A$3,"MA_HT","ODT","MA_QH","RSX")</f>
        <v>0</v>
      </c>
      <c r="M45" s="67">
        <f ca="1">+GETPIVOTDATA("XSR4",'suoirao (2016)'!$A$3,"MA_HT","ODT","MA_QH","RPH")</f>
        <v>0</v>
      </c>
      <c r="N45" s="67">
        <f ca="1">+GETPIVOTDATA("XSR4",'suoirao (2016)'!$A$3,"MA_HT","ODT","MA_QH","RDD")</f>
        <v>0</v>
      </c>
      <c r="O45" s="67">
        <f ca="1">+GETPIVOTDATA("XSR4",'suoirao (2016)'!$A$3,"MA_HT","ODT","MA_QH","NTS")</f>
        <v>0</v>
      </c>
      <c r="P45" s="67">
        <f ca="1">+GETPIVOTDATA("XSR4",'suoirao (2016)'!$A$3,"MA_HT","ODT","MA_QH","LMU")</f>
        <v>0</v>
      </c>
      <c r="Q45" s="67">
        <f ca="1">+GETPIVOTDATA("XSR4",'suoirao (2016)'!$A$3,"MA_HT","ODT","MA_QH","NKH")</f>
        <v>0</v>
      </c>
      <c r="R45" s="79">
        <f ca="1">SUM(S45:AA45,AN45:AQ45,AS45:BD45)</f>
        <v>0</v>
      </c>
      <c r="S45" s="67">
        <f ca="1">+GETPIVOTDATA("XSR4",'suoirao (2016)'!$A$3,"MA_HT","ODT","MA_QH","CQP")</f>
        <v>0</v>
      </c>
      <c r="T45" s="67">
        <f ca="1">+GETPIVOTDATA("XSR4",'suoirao (2016)'!$A$3,"MA_HT","ODT","MA_QH","CAN")</f>
        <v>0</v>
      </c>
      <c r="U45" s="67">
        <f ca="1">+GETPIVOTDATA("XSR4",'suoirao (2016)'!$A$3,"MA_HT","ODT","MA_QH","SKK")</f>
        <v>0</v>
      </c>
      <c r="V45" s="67">
        <f ca="1">+GETPIVOTDATA("XSR4",'suoirao (2016)'!$A$3,"MA_HT","ODT","MA_QH","SKT")</f>
        <v>0</v>
      </c>
      <c r="W45" s="67">
        <f ca="1">+GETPIVOTDATA("XSR4",'suoirao (2016)'!$A$3,"MA_HT","ODT","MA_QH","SKN")</f>
        <v>0</v>
      </c>
      <c r="X45" s="67">
        <f ca="1">+GETPIVOTDATA("XSR4",'suoirao (2016)'!$A$3,"MA_HT","ODT","MA_QH","TMD")</f>
        <v>0</v>
      </c>
      <c r="Y45" s="67">
        <f ca="1">+GETPIVOTDATA("XSR4",'suoirao (2016)'!$A$3,"MA_HT","ODT","MA_QH","SKC")</f>
        <v>0</v>
      </c>
      <c r="Z45" s="67">
        <f ca="1">+GETPIVOTDATA("XSR4",'suoirao (2016)'!$A$3,"MA_HT","ODT","MA_QH","SKS")</f>
        <v>0</v>
      </c>
      <c r="AA45" s="66">
        <f ca="1" t="shared" si="21"/>
        <v>0</v>
      </c>
      <c r="AB45" s="67">
        <f ca="1">+GETPIVOTDATA("XSR4",'suoirao (2016)'!$A$3,"MA_HT","ODT","MA_QH","DGT")</f>
        <v>0</v>
      </c>
      <c r="AC45" s="67">
        <f ca="1">+GETPIVOTDATA("XSR4",'suoirao (2016)'!$A$3,"MA_HT","ODT","MA_QH","DTL")</f>
        <v>0</v>
      </c>
      <c r="AD45" s="67">
        <f ca="1">+GETPIVOTDATA("XSR4",'suoirao (2016)'!$A$3,"MA_HT","ODT","MA_QH","DNL")</f>
        <v>0</v>
      </c>
      <c r="AE45" s="67">
        <f ca="1">+GETPIVOTDATA("XSR4",'suoirao (2016)'!$A$3,"MA_HT","ODT","MA_QH","DBV")</f>
        <v>0</v>
      </c>
      <c r="AF45" s="67">
        <f ca="1">+GETPIVOTDATA("XSR4",'suoirao (2016)'!$A$3,"MA_HT","ODT","MA_QH","DVH")</f>
        <v>0</v>
      </c>
      <c r="AG45" s="67">
        <f ca="1">+GETPIVOTDATA("XSR4",'suoirao (2016)'!$A$3,"MA_HT","ODT","MA_QH","DYT")</f>
        <v>0</v>
      </c>
      <c r="AH45" s="67">
        <f ca="1">+GETPIVOTDATA("XSR4",'suoirao (2016)'!$A$3,"MA_HT","ODT","MA_QH","DGD")</f>
        <v>0</v>
      </c>
      <c r="AI45" s="67">
        <f ca="1">+GETPIVOTDATA("XSR4",'suoirao (2016)'!$A$3,"MA_HT","ODT","MA_QH","DTT")</f>
        <v>0</v>
      </c>
      <c r="AJ45" s="67">
        <f ca="1">+GETPIVOTDATA("XSR4",'suoirao (2016)'!$A$3,"MA_HT","ODT","MA_QH","NCK")</f>
        <v>0</v>
      </c>
      <c r="AK45" s="67">
        <f ca="1">+GETPIVOTDATA("XSR4",'suoirao (2016)'!$A$3,"MA_HT","ODT","MA_QH","DXH")</f>
        <v>0</v>
      </c>
      <c r="AL45" s="67">
        <f ca="1">+GETPIVOTDATA("XSR4",'suoirao (2016)'!$A$3,"MA_HT","ODT","MA_QH","DCH")</f>
        <v>0</v>
      </c>
      <c r="AM45" s="67">
        <f ca="1">+GETPIVOTDATA("XSR4",'suoirao (2016)'!$A$3,"MA_HT","ODT","MA_QH","DKG")</f>
        <v>0</v>
      </c>
      <c r="AN45" s="67">
        <f ca="1">+GETPIVOTDATA("XSR4",'suoirao (2016)'!$A$3,"MA_HT","ODT","MA_QH","DDT")</f>
        <v>0</v>
      </c>
      <c r="AO45" s="67">
        <f ca="1">+GETPIVOTDATA("XSR4",'suoirao (2016)'!$A$3,"MA_HT","ODT","MA_QH","DDL")</f>
        <v>0</v>
      </c>
      <c r="AP45" s="67">
        <f ca="1">+GETPIVOTDATA("XSR4",'suoirao (2016)'!$A$3,"MA_HT","ODT","MA_QH","DRA")</f>
        <v>0</v>
      </c>
      <c r="AQ45" s="67">
        <f ca="1">+GETPIVOTDATA("XSR4",'suoirao (2016)'!$A$3,"MA_HT","ODT","MA_QH","ONT")</f>
        <v>0</v>
      </c>
      <c r="AR45" s="82" t="e">
        <f ca="1">$D45-$BF45</f>
        <v>#REF!</v>
      </c>
      <c r="AS45" s="67">
        <f ca="1">+GETPIVOTDATA("XSR4",'suoirao (2016)'!$A$3,"MA_HT","ODT","MA_QH","TSC")</f>
        <v>0</v>
      </c>
      <c r="AT45" s="67">
        <f ca="1">+GETPIVOTDATA("XSR4",'suoirao (2016)'!$A$3,"MA_HT","ODT","MA_QH","DTS")</f>
        <v>0</v>
      </c>
      <c r="AU45" s="67">
        <f ca="1">+GETPIVOTDATA("XSR4",'suoirao (2016)'!$A$3,"MA_HT","ODT","MA_QH","DNG")</f>
        <v>0</v>
      </c>
      <c r="AV45" s="67">
        <f ca="1">+GETPIVOTDATA("XSR4",'suoirao (2016)'!$A$3,"MA_HT","ODT","MA_QH","TON")</f>
        <v>0</v>
      </c>
      <c r="AW45" s="67">
        <f ca="1">+GETPIVOTDATA("XSR4",'suoirao (2016)'!$A$3,"MA_HT","ODT","MA_QH","NTD")</f>
        <v>0</v>
      </c>
      <c r="AX45" s="67">
        <f ca="1">+GETPIVOTDATA("XSR4",'suoirao (2016)'!$A$3,"MA_HT","ODT","MA_QH","SKX")</f>
        <v>0</v>
      </c>
      <c r="AY45" s="67">
        <f ca="1">+GETPIVOTDATA("XSR4",'suoirao (2016)'!$A$3,"MA_HT","ODT","MA_QH","DSH")</f>
        <v>0</v>
      </c>
      <c r="AZ45" s="67">
        <f ca="1">+GETPIVOTDATA("XSR4",'suoirao (2016)'!$A$3,"MA_HT","ODT","MA_QH","DKV")</f>
        <v>0</v>
      </c>
      <c r="BA45" s="92">
        <f ca="1">+GETPIVOTDATA("XSR4",'suoirao (2016)'!$A$3,"MA_HT","ODT","MA_QH","TIN")</f>
        <v>0</v>
      </c>
      <c r="BB45" s="93">
        <f ca="1">+GETPIVOTDATA("XSR4",'suoirao (2016)'!$A$3,"MA_HT","ODT","MA_QH","SON")</f>
        <v>0</v>
      </c>
      <c r="BC45" s="93">
        <f ca="1">+GETPIVOTDATA("XSR4",'suoirao (2016)'!$A$3,"MA_HT","ODT","MA_QH","MNC")</f>
        <v>0</v>
      </c>
      <c r="BD45" s="67">
        <f ca="1">+GETPIVOTDATA("XSR4",'suoirao (2016)'!$A$3,"MA_HT","ODT","MA_QH","PNK")</f>
        <v>0</v>
      </c>
      <c r="BE45" s="116">
        <f ca="1">+GETPIVOTDATA("XSR4",'suoirao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+GETPIVOTDATA("XSR4",'suoirao (2016)'!$A$3,"MA_HT","TSC","MA_QH","LUC")</f>
        <v>0</v>
      </c>
      <c r="H46" s="22">
        <f ca="1">+GETPIVOTDATA("XSR4",'suoirao (2016)'!$A$3,"MA_HT","TSC","MA_QH","LUK")</f>
        <v>0</v>
      </c>
      <c r="I46" s="22">
        <f ca="1">+GETPIVOTDATA("XSR4",'suoirao (2016)'!$A$3,"MA_HT","TSC","MA_QH","LUN")</f>
        <v>0</v>
      </c>
      <c r="J46" s="22">
        <f ca="1">+GETPIVOTDATA("XSR4",'suoirao (2016)'!$A$3,"MA_HT","TSC","MA_QH","HNK")</f>
        <v>0</v>
      </c>
      <c r="K46" s="22">
        <f ca="1">+GETPIVOTDATA("XSR4",'suoirao (2016)'!$A$3,"MA_HT","TSC","MA_QH","CLN")</f>
        <v>0</v>
      </c>
      <c r="L46" s="22">
        <f ca="1">+GETPIVOTDATA("XSR4",'suoirao (2016)'!$A$3,"MA_HT","TSC","MA_QH","RSX")</f>
        <v>0</v>
      </c>
      <c r="M46" s="22">
        <f ca="1">+GETPIVOTDATA("XSR4",'suoirao (2016)'!$A$3,"MA_HT","TSC","MA_QH","RPH")</f>
        <v>0</v>
      </c>
      <c r="N46" s="22">
        <f ca="1">+GETPIVOTDATA("XSR4",'suoirao (2016)'!$A$3,"MA_HT","TSC","MA_QH","RDD")</f>
        <v>0</v>
      </c>
      <c r="O46" s="22">
        <f ca="1">+GETPIVOTDATA("XSR4",'suoirao (2016)'!$A$3,"MA_HT","TSC","MA_QH","NTS")</f>
        <v>0</v>
      </c>
      <c r="P46" s="22">
        <f ca="1">+GETPIVOTDATA("XSR4",'suoirao (2016)'!$A$3,"MA_HT","TSC","MA_QH","LMU")</f>
        <v>0</v>
      </c>
      <c r="Q46" s="22">
        <f ca="1">+GETPIVOTDATA("XSR4",'suoirao (2016)'!$A$3,"MA_HT","TSC","MA_QH","NKH")</f>
        <v>0</v>
      </c>
      <c r="R46" s="48">
        <f ca="1">SUM(S46:AA46,AN46:AR46,AT46:BD46)</f>
        <v>0</v>
      </c>
      <c r="S46" s="22">
        <f ca="1">+GETPIVOTDATA("XSR4",'suoirao (2016)'!$A$3,"MA_HT","TSC","MA_QH","CQP")</f>
        <v>0</v>
      </c>
      <c r="T46" s="22">
        <f ca="1">+GETPIVOTDATA("XSR4",'suoirao (2016)'!$A$3,"MA_HT","TSC","MA_QH","CAN")</f>
        <v>0</v>
      </c>
      <c r="U46" s="22">
        <f ca="1">+GETPIVOTDATA("XSR4",'suoirao (2016)'!$A$3,"MA_HT","TSC","MA_QH","SKK")</f>
        <v>0</v>
      </c>
      <c r="V46" s="22">
        <f ca="1">+GETPIVOTDATA("XSR4",'suoirao (2016)'!$A$3,"MA_HT","TSC","MA_QH","SKT")</f>
        <v>0</v>
      </c>
      <c r="W46" s="22">
        <f ca="1">+GETPIVOTDATA("XSR4",'suoirao (2016)'!$A$3,"MA_HT","TSC","MA_QH","SKN")</f>
        <v>0</v>
      </c>
      <c r="X46" s="22">
        <f ca="1">+GETPIVOTDATA("XSR4",'suoirao (2016)'!$A$3,"MA_HT","TSC","MA_QH","TMD")</f>
        <v>0</v>
      </c>
      <c r="Y46" s="22">
        <f ca="1">+GETPIVOTDATA("XSR4",'suoirao (2016)'!$A$3,"MA_HT","TSC","MA_QH","SKC")</f>
        <v>0</v>
      </c>
      <c r="Z46" s="22">
        <f ca="1">+GETPIVOTDATA("XSR4",'suoirao (2016)'!$A$3,"MA_HT","TSC","MA_QH","SKS")</f>
        <v>0</v>
      </c>
      <c r="AA46" s="52">
        <f ca="1" t="shared" si="21"/>
        <v>0</v>
      </c>
      <c r="AB46" s="22">
        <f ca="1">+GETPIVOTDATA("XSR4",'suoirao (2016)'!$A$3,"MA_HT","TSC","MA_QH","DGT")</f>
        <v>0</v>
      </c>
      <c r="AC46" s="22">
        <f ca="1">+GETPIVOTDATA("XSR4",'suoirao (2016)'!$A$3,"MA_HT","TSC","MA_QH","DTL")</f>
        <v>0</v>
      </c>
      <c r="AD46" s="22">
        <f ca="1">+GETPIVOTDATA("XSR4",'suoirao (2016)'!$A$3,"MA_HT","TSC","MA_QH","DNL")</f>
        <v>0</v>
      </c>
      <c r="AE46" s="22">
        <f ca="1">+GETPIVOTDATA("XSR4",'suoirao (2016)'!$A$3,"MA_HT","TSC","MA_QH","DBV")</f>
        <v>0</v>
      </c>
      <c r="AF46" s="22">
        <f ca="1">+GETPIVOTDATA("XSR4",'suoirao (2016)'!$A$3,"MA_HT","TSC","MA_QH","DVH")</f>
        <v>0</v>
      </c>
      <c r="AG46" s="22">
        <f ca="1">+GETPIVOTDATA("XSR4",'suoirao (2016)'!$A$3,"MA_HT","TSC","MA_QH","DYT")</f>
        <v>0</v>
      </c>
      <c r="AH46" s="22">
        <f ca="1">+GETPIVOTDATA("XSR4",'suoirao (2016)'!$A$3,"MA_HT","TSC","MA_QH","DGD")</f>
        <v>0</v>
      </c>
      <c r="AI46" s="22">
        <f ca="1">+GETPIVOTDATA("XSR4",'suoirao (2016)'!$A$3,"MA_HT","TSC","MA_QH","DTT")</f>
        <v>0</v>
      </c>
      <c r="AJ46" s="22">
        <f ca="1">+GETPIVOTDATA("XSR4",'suoirao (2016)'!$A$3,"MA_HT","TSC","MA_QH","NCK")</f>
        <v>0</v>
      </c>
      <c r="AK46" s="22">
        <f ca="1">+GETPIVOTDATA("XSR4",'suoirao (2016)'!$A$3,"MA_HT","TSC","MA_QH","DXH")</f>
        <v>0</v>
      </c>
      <c r="AL46" s="22">
        <f ca="1">+GETPIVOTDATA("XSR4",'suoirao (2016)'!$A$3,"MA_HT","TSC","MA_QH","DCH")</f>
        <v>0</v>
      </c>
      <c r="AM46" s="22">
        <f ca="1">+GETPIVOTDATA("XSR4",'suoirao (2016)'!$A$3,"MA_HT","TSC","MA_QH","DKG")</f>
        <v>0</v>
      </c>
      <c r="AN46" s="22">
        <f ca="1">+GETPIVOTDATA("XSR4",'suoirao (2016)'!$A$3,"MA_HT","TSC","MA_QH","DDT")</f>
        <v>0</v>
      </c>
      <c r="AO46" s="22">
        <f ca="1">+GETPIVOTDATA("XSR4",'suoirao (2016)'!$A$3,"MA_HT","TSC","MA_QH","DDL")</f>
        <v>0</v>
      </c>
      <c r="AP46" s="22">
        <f ca="1">+GETPIVOTDATA("XSR4",'suoirao (2016)'!$A$3,"MA_HT","TSC","MA_QH","DRA")</f>
        <v>0</v>
      </c>
      <c r="AQ46" s="22">
        <f ca="1">+GETPIVOTDATA("XSR4",'suoirao (2016)'!$A$3,"MA_HT","TSC","MA_QH","ONT")</f>
        <v>0</v>
      </c>
      <c r="AR46" s="22">
        <f ca="1">+GETPIVOTDATA("XSR4",'suoirao (2016)'!$A$3,"MA_HT","TSC","MA_QH","ODT")</f>
        <v>0</v>
      </c>
      <c r="AS46" s="43" t="e">
        <f ca="1">$D46-$BF46</f>
        <v>#REF!</v>
      </c>
      <c r="AT46" s="22">
        <f ca="1">+GETPIVOTDATA("XSR4",'suoirao (2016)'!$A$3,"MA_HT","TSC","MA_QH","DTS")</f>
        <v>0</v>
      </c>
      <c r="AU46" s="22">
        <f ca="1">+GETPIVOTDATA("XSR4",'suoirao (2016)'!$A$3,"MA_HT","TSC","MA_QH","DNG")</f>
        <v>0</v>
      </c>
      <c r="AV46" s="22">
        <f ca="1">+GETPIVOTDATA("XSR4",'suoirao (2016)'!$A$3,"MA_HT","TSC","MA_QH","TON")</f>
        <v>0</v>
      </c>
      <c r="AW46" s="22">
        <f ca="1">+GETPIVOTDATA("XSR4",'suoirao (2016)'!$A$3,"MA_HT","TSC","MA_QH","NTD")</f>
        <v>0</v>
      </c>
      <c r="AX46" s="22">
        <f ca="1">+GETPIVOTDATA("XSR4",'suoirao (2016)'!$A$3,"MA_HT","TSC","MA_QH","SKX")</f>
        <v>0</v>
      </c>
      <c r="AY46" s="22">
        <f ca="1">+GETPIVOTDATA("XSR4",'suoirao (2016)'!$A$3,"MA_HT","TSC","MA_QH","DSH")</f>
        <v>0</v>
      </c>
      <c r="AZ46" s="22">
        <f ca="1">+GETPIVOTDATA("XSR4",'suoirao (2016)'!$A$3,"MA_HT","TSC","MA_QH","DKV")</f>
        <v>0</v>
      </c>
      <c r="BA46" s="89">
        <f ca="1">+GETPIVOTDATA("XSR4",'suoirao (2016)'!$A$3,"MA_HT","TSC","MA_QH","TIN")</f>
        <v>0</v>
      </c>
      <c r="BB46" s="50">
        <f ca="1">+GETPIVOTDATA("XSR4",'suoirao (2016)'!$A$3,"MA_HT","TSC","MA_QH","SON")</f>
        <v>0</v>
      </c>
      <c r="BC46" s="50">
        <f ca="1">+GETPIVOTDATA("XSR4",'suoirao (2016)'!$A$3,"MA_HT","TSC","MA_QH","MNC")</f>
        <v>0</v>
      </c>
      <c r="BD46" s="22">
        <f ca="1">+GETPIVOTDATA("XSR4",'suoirao (2016)'!$A$3,"MA_HT","TSC","MA_QH","PNK")</f>
        <v>0</v>
      </c>
      <c r="BE46" s="71">
        <f ca="1">+GETPIVOTDATA("XSR4",'suoirao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+GETPIVOTDATA("XSR4",'suoirao (2016)'!$A$3,"MA_HT","DTS","MA_QH","LUC")</f>
        <v>0</v>
      </c>
      <c r="H47" s="60">
        <f ca="1">+GETPIVOTDATA("XSR4",'suoirao (2016)'!$A$3,"MA_HT","DTS","MA_QH","LUK")</f>
        <v>0</v>
      </c>
      <c r="I47" s="60">
        <f ca="1">+GETPIVOTDATA("XSR4",'suoirao (2016)'!$A$3,"MA_HT","DTS","MA_QH","LUN")</f>
        <v>0</v>
      </c>
      <c r="J47" s="60">
        <f ca="1">+GETPIVOTDATA("XSR4",'suoirao (2016)'!$A$3,"MA_HT","DTS","MA_QH","HNK")</f>
        <v>0</v>
      </c>
      <c r="K47" s="60">
        <f ca="1">+GETPIVOTDATA("XSR4",'suoirao (2016)'!$A$3,"MA_HT","DTS","MA_QH","CLN")</f>
        <v>0</v>
      </c>
      <c r="L47" s="60">
        <f ca="1">+GETPIVOTDATA("XSR4",'suoirao (2016)'!$A$3,"MA_HT","DTS","MA_QH","RSX")</f>
        <v>0</v>
      </c>
      <c r="M47" s="60">
        <f ca="1">+GETPIVOTDATA("XSR4",'suoirao (2016)'!$A$3,"MA_HT","DTS","MA_QH","RPH")</f>
        <v>0</v>
      </c>
      <c r="N47" s="60">
        <f ca="1">+GETPIVOTDATA("XSR4",'suoirao (2016)'!$A$3,"MA_HT","DTS","MA_QH","RDD")</f>
        <v>0</v>
      </c>
      <c r="O47" s="60">
        <f ca="1">+GETPIVOTDATA("XSR4",'suoirao (2016)'!$A$3,"MA_HT","DTS","MA_QH","NTS")</f>
        <v>0</v>
      </c>
      <c r="P47" s="60">
        <f ca="1">+GETPIVOTDATA("XSR4",'suoirao (2016)'!$A$3,"MA_HT","DTS","MA_QH","LMU")</f>
        <v>0</v>
      </c>
      <c r="Q47" s="60">
        <f ca="1">+GETPIVOTDATA("XSR4",'suoirao (2016)'!$A$3,"MA_HT","DTS","MA_QH","NKH")</f>
        <v>0</v>
      </c>
      <c r="R47" s="78">
        <f ca="1">SUM(S47:AA47,AN47:AS47,AU47:BD47)</f>
        <v>0</v>
      </c>
      <c r="S47" s="60">
        <f ca="1">+GETPIVOTDATA("XSR4",'suoirao (2016)'!$A$3,"MA_HT","DTS","MA_QH","CQP")</f>
        <v>0</v>
      </c>
      <c r="T47" s="60">
        <f ca="1">+GETPIVOTDATA("XSR4",'suoirao (2016)'!$A$3,"MA_HT","DTS","MA_QH","CAN")</f>
        <v>0</v>
      </c>
      <c r="U47" s="60">
        <f ca="1">+GETPIVOTDATA("XSR4",'suoirao (2016)'!$A$3,"MA_HT","DTS","MA_QH","SKK")</f>
        <v>0</v>
      </c>
      <c r="V47" s="60">
        <f ca="1">+GETPIVOTDATA("XSR4",'suoirao (2016)'!$A$3,"MA_HT","DTS","MA_QH","SKT")</f>
        <v>0</v>
      </c>
      <c r="W47" s="60">
        <f ca="1">+GETPIVOTDATA("XSR4",'suoirao (2016)'!$A$3,"MA_HT","DTS","MA_QH","SKN")</f>
        <v>0</v>
      </c>
      <c r="X47" s="60">
        <f ca="1">+GETPIVOTDATA("XSR4",'suoirao (2016)'!$A$3,"MA_HT","DTS","MA_QH","TMD")</f>
        <v>0</v>
      </c>
      <c r="Y47" s="60">
        <f ca="1">+GETPIVOTDATA("XSR4",'suoirao (2016)'!$A$3,"MA_HT","DTS","MA_QH","SKC")</f>
        <v>0</v>
      </c>
      <c r="Z47" s="60">
        <f ca="1">+GETPIVOTDATA("XSR4",'suoirao (2016)'!$A$3,"MA_HT","DTS","MA_QH","SKS")</f>
        <v>0</v>
      </c>
      <c r="AA47" s="59">
        <f ca="1" t="shared" si="21"/>
        <v>0</v>
      </c>
      <c r="AB47" s="60">
        <f ca="1">+GETPIVOTDATA("XSR4",'suoirao (2016)'!$A$3,"MA_HT","DTS","MA_QH","DGT")</f>
        <v>0</v>
      </c>
      <c r="AC47" s="60">
        <f ca="1">+GETPIVOTDATA("XSR4",'suoirao (2016)'!$A$3,"MA_HT","DTS","MA_QH","DTL")</f>
        <v>0</v>
      </c>
      <c r="AD47" s="60">
        <f ca="1">+GETPIVOTDATA("XSR4",'suoirao (2016)'!$A$3,"MA_HT","DTS","MA_QH","DNL")</f>
        <v>0</v>
      </c>
      <c r="AE47" s="60">
        <f ca="1">+GETPIVOTDATA("XSR4",'suoirao (2016)'!$A$3,"MA_HT","DTS","MA_QH","DBV")</f>
        <v>0</v>
      </c>
      <c r="AF47" s="60">
        <f ca="1">+GETPIVOTDATA("XSR4",'suoirao (2016)'!$A$3,"MA_HT","DTS","MA_QH","DVH")</f>
        <v>0</v>
      </c>
      <c r="AG47" s="60">
        <f ca="1">+GETPIVOTDATA("XSR4",'suoirao (2016)'!$A$3,"MA_HT","DTS","MA_QH","DYT")</f>
        <v>0</v>
      </c>
      <c r="AH47" s="60">
        <f ca="1">+GETPIVOTDATA("XSR4",'suoirao (2016)'!$A$3,"MA_HT","DTS","MA_QH","DGD")</f>
        <v>0</v>
      </c>
      <c r="AI47" s="60">
        <f ca="1">+GETPIVOTDATA("XSR4",'suoirao (2016)'!$A$3,"MA_HT","DTS","MA_QH","DTT")</f>
        <v>0</v>
      </c>
      <c r="AJ47" s="60">
        <f ca="1">+GETPIVOTDATA("XSR4",'suoirao (2016)'!$A$3,"MA_HT","DTS","MA_QH","NCK")</f>
        <v>0</v>
      </c>
      <c r="AK47" s="60">
        <f ca="1">+GETPIVOTDATA("XSR4",'suoirao (2016)'!$A$3,"MA_HT","DTS","MA_QH","DXH")</f>
        <v>0</v>
      </c>
      <c r="AL47" s="60">
        <f ca="1">+GETPIVOTDATA("XSR4",'suoirao (2016)'!$A$3,"MA_HT","DTS","MA_QH","DCH")</f>
        <v>0</v>
      </c>
      <c r="AM47" s="60">
        <f ca="1">+GETPIVOTDATA("XSR4",'suoirao (2016)'!$A$3,"MA_HT","DTS","MA_QH","DKG")</f>
        <v>0</v>
      </c>
      <c r="AN47" s="60">
        <f ca="1">+GETPIVOTDATA("XSR4",'suoirao (2016)'!$A$3,"MA_HT","DTS","MA_QH","DDT")</f>
        <v>0</v>
      </c>
      <c r="AO47" s="60">
        <f ca="1">+GETPIVOTDATA("XSR4",'suoirao (2016)'!$A$3,"MA_HT","DTS","MA_QH","DDL")</f>
        <v>0</v>
      </c>
      <c r="AP47" s="60">
        <f ca="1">+GETPIVOTDATA("XSR4",'suoirao (2016)'!$A$3,"MA_HT","DTS","MA_QH","DRA")</f>
        <v>0</v>
      </c>
      <c r="AQ47" s="60">
        <f ca="1">+GETPIVOTDATA("XSR4",'suoirao (2016)'!$A$3,"MA_HT","DTS","MA_QH","ONT")</f>
        <v>0</v>
      </c>
      <c r="AR47" s="60">
        <f ca="1">+GETPIVOTDATA("XSR4",'suoirao (2016)'!$A$3,"MA_HT","DTS","MA_QH","ODT")</f>
        <v>0</v>
      </c>
      <c r="AS47" s="60">
        <f ca="1">+GETPIVOTDATA("XSR4",'suoirao (2016)'!$A$3,"MA_HT","DTS","MA_QH","TSC")</f>
        <v>0</v>
      </c>
      <c r="AT47" s="81" t="e">
        <f ca="1">$D47-$BF47</f>
        <v>#REF!</v>
      </c>
      <c r="AU47" s="60">
        <f ca="1">+GETPIVOTDATA("XSR4",'suoirao (2016)'!$A$3,"MA_HT","DTS","MA_QH","DNG")</f>
        <v>0</v>
      </c>
      <c r="AV47" s="60">
        <f ca="1">+GETPIVOTDATA("XSR4",'suoirao (2016)'!$A$3,"MA_HT","DTS","MA_QH","TON")</f>
        <v>0</v>
      </c>
      <c r="AW47" s="60">
        <f ca="1">+GETPIVOTDATA("XSR4",'suoirao (2016)'!$A$3,"MA_HT","DTS","MA_QH","NTD")</f>
        <v>0</v>
      </c>
      <c r="AX47" s="60">
        <f ca="1">+GETPIVOTDATA("XSR4",'suoirao (2016)'!$A$3,"MA_HT","DTS","MA_QH","SKX")</f>
        <v>0</v>
      </c>
      <c r="AY47" s="60">
        <f ca="1">+GETPIVOTDATA("XSR4",'suoirao (2016)'!$A$3,"MA_HT","DTS","MA_QH","DSH")</f>
        <v>0</v>
      </c>
      <c r="AZ47" s="60">
        <f ca="1">+GETPIVOTDATA("XSR4",'suoirao (2016)'!$A$3,"MA_HT","DTS","MA_QH","DKV")</f>
        <v>0</v>
      </c>
      <c r="BA47" s="90">
        <f ca="1">+GETPIVOTDATA("XSR4",'suoirao (2016)'!$A$3,"MA_HT","DTS","MA_QH","TIN")</f>
        <v>0</v>
      </c>
      <c r="BB47" s="91">
        <f ca="1">+GETPIVOTDATA("XSR4",'suoirao (2016)'!$A$3,"MA_HT","DTS","MA_QH","SON")</f>
        <v>0</v>
      </c>
      <c r="BC47" s="91">
        <f ca="1">+GETPIVOTDATA("XSR4",'suoirao (2016)'!$A$3,"MA_HT","DTS","MA_QH","MNC")</f>
        <v>0</v>
      </c>
      <c r="BD47" s="60">
        <f ca="1">+GETPIVOTDATA("XSR4",'suoirao (2016)'!$A$3,"MA_HT","DTS","MA_QH","PNK")</f>
        <v>0</v>
      </c>
      <c r="BE47" s="111">
        <f ca="1">+GETPIVOTDATA("XSR4",'suoirao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+GETPIVOTDATA("XSR4",'suoirao (2016)'!$A$3,"MA_HT","DNG","MA_QH","LUC")</f>
        <v>0</v>
      </c>
      <c r="H48" s="22">
        <f ca="1">+GETPIVOTDATA("XSR4",'suoirao (2016)'!$A$3,"MA_HT","DNG","MA_QH","LUK")</f>
        <v>0</v>
      </c>
      <c r="I48" s="22">
        <f ca="1">+GETPIVOTDATA("XSR4",'suoirao (2016)'!$A$3,"MA_HT","DNG","MA_QH","LUN")</f>
        <v>0</v>
      </c>
      <c r="J48" s="22">
        <f ca="1">+GETPIVOTDATA("XSR4",'suoirao (2016)'!$A$3,"MA_HT","DNG","MA_QH","HNK")</f>
        <v>0</v>
      </c>
      <c r="K48" s="22">
        <f ca="1">+GETPIVOTDATA("XSR4",'suoirao (2016)'!$A$3,"MA_HT","DNG","MA_QH","CLN")</f>
        <v>0</v>
      </c>
      <c r="L48" s="22">
        <f ca="1">+GETPIVOTDATA("XSR4",'suoirao (2016)'!$A$3,"MA_HT","DNG","MA_QH","RSX")</f>
        <v>0</v>
      </c>
      <c r="M48" s="22">
        <f ca="1">+GETPIVOTDATA("XSR4",'suoirao (2016)'!$A$3,"MA_HT","DNG","MA_QH","RPH")</f>
        <v>0</v>
      </c>
      <c r="N48" s="22">
        <f ca="1">+GETPIVOTDATA("XSR4",'suoirao (2016)'!$A$3,"MA_HT","DNG","MA_QH","RDD")</f>
        <v>0</v>
      </c>
      <c r="O48" s="22">
        <f ca="1">+GETPIVOTDATA("XSR4",'suoirao (2016)'!$A$3,"MA_HT","DNG","MA_QH","NTS")</f>
        <v>0</v>
      </c>
      <c r="P48" s="22">
        <f ca="1">+GETPIVOTDATA("XSR4",'suoirao (2016)'!$A$3,"MA_HT","DNG","MA_QH","LMU")</f>
        <v>0</v>
      </c>
      <c r="Q48" s="22">
        <f ca="1">+GETPIVOTDATA("XSR4",'suoirao (2016)'!$A$3,"MA_HT","DNG","MA_QH","NKH")</f>
        <v>0</v>
      </c>
      <c r="R48" s="79">
        <f ca="1">SUM(S48:AA48,AN48:AT48,AV48:BD48)</f>
        <v>0</v>
      </c>
      <c r="S48" s="22">
        <f ca="1">+GETPIVOTDATA("XSR4",'suoirao (2016)'!$A$3,"MA_HT","DNG","MA_QH","CQP")</f>
        <v>0</v>
      </c>
      <c r="T48" s="22">
        <f ca="1">+GETPIVOTDATA("XSR4",'suoirao (2016)'!$A$3,"MA_HT","DNG","MA_QH","CAN")</f>
        <v>0</v>
      </c>
      <c r="U48" s="22">
        <f ca="1">+GETPIVOTDATA("XSR4",'suoirao (2016)'!$A$3,"MA_HT","DNG","MA_QH","SKK")</f>
        <v>0</v>
      </c>
      <c r="V48" s="22">
        <f ca="1">+GETPIVOTDATA("XSR4",'suoirao (2016)'!$A$3,"MA_HT","DNG","MA_QH","SKT")</f>
        <v>0</v>
      </c>
      <c r="W48" s="22">
        <f ca="1">+GETPIVOTDATA("XSR4",'suoirao (2016)'!$A$3,"MA_HT","DNG","MA_QH","SKN")</f>
        <v>0</v>
      </c>
      <c r="X48" s="22">
        <f ca="1">+GETPIVOTDATA("XSR4",'suoirao (2016)'!$A$3,"MA_HT","DNG","MA_QH","TMD")</f>
        <v>0</v>
      </c>
      <c r="Y48" s="22">
        <f ca="1">+GETPIVOTDATA("XSR4",'suoirao (2016)'!$A$3,"MA_HT","DNG","MA_QH","SKC")</f>
        <v>0</v>
      </c>
      <c r="Z48" s="22">
        <f ca="1">+GETPIVOTDATA("XSR4",'suoirao (2016)'!$A$3,"MA_HT","DNG","MA_QH","SKS")</f>
        <v>0</v>
      </c>
      <c r="AA48" s="52">
        <f ca="1" t="shared" si="21"/>
        <v>0</v>
      </c>
      <c r="AB48" s="22">
        <f ca="1">+GETPIVOTDATA("XSR4",'suoirao (2016)'!$A$3,"MA_HT","DNG","MA_QH","DGT")</f>
        <v>0</v>
      </c>
      <c r="AC48" s="22">
        <f ca="1">+GETPIVOTDATA("XSR4",'suoirao (2016)'!$A$3,"MA_HT","DNG","MA_QH","DTL")</f>
        <v>0</v>
      </c>
      <c r="AD48" s="22">
        <f ca="1">+GETPIVOTDATA("XSR4",'suoirao (2016)'!$A$3,"MA_HT","DNG","MA_QH","DNL")</f>
        <v>0</v>
      </c>
      <c r="AE48" s="22">
        <f ca="1">+GETPIVOTDATA("XSR4",'suoirao (2016)'!$A$3,"MA_HT","DNG","MA_QH","DBV")</f>
        <v>0</v>
      </c>
      <c r="AF48" s="22">
        <f ca="1">+GETPIVOTDATA("XSR4",'suoirao (2016)'!$A$3,"MA_HT","DNG","MA_QH","DVH")</f>
        <v>0</v>
      </c>
      <c r="AG48" s="22">
        <f ca="1">+GETPIVOTDATA("XSR4",'suoirao (2016)'!$A$3,"MA_HT","DNG","MA_QH","DYT")</f>
        <v>0</v>
      </c>
      <c r="AH48" s="22">
        <f ca="1">+GETPIVOTDATA("XSR4",'suoirao (2016)'!$A$3,"MA_HT","DNG","MA_QH","DGD")</f>
        <v>0</v>
      </c>
      <c r="AI48" s="22">
        <f ca="1">+GETPIVOTDATA("XSR4",'suoirao (2016)'!$A$3,"MA_HT","DNG","MA_QH","DTT")</f>
        <v>0</v>
      </c>
      <c r="AJ48" s="22">
        <f ca="1">+GETPIVOTDATA("XSR4",'suoirao (2016)'!$A$3,"MA_HT","DNG","MA_QH","NCK")</f>
        <v>0</v>
      </c>
      <c r="AK48" s="22">
        <f ca="1">+GETPIVOTDATA("XSR4",'suoirao (2016)'!$A$3,"MA_HT","DNG","MA_QH","DXH")</f>
        <v>0</v>
      </c>
      <c r="AL48" s="22">
        <f ca="1">+GETPIVOTDATA("XSR4",'suoirao (2016)'!$A$3,"MA_HT","DNG","MA_QH","DCH")</f>
        <v>0</v>
      </c>
      <c r="AM48" s="22">
        <f ca="1">+GETPIVOTDATA("XSR4",'suoirao (2016)'!$A$3,"MA_HT","DNG","MA_QH","DKG")</f>
        <v>0</v>
      </c>
      <c r="AN48" s="22">
        <f ca="1">+GETPIVOTDATA("XSR4",'suoirao (2016)'!$A$3,"MA_HT","DNG","MA_QH","DDT")</f>
        <v>0</v>
      </c>
      <c r="AO48" s="22">
        <f ca="1">+GETPIVOTDATA("XSR4",'suoirao (2016)'!$A$3,"MA_HT","DNG","MA_QH","DDL")</f>
        <v>0</v>
      </c>
      <c r="AP48" s="22">
        <f ca="1">+GETPIVOTDATA("XSR4",'suoirao (2016)'!$A$3,"MA_HT","DNG","MA_QH","DRA")</f>
        <v>0</v>
      </c>
      <c r="AQ48" s="22">
        <f ca="1">+GETPIVOTDATA("XSR4",'suoirao (2016)'!$A$3,"MA_HT","DNG","MA_QH","ONT")</f>
        <v>0</v>
      </c>
      <c r="AR48" s="22">
        <f ca="1">+GETPIVOTDATA("XSR4",'suoirao (2016)'!$A$3,"MA_HT","DNG","MA_QH","ODT")</f>
        <v>0</v>
      </c>
      <c r="AS48" s="22">
        <f ca="1">+GETPIVOTDATA("XSR4",'suoirao (2016)'!$A$3,"MA_HT","DNG","MA_QH","TSC")</f>
        <v>0</v>
      </c>
      <c r="AT48" s="22">
        <f ca="1">+GETPIVOTDATA("XSR4",'suoirao (2016)'!$A$3,"MA_HT","DNG","MA_QH","DTS")</f>
        <v>0</v>
      </c>
      <c r="AU48" s="43" t="e">
        <f ca="1">$D48-$BF48</f>
        <v>#REF!</v>
      </c>
      <c r="AV48" s="22">
        <f ca="1">+GETPIVOTDATA("XSR4",'suoirao (2016)'!$A$3,"MA_HT","DNG","MA_QH","TON")</f>
        <v>0</v>
      </c>
      <c r="AW48" s="22">
        <f ca="1">+GETPIVOTDATA("XSR4",'suoirao (2016)'!$A$3,"MA_HT","DNG","MA_QH","NTD")</f>
        <v>0</v>
      </c>
      <c r="AX48" s="22">
        <f ca="1">+GETPIVOTDATA("XSR4",'suoirao (2016)'!$A$3,"MA_HT","DNG","MA_QH","SKX")</f>
        <v>0</v>
      </c>
      <c r="AY48" s="22">
        <f ca="1">+GETPIVOTDATA("XSR4",'suoirao (2016)'!$A$3,"MA_HT","DNG","MA_QH","DSH")</f>
        <v>0</v>
      </c>
      <c r="AZ48" s="22">
        <f ca="1">+GETPIVOTDATA("XSR4",'suoirao (2016)'!$A$3,"MA_HT","DNG","MA_QH","DKV")</f>
        <v>0</v>
      </c>
      <c r="BA48" s="89">
        <f ca="1">+GETPIVOTDATA("XSR4",'suoirao (2016)'!$A$3,"MA_HT","DNG","MA_QH","TIN")</f>
        <v>0</v>
      </c>
      <c r="BB48" s="50">
        <f ca="1">+GETPIVOTDATA("XSR4",'suoirao (2016)'!$A$3,"MA_HT","DNG","MA_QH","SON")</f>
        <v>0</v>
      </c>
      <c r="BC48" s="50">
        <f ca="1">+GETPIVOTDATA("XSR4",'suoirao (2016)'!$A$3,"MA_HT","DNG","MA_QH","MNC")</f>
        <v>0</v>
      </c>
      <c r="BD48" s="22">
        <f ca="1">+GETPIVOTDATA("XSR4",'suoirao (2016)'!$A$3,"MA_HT","DNG","MA_QH","PNK")</f>
        <v>0</v>
      </c>
      <c r="BE48" s="71">
        <f ca="1">+GETPIVOTDATA("XSR4",'suoirao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+GETPIVOTDATA("XSR4",'suoirao (2016)'!$A$3,"MA_HT","TON","MA_QH","LUC")</f>
        <v>0</v>
      </c>
      <c r="H49" s="22">
        <f ca="1">+GETPIVOTDATA("XSR4",'suoirao (2016)'!$A$3,"MA_HT","TON","MA_QH","LUK")</f>
        <v>0</v>
      </c>
      <c r="I49" s="22">
        <f ca="1">+GETPIVOTDATA("XSR4",'suoirao (2016)'!$A$3,"MA_HT","TON","MA_QH","LUN")</f>
        <v>0</v>
      </c>
      <c r="J49" s="22">
        <f ca="1">+GETPIVOTDATA("XSR4",'suoirao (2016)'!$A$3,"MA_HT","TON","MA_QH","HNK")</f>
        <v>0</v>
      </c>
      <c r="K49" s="22">
        <f ca="1">+GETPIVOTDATA("XSR4",'suoirao (2016)'!$A$3,"MA_HT","TON","MA_QH","CLN")</f>
        <v>0</v>
      </c>
      <c r="L49" s="22">
        <f ca="1">+GETPIVOTDATA("XSR4",'suoirao (2016)'!$A$3,"MA_HT","TON","MA_QH","RSX")</f>
        <v>0</v>
      </c>
      <c r="M49" s="22">
        <f ca="1">+GETPIVOTDATA("XSR4",'suoirao (2016)'!$A$3,"MA_HT","TON","MA_QH","RPH")</f>
        <v>0</v>
      </c>
      <c r="N49" s="22">
        <f ca="1">+GETPIVOTDATA("XSR4",'suoirao (2016)'!$A$3,"MA_HT","TON","MA_QH","RDD")</f>
        <v>0</v>
      </c>
      <c r="O49" s="22">
        <f ca="1">+GETPIVOTDATA("XSR4",'suoirao (2016)'!$A$3,"MA_HT","TON","MA_QH","NTS")</f>
        <v>0</v>
      </c>
      <c r="P49" s="22">
        <f ca="1">+GETPIVOTDATA("XSR4",'suoirao (2016)'!$A$3,"MA_HT","TON","MA_QH","LMU")</f>
        <v>0</v>
      </c>
      <c r="Q49" s="22">
        <f ca="1">+GETPIVOTDATA("XSR4",'suoirao (2016)'!$A$3,"MA_HT","TON","MA_QH","NKH")</f>
        <v>0</v>
      </c>
      <c r="R49" s="79">
        <f ca="1">SUM(S49:AA49,AN49:AU49,AW49:BD49)</f>
        <v>0</v>
      </c>
      <c r="S49" s="22">
        <f ca="1">+GETPIVOTDATA("XSR4",'suoirao (2016)'!$A$3,"MA_HT","TON","MA_QH","CQP")</f>
        <v>0</v>
      </c>
      <c r="T49" s="22">
        <f ca="1">+GETPIVOTDATA("XSR4",'suoirao (2016)'!$A$3,"MA_HT","TON","MA_QH","CAN")</f>
        <v>0</v>
      </c>
      <c r="U49" s="22">
        <f ca="1">+GETPIVOTDATA("XSR4",'suoirao (2016)'!$A$3,"MA_HT","TON","MA_QH","SKK")</f>
        <v>0</v>
      </c>
      <c r="V49" s="22">
        <f ca="1">+GETPIVOTDATA("XSR4",'suoirao (2016)'!$A$3,"MA_HT","TON","MA_QH","SKT")</f>
        <v>0</v>
      </c>
      <c r="W49" s="22">
        <f ca="1">+GETPIVOTDATA("XSR4",'suoirao (2016)'!$A$3,"MA_HT","TON","MA_QH","SKN")</f>
        <v>0</v>
      </c>
      <c r="X49" s="22">
        <f ca="1">+GETPIVOTDATA("XSR4",'suoirao (2016)'!$A$3,"MA_HT","TON","MA_QH","TMD")</f>
        <v>0</v>
      </c>
      <c r="Y49" s="22">
        <f ca="1">+GETPIVOTDATA("XSR4",'suoirao (2016)'!$A$3,"MA_HT","TON","MA_QH","SKC")</f>
        <v>0</v>
      </c>
      <c r="Z49" s="22">
        <f ca="1">+GETPIVOTDATA("XSR4",'suoirao (2016)'!$A$3,"MA_HT","TON","MA_QH","SKS")</f>
        <v>0</v>
      </c>
      <c r="AA49" s="52">
        <f ca="1" t="shared" si="21"/>
        <v>0</v>
      </c>
      <c r="AB49" s="22">
        <f ca="1">+GETPIVOTDATA("XSR4",'suoirao (2016)'!$A$3,"MA_HT","TON","MA_QH","DGT")</f>
        <v>0</v>
      </c>
      <c r="AC49" s="22">
        <f ca="1">+GETPIVOTDATA("XSR4",'suoirao (2016)'!$A$3,"MA_HT","TON","MA_QH","DTL")</f>
        <v>0</v>
      </c>
      <c r="AD49" s="22">
        <f ca="1">+GETPIVOTDATA("XSR4",'suoirao (2016)'!$A$3,"MA_HT","TON","MA_QH","DNL")</f>
        <v>0</v>
      </c>
      <c r="AE49" s="22">
        <f ca="1">+GETPIVOTDATA("XSR4",'suoirao (2016)'!$A$3,"MA_HT","TON","MA_QH","DBV")</f>
        <v>0</v>
      </c>
      <c r="AF49" s="22">
        <f ca="1">+GETPIVOTDATA("XSR4",'suoirao (2016)'!$A$3,"MA_HT","TON","MA_QH","DVH")</f>
        <v>0</v>
      </c>
      <c r="AG49" s="22">
        <f ca="1">+GETPIVOTDATA("XSR4",'suoirao (2016)'!$A$3,"MA_HT","TON","MA_QH","DYT")</f>
        <v>0</v>
      </c>
      <c r="AH49" s="22">
        <f ca="1">+GETPIVOTDATA("XSR4",'suoirao (2016)'!$A$3,"MA_HT","TON","MA_QH","DGD")</f>
        <v>0</v>
      </c>
      <c r="AI49" s="22">
        <f ca="1">+GETPIVOTDATA("XSR4",'suoirao (2016)'!$A$3,"MA_HT","TON","MA_QH","DTT")</f>
        <v>0</v>
      </c>
      <c r="AJ49" s="22">
        <f ca="1">+GETPIVOTDATA("XSR4",'suoirao (2016)'!$A$3,"MA_HT","TON","MA_QH","NCK")</f>
        <v>0</v>
      </c>
      <c r="AK49" s="22">
        <f ca="1">+GETPIVOTDATA("XSR4",'suoirao (2016)'!$A$3,"MA_HT","TON","MA_QH","DXH")</f>
        <v>0</v>
      </c>
      <c r="AL49" s="22">
        <f ca="1">+GETPIVOTDATA("XSR4",'suoirao (2016)'!$A$3,"MA_HT","TON","MA_QH","DCH")</f>
        <v>0</v>
      </c>
      <c r="AM49" s="22">
        <f ca="1">+GETPIVOTDATA("XSR4",'suoirao (2016)'!$A$3,"MA_HT","TON","MA_QH","DKG")</f>
        <v>0</v>
      </c>
      <c r="AN49" s="22">
        <f ca="1">+GETPIVOTDATA("XSR4",'suoirao (2016)'!$A$3,"MA_HT","TON","MA_QH","DDT")</f>
        <v>0</v>
      </c>
      <c r="AO49" s="22">
        <f ca="1">+GETPIVOTDATA("XSR4",'suoirao (2016)'!$A$3,"MA_HT","TON","MA_QH","DDL")</f>
        <v>0</v>
      </c>
      <c r="AP49" s="22">
        <f ca="1">+GETPIVOTDATA("XSR4",'suoirao (2016)'!$A$3,"MA_HT","TON","MA_QH","DRA")</f>
        <v>0</v>
      </c>
      <c r="AQ49" s="22">
        <f ca="1">+GETPIVOTDATA("XSR4",'suoirao (2016)'!$A$3,"MA_HT","TON","MA_QH","ONT")</f>
        <v>0</v>
      </c>
      <c r="AR49" s="22">
        <f ca="1">+GETPIVOTDATA("XSR4",'suoirao (2016)'!$A$3,"MA_HT","TON","MA_QH","ODT")</f>
        <v>0</v>
      </c>
      <c r="AS49" s="22">
        <f ca="1">+GETPIVOTDATA("XSR4",'suoirao (2016)'!$A$3,"MA_HT","TON","MA_QH","TSC")</f>
        <v>0</v>
      </c>
      <c r="AT49" s="22">
        <f ca="1">+GETPIVOTDATA("XSR4",'suoirao (2016)'!$A$3,"MA_HT","TON","MA_QH","DTS")</f>
        <v>0</v>
      </c>
      <c r="AU49" s="22">
        <f ca="1">+GETPIVOTDATA("XSR4",'suoirao (2016)'!$A$3,"MA_HT","TON","MA_QH","DNG")</f>
        <v>0</v>
      </c>
      <c r="AV49" s="43" t="e">
        <f ca="1">$D49-$BF49</f>
        <v>#REF!</v>
      </c>
      <c r="AW49" s="22">
        <f ca="1">+GETPIVOTDATA("XSR4",'suoirao (2016)'!$A$3,"MA_HT","TON","MA_QH","NTD")</f>
        <v>0</v>
      </c>
      <c r="AX49" s="22">
        <f ca="1">+GETPIVOTDATA("XSR4",'suoirao (2016)'!$A$3,"MA_HT","TON","MA_QH","SKX")</f>
        <v>0</v>
      </c>
      <c r="AY49" s="22">
        <f ca="1">+GETPIVOTDATA("XSR4",'suoirao (2016)'!$A$3,"MA_HT","TON","MA_QH","DSH")</f>
        <v>0</v>
      </c>
      <c r="AZ49" s="22">
        <f ca="1">+GETPIVOTDATA("XSR4",'suoirao (2016)'!$A$3,"MA_HT","TON","MA_QH","DKV")</f>
        <v>0</v>
      </c>
      <c r="BA49" s="89">
        <f ca="1">+GETPIVOTDATA("XSR4",'suoirao (2016)'!$A$3,"MA_HT","TON","MA_QH","TIN")</f>
        <v>0</v>
      </c>
      <c r="BB49" s="50">
        <f ca="1">+GETPIVOTDATA("XSR4",'suoirao (2016)'!$A$3,"MA_HT","TON","MA_QH","SON")</f>
        <v>0</v>
      </c>
      <c r="BC49" s="50">
        <f ca="1">+GETPIVOTDATA("XSR4",'suoirao (2016)'!$A$3,"MA_HT","TON","MA_QH","MNC")</f>
        <v>0</v>
      </c>
      <c r="BD49" s="22">
        <f ca="1">+GETPIVOTDATA("XSR4",'suoirao (2016)'!$A$3,"MA_HT","TON","MA_QH","PNK")</f>
        <v>0</v>
      </c>
      <c r="BE49" s="71">
        <f ca="1">+GETPIVOTDATA("XSR4",'suoirao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+GETPIVOTDATA("XSR4",'suoirao (2016)'!$A$3,"MA_HT","NTD","MA_QH","LUC")</f>
        <v>0</v>
      </c>
      <c r="H50" s="22">
        <f ca="1">+GETPIVOTDATA("XSR4",'suoirao (2016)'!$A$3,"MA_HT","NTD","MA_QH","LUK")</f>
        <v>0</v>
      </c>
      <c r="I50" s="22">
        <f ca="1">+GETPIVOTDATA("XSR4",'suoirao (2016)'!$A$3,"MA_HT","NTD","MA_QH","LUN")</f>
        <v>0</v>
      </c>
      <c r="J50" s="22">
        <f ca="1">+GETPIVOTDATA("XSR4",'suoirao (2016)'!$A$3,"MA_HT","NTD","MA_QH","HNK")</f>
        <v>0</v>
      </c>
      <c r="K50" s="22">
        <f ca="1">+GETPIVOTDATA("XSR4",'suoirao (2016)'!$A$3,"MA_HT","NTD","MA_QH","CLN")</f>
        <v>0</v>
      </c>
      <c r="L50" s="22">
        <f ca="1">+GETPIVOTDATA("XSR4",'suoirao (2016)'!$A$3,"MA_HT","NTD","MA_QH","RSX")</f>
        <v>0</v>
      </c>
      <c r="M50" s="22">
        <f ca="1">+GETPIVOTDATA("XSR4",'suoirao (2016)'!$A$3,"MA_HT","NTD","MA_QH","RPH")</f>
        <v>0</v>
      </c>
      <c r="N50" s="22">
        <f ca="1">+GETPIVOTDATA("XSR4",'suoirao (2016)'!$A$3,"MA_HT","NTD","MA_QH","RDD")</f>
        <v>0</v>
      </c>
      <c r="O50" s="22">
        <f ca="1">+GETPIVOTDATA("XSR4",'suoirao (2016)'!$A$3,"MA_HT","NTD","MA_QH","NTS")</f>
        <v>0</v>
      </c>
      <c r="P50" s="22">
        <f ca="1">+GETPIVOTDATA("XSR4",'suoirao (2016)'!$A$3,"MA_HT","NTD","MA_QH","LMU")</f>
        <v>0</v>
      </c>
      <c r="Q50" s="22">
        <f ca="1">+GETPIVOTDATA("XSR4",'suoirao (2016)'!$A$3,"MA_HT","NTD","MA_QH","NKH")</f>
        <v>0</v>
      </c>
      <c r="R50" s="79">
        <f ca="1">SUM(S50:AA50,AN50:AV50,AX50:BD50)</f>
        <v>0</v>
      </c>
      <c r="S50" s="22">
        <f ca="1">+GETPIVOTDATA("XSR4",'suoirao (2016)'!$A$3,"MA_HT","NTD","MA_QH","CQP")</f>
        <v>0</v>
      </c>
      <c r="T50" s="22">
        <f ca="1">+GETPIVOTDATA("XSR4",'suoirao (2016)'!$A$3,"MA_HT","NTD","MA_QH","CAN")</f>
        <v>0</v>
      </c>
      <c r="U50" s="22">
        <f ca="1">+GETPIVOTDATA("XSR4",'suoirao (2016)'!$A$3,"MA_HT","NTD","MA_QH","SKK")</f>
        <v>0</v>
      </c>
      <c r="V50" s="22">
        <f ca="1">+GETPIVOTDATA("XSR4",'suoirao (2016)'!$A$3,"MA_HT","NTD","MA_QH","SKT")</f>
        <v>0</v>
      </c>
      <c r="W50" s="22">
        <f ca="1">+GETPIVOTDATA("XSR4",'suoirao (2016)'!$A$3,"MA_HT","NTD","MA_QH","SKN")</f>
        <v>0</v>
      </c>
      <c r="X50" s="22">
        <f ca="1">+GETPIVOTDATA("XSR4",'suoirao (2016)'!$A$3,"MA_HT","NTD","MA_QH","TMD")</f>
        <v>0</v>
      </c>
      <c r="Y50" s="22">
        <f ca="1">+GETPIVOTDATA("XSR4",'suoirao (2016)'!$A$3,"MA_HT","NTD","MA_QH","SKC")</f>
        <v>0</v>
      </c>
      <c r="Z50" s="22">
        <f ca="1">+GETPIVOTDATA("XSR4",'suoirao (2016)'!$A$3,"MA_HT","NTD","MA_QH","SKS")</f>
        <v>0</v>
      </c>
      <c r="AA50" s="52">
        <f ca="1" t="shared" si="21"/>
        <v>0</v>
      </c>
      <c r="AB50" s="22">
        <f ca="1">+GETPIVOTDATA("XSR4",'suoirao (2016)'!$A$3,"MA_HT","NTD","MA_QH","DGT")</f>
        <v>0</v>
      </c>
      <c r="AC50" s="22">
        <f ca="1">+GETPIVOTDATA("XSR4",'suoirao (2016)'!$A$3,"MA_HT","NTD","MA_QH","DTL")</f>
        <v>0</v>
      </c>
      <c r="AD50" s="22">
        <f ca="1">+GETPIVOTDATA("XSR4",'suoirao (2016)'!$A$3,"MA_HT","NTD","MA_QH","DNL")</f>
        <v>0</v>
      </c>
      <c r="AE50" s="22">
        <f ca="1">+GETPIVOTDATA("XSR4",'suoirao (2016)'!$A$3,"MA_HT","NTD","MA_QH","DBV")</f>
        <v>0</v>
      </c>
      <c r="AF50" s="22">
        <f ca="1">+GETPIVOTDATA("XSR4",'suoirao (2016)'!$A$3,"MA_HT","NTD","MA_QH","DVH")</f>
        <v>0</v>
      </c>
      <c r="AG50" s="22">
        <f ca="1">+GETPIVOTDATA("XSR4",'suoirao (2016)'!$A$3,"MA_HT","NTD","MA_QH","DYT")</f>
        <v>0</v>
      </c>
      <c r="AH50" s="22">
        <f ca="1">+GETPIVOTDATA("XSR4",'suoirao (2016)'!$A$3,"MA_HT","NTD","MA_QH","DGD")</f>
        <v>0</v>
      </c>
      <c r="AI50" s="22">
        <f ca="1">+GETPIVOTDATA("XSR4",'suoirao (2016)'!$A$3,"MA_HT","NTD","MA_QH","DTT")</f>
        <v>0</v>
      </c>
      <c r="AJ50" s="22">
        <f ca="1">+GETPIVOTDATA("XSR4",'suoirao (2016)'!$A$3,"MA_HT","NTD","MA_QH","NCK")</f>
        <v>0</v>
      </c>
      <c r="AK50" s="22">
        <f ca="1">+GETPIVOTDATA("XSR4",'suoirao (2016)'!$A$3,"MA_HT","NTD","MA_QH","DXH")</f>
        <v>0</v>
      </c>
      <c r="AL50" s="22">
        <f ca="1">+GETPIVOTDATA("XSR4",'suoirao (2016)'!$A$3,"MA_HT","NTD","MA_QH","DCH")</f>
        <v>0</v>
      </c>
      <c r="AM50" s="22">
        <f ca="1">+GETPIVOTDATA("XSR4",'suoirao (2016)'!$A$3,"MA_HT","NTD","MA_QH","DKG")</f>
        <v>0</v>
      </c>
      <c r="AN50" s="22">
        <f ca="1">+GETPIVOTDATA("XSR4",'suoirao (2016)'!$A$3,"MA_HT","NTD","MA_QH","DDT")</f>
        <v>0</v>
      </c>
      <c r="AO50" s="22">
        <f ca="1">+GETPIVOTDATA("XSR4",'suoirao (2016)'!$A$3,"MA_HT","NTD","MA_QH","DDL")</f>
        <v>0</v>
      </c>
      <c r="AP50" s="22">
        <f ca="1">+GETPIVOTDATA("XSR4",'suoirao (2016)'!$A$3,"MA_HT","NTD","MA_QH","DRA")</f>
        <v>0</v>
      </c>
      <c r="AQ50" s="22">
        <f ca="1">+GETPIVOTDATA("XSR4",'suoirao (2016)'!$A$3,"MA_HT","NTD","MA_QH","ONT")</f>
        <v>0</v>
      </c>
      <c r="AR50" s="22">
        <f ca="1">+GETPIVOTDATA("XSR4",'suoirao (2016)'!$A$3,"MA_HT","NTD","MA_QH","ODT")</f>
        <v>0</v>
      </c>
      <c r="AS50" s="22">
        <f ca="1">+GETPIVOTDATA("XSR4",'suoirao (2016)'!$A$3,"MA_HT","NTD","MA_QH","TSC")</f>
        <v>0</v>
      </c>
      <c r="AT50" s="22">
        <f ca="1">+GETPIVOTDATA("XSR4",'suoirao (2016)'!$A$3,"MA_HT","NTD","MA_QH","DTS")</f>
        <v>0</v>
      </c>
      <c r="AU50" s="22">
        <f ca="1">+GETPIVOTDATA("XSR4",'suoirao (2016)'!$A$3,"MA_HT","NTD","MA_QH","DNG")</f>
        <v>0</v>
      </c>
      <c r="AV50" s="22">
        <f ca="1">+GETPIVOTDATA("XSR4",'suoirao (2016)'!$A$3,"MA_HT","NTD","MA_QH","TON")</f>
        <v>0</v>
      </c>
      <c r="AW50" s="43" t="e">
        <f ca="1">$D50-$BF50</f>
        <v>#REF!</v>
      </c>
      <c r="AX50" s="22">
        <f ca="1">+GETPIVOTDATA("XSR4",'suoirao (2016)'!$A$3,"MA_HT","NTD","MA_QH","SKX")</f>
        <v>0</v>
      </c>
      <c r="AY50" s="22">
        <f ca="1">+GETPIVOTDATA("XSR4",'suoirao (2016)'!$A$3,"MA_HT","NTD","MA_QH","DSH")</f>
        <v>0</v>
      </c>
      <c r="AZ50" s="22">
        <f ca="1">+GETPIVOTDATA("XSR4",'suoirao (2016)'!$A$3,"MA_HT","NTD","MA_QH","DKV")</f>
        <v>0</v>
      </c>
      <c r="BA50" s="89">
        <f ca="1">+GETPIVOTDATA("XSR4",'suoirao (2016)'!$A$3,"MA_HT","NTD","MA_QH","TIN")</f>
        <v>0</v>
      </c>
      <c r="BB50" s="50">
        <f ca="1">+GETPIVOTDATA("XSR4",'suoirao (2016)'!$A$3,"MA_HT","NTD","MA_QH","SON")</f>
        <v>0</v>
      </c>
      <c r="BC50" s="50">
        <f ca="1">+GETPIVOTDATA("XSR4",'suoirao (2016)'!$A$3,"MA_HT","NTD","MA_QH","MNC")</f>
        <v>0</v>
      </c>
      <c r="BD50" s="22">
        <f ca="1">+GETPIVOTDATA("XSR4",'suoirao (2016)'!$A$3,"MA_HT","NTD","MA_QH","PNK")</f>
        <v>0</v>
      </c>
      <c r="BE50" s="71">
        <f ca="1">+GETPIVOTDATA("XSR4",'suoirao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+GETPIVOTDATA("XSR4",'suoirao (2016)'!$A$3,"MA_HT","SKX","MA_QH","LUC")</f>
        <v>0</v>
      </c>
      <c r="H51" s="22">
        <f ca="1">+GETPIVOTDATA("XSR4",'suoirao (2016)'!$A$3,"MA_HT","SKX","MA_QH","LUK")</f>
        <v>0</v>
      </c>
      <c r="I51" s="22">
        <f ca="1">+GETPIVOTDATA("XSR4",'suoirao (2016)'!$A$3,"MA_HT","SKX","MA_QH","LUN")</f>
        <v>0</v>
      </c>
      <c r="J51" s="22">
        <f ca="1">+GETPIVOTDATA("XSR4",'suoirao (2016)'!$A$3,"MA_HT","SKX","MA_QH","HNK")</f>
        <v>0</v>
      </c>
      <c r="K51" s="22">
        <f ca="1">+GETPIVOTDATA("XSR4",'suoirao (2016)'!$A$3,"MA_HT","SKX","MA_QH","CLN")</f>
        <v>0</v>
      </c>
      <c r="L51" s="22">
        <f ca="1">+GETPIVOTDATA("XSR4",'suoirao (2016)'!$A$3,"MA_HT","SKX","MA_QH","RSX")</f>
        <v>0</v>
      </c>
      <c r="M51" s="22">
        <f ca="1">+GETPIVOTDATA("XSR4",'suoirao (2016)'!$A$3,"MA_HT","SKX","MA_QH","RPH")</f>
        <v>0</v>
      </c>
      <c r="N51" s="22">
        <f ca="1">+GETPIVOTDATA("XSR4",'suoirao (2016)'!$A$3,"MA_HT","SKX","MA_QH","RDD")</f>
        <v>0</v>
      </c>
      <c r="O51" s="22">
        <f ca="1">+GETPIVOTDATA("XSR4",'suoirao (2016)'!$A$3,"MA_HT","SKX","MA_QH","NTS")</f>
        <v>0</v>
      </c>
      <c r="P51" s="22">
        <f ca="1">+GETPIVOTDATA("XSR4",'suoirao (2016)'!$A$3,"MA_HT","SKX","MA_QH","LMU")</f>
        <v>0</v>
      </c>
      <c r="Q51" s="22">
        <f ca="1">+GETPIVOTDATA("XSR4",'suoirao (2016)'!$A$3,"MA_HT","SKX","MA_QH","NKH")</f>
        <v>0</v>
      </c>
      <c r="R51" s="79">
        <f ca="1">SUM(S51:AA51,AN51:AW51,AY51:BD51)</f>
        <v>0</v>
      </c>
      <c r="S51" s="22">
        <f ca="1">+GETPIVOTDATA("XSR4",'suoirao (2016)'!$A$3,"MA_HT","SKX","MA_QH","CQP")</f>
        <v>0</v>
      </c>
      <c r="T51" s="22">
        <f ca="1">+GETPIVOTDATA("XSR4",'suoirao (2016)'!$A$3,"MA_HT","SKX","MA_QH","CAN")</f>
        <v>0</v>
      </c>
      <c r="U51" s="22">
        <f ca="1">+GETPIVOTDATA("XSR4",'suoirao (2016)'!$A$3,"MA_HT","SKX","MA_QH","SKK")</f>
        <v>0</v>
      </c>
      <c r="V51" s="22">
        <f ca="1">+GETPIVOTDATA("XSR4",'suoirao (2016)'!$A$3,"MA_HT","SKX","MA_QH","SKT")</f>
        <v>0</v>
      </c>
      <c r="W51" s="22">
        <f ca="1">+GETPIVOTDATA("XSR4",'suoirao (2016)'!$A$3,"MA_HT","SKX","MA_QH","SKN")</f>
        <v>0</v>
      </c>
      <c r="X51" s="22">
        <f ca="1">+GETPIVOTDATA("XSR4",'suoirao (2016)'!$A$3,"MA_HT","SKX","MA_QH","TMD")</f>
        <v>0</v>
      </c>
      <c r="Y51" s="22">
        <f ca="1">+GETPIVOTDATA("XSR4",'suoirao (2016)'!$A$3,"MA_HT","SKX","MA_QH","SKC")</f>
        <v>0</v>
      </c>
      <c r="Z51" s="22">
        <f ca="1">+GETPIVOTDATA("XSR4",'suoirao (2016)'!$A$3,"MA_HT","SKX","MA_QH","SKS")</f>
        <v>0</v>
      </c>
      <c r="AA51" s="52">
        <f ca="1" t="shared" si="21"/>
        <v>0</v>
      </c>
      <c r="AB51" s="22">
        <f ca="1">+GETPIVOTDATA("XSR4",'suoirao (2016)'!$A$3,"MA_HT","SKX","MA_QH","DGT")</f>
        <v>0</v>
      </c>
      <c r="AC51" s="22">
        <f ca="1">+GETPIVOTDATA("XSR4",'suoirao (2016)'!$A$3,"MA_HT","SKX","MA_QH","DTL")</f>
        <v>0</v>
      </c>
      <c r="AD51" s="22">
        <f ca="1">+GETPIVOTDATA("XSR4",'suoirao (2016)'!$A$3,"MA_HT","SKX","MA_QH","DNL")</f>
        <v>0</v>
      </c>
      <c r="AE51" s="22">
        <f ca="1">+GETPIVOTDATA("XSR4",'suoirao (2016)'!$A$3,"MA_HT","SKX","MA_QH","DBV")</f>
        <v>0</v>
      </c>
      <c r="AF51" s="22">
        <f ca="1">+GETPIVOTDATA("XSR4",'suoirao (2016)'!$A$3,"MA_HT","SKX","MA_QH","DVH")</f>
        <v>0</v>
      </c>
      <c r="AG51" s="22">
        <f ca="1">+GETPIVOTDATA("XSR4",'suoirao (2016)'!$A$3,"MA_HT","SKX","MA_QH","DYT")</f>
        <v>0</v>
      </c>
      <c r="AH51" s="22">
        <f ca="1">+GETPIVOTDATA("XSR4",'suoirao (2016)'!$A$3,"MA_HT","SKX","MA_QH","DGD")</f>
        <v>0</v>
      </c>
      <c r="AI51" s="22">
        <f ca="1">+GETPIVOTDATA("XSR4",'suoirao (2016)'!$A$3,"MA_HT","SKX","MA_QH","DTT")</f>
        <v>0</v>
      </c>
      <c r="AJ51" s="22">
        <f ca="1">+GETPIVOTDATA("XSR4",'suoirao (2016)'!$A$3,"MA_HT","SKX","MA_QH","NCK")</f>
        <v>0</v>
      </c>
      <c r="AK51" s="22">
        <f ca="1">+GETPIVOTDATA("XSR4",'suoirao (2016)'!$A$3,"MA_HT","SKX","MA_QH","DXH")</f>
        <v>0</v>
      </c>
      <c r="AL51" s="22">
        <f ca="1">+GETPIVOTDATA("XSR4",'suoirao (2016)'!$A$3,"MA_HT","SKX","MA_QH","DCH")</f>
        <v>0</v>
      </c>
      <c r="AM51" s="22">
        <f ca="1">+GETPIVOTDATA("XSR4",'suoirao (2016)'!$A$3,"MA_HT","SKX","MA_QH","DKG")</f>
        <v>0</v>
      </c>
      <c r="AN51" s="22">
        <f ca="1">+GETPIVOTDATA("XSR4",'suoirao (2016)'!$A$3,"MA_HT","SKX","MA_QH","DDT")</f>
        <v>0</v>
      </c>
      <c r="AO51" s="22">
        <f ca="1">+GETPIVOTDATA("XSR4",'suoirao (2016)'!$A$3,"MA_HT","SKX","MA_QH","DDL")</f>
        <v>0</v>
      </c>
      <c r="AP51" s="22">
        <f ca="1">+GETPIVOTDATA("XSR4",'suoirao (2016)'!$A$3,"MA_HT","SKX","MA_QH","DRA")</f>
        <v>0</v>
      </c>
      <c r="AQ51" s="22">
        <f ca="1">+GETPIVOTDATA("XSR4",'suoirao (2016)'!$A$3,"MA_HT","SKX","MA_QH","ONT")</f>
        <v>0</v>
      </c>
      <c r="AR51" s="22">
        <f ca="1">+GETPIVOTDATA("XSR4",'suoirao (2016)'!$A$3,"MA_HT","SKX","MA_QH","ODT")</f>
        <v>0</v>
      </c>
      <c r="AS51" s="22">
        <f ca="1">+GETPIVOTDATA("XSR4",'suoirao (2016)'!$A$3,"MA_HT","SKX","MA_QH","TSC")</f>
        <v>0</v>
      </c>
      <c r="AT51" s="22">
        <f ca="1">+GETPIVOTDATA("XSR4",'suoirao (2016)'!$A$3,"MA_HT","SKX","MA_QH","DTS")</f>
        <v>0</v>
      </c>
      <c r="AU51" s="22">
        <f ca="1">+GETPIVOTDATA("XSR4",'suoirao (2016)'!$A$3,"MA_HT","SKX","MA_QH","DNG")</f>
        <v>0</v>
      </c>
      <c r="AV51" s="22">
        <f ca="1">+GETPIVOTDATA("XSR4",'suoirao (2016)'!$A$3,"MA_HT","SKX","MA_QH","TON")</f>
        <v>0</v>
      </c>
      <c r="AW51" s="22">
        <f ca="1">+GETPIVOTDATA("XSR4",'suoirao (2016)'!$A$3,"MA_HT","SKX","MA_QH","NTD")</f>
        <v>0</v>
      </c>
      <c r="AX51" s="43" t="e">
        <f ca="1">$D51-$BF51</f>
        <v>#REF!</v>
      </c>
      <c r="AY51" s="22">
        <f ca="1">+GETPIVOTDATA("XSR4",'suoirao (2016)'!$A$3,"MA_HT","SKX","MA_QH","DSH")</f>
        <v>0</v>
      </c>
      <c r="AZ51" s="22">
        <f ca="1">+GETPIVOTDATA("XSR4",'suoirao (2016)'!$A$3,"MA_HT","SKX","MA_QH","DKV")</f>
        <v>0</v>
      </c>
      <c r="BA51" s="89">
        <f ca="1">+GETPIVOTDATA("XSR4",'suoirao (2016)'!$A$3,"MA_HT","SKX","MA_QH","TIN")</f>
        <v>0</v>
      </c>
      <c r="BB51" s="50">
        <f ca="1">+GETPIVOTDATA("XSR4",'suoirao (2016)'!$A$3,"MA_HT","SKX","MA_QH","SON")</f>
        <v>0</v>
      </c>
      <c r="BC51" s="50">
        <f ca="1">+GETPIVOTDATA("XSR4",'suoirao (2016)'!$A$3,"MA_HT","SKX","MA_QH","MNC")</f>
        <v>0</v>
      </c>
      <c r="BD51" s="22">
        <f ca="1">+GETPIVOTDATA("XSR4",'suoirao (2016)'!$A$3,"MA_HT","SKX","MA_QH","PNK")</f>
        <v>0</v>
      </c>
      <c r="BE51" s="71">
        <f ca="1">+GETPIVOTDATA("XSR4",'suoirao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+GETPIVOTDATA("XSR4",'suoirao (2016)'!$A$3,"MA_HT","DSH","MA_QH","LUC")</f>
        <v>0</v>
      </c>
      <c r="H52" s="22">
        <f ca="1">+GETPIVOTDATA("XSR4",'suoirao (2016)'!$A$3,"MA_HT","DSH","MA_QH","LUK")</f>
        <v>0</v>
      </c>
      <c r="I52" s="22">
        <f ca="1">+GETPIVOTDATA("XSR4",'suoirao (2016)'!$A$3,"MA_HT","DSH","MA_QH","LUN")</f>
        <v>0</v>
      </c>
      <c r="J52" s="22">
        <f ca="1">+GETPIVOTDATA("XSR4",'suoirao (2016)'!$A$3,"MA_HT","DSH","MA_QH","HNK")</f>
        <v>0</v>
      </c>
      <c r="K52" s="22">
        <f ca="1">+GETPIVOTDATA("XSR4",'suoirao (2016)'!$A$3,"MA_HT","DSH","MA_QH","CLN")</f>
        <v>0</v>
      </c>
      <c r="L52" s="22">
        <f ca="1">+GETPIVOTDATA("XSR4",'suoirao (2016)'!$A$3,"MA_HT","DSH","MA_QH","RSX")</f>
        <v>0</v>
      </c>
      <c r="M52" s="22">
        <f ca="1">+GETPIVOTDATA("XSR4",'suoirao (2016)'!$A$3,"MA_HT","DSH","MA_QH","RPH")</f>
        <v>0</v>
      </c>
      <c r="N52" s="22">
        <f ca="1">+GETPIVOTDATA("XSR4",'suoirao (2016)'!$A$3,"MA_HT","DSH","MA_QH","RDD")</f>
        <v>0</v>
      </c>
      <c r="O52" s="22">
        <f ca="1">+GETPIVOTDATA("XSR4",'suoirao (2016)'!$A$3,"MA_HT","DSH","MA_QH","NTS")</f>
        <v>0</v>
      </c>
      <c r="P52" s="22">
        <f ca="1">+GETPIVOTDATA("XSR4",'suoirao (2016)'!$A$3,"MA_HT","DSH","MA_QH","LMU")</f>
        <v>0</v>
      </c>
      <c r="Q52" s="22">
        <f ca="1">+GETPIVOTDATA("XSR4",'suoirao (2016)'!$A$3,"MA_HT","DSH","MA_QH","NKH")</f>
        <v>0</v>
      </c>
      <c r="R52" s="79">
        <f ca="1">SUM(S52:AA52,AN52:AX52,AZ52:BD52)</f>
        <v>0</v>
      </c>
      <c r="S52" s="22">
        <f ca="1">+GETPIVOTDATA("XSR4",'suoirao (2016)'!$A$3,"MA_HT","DSH","MA_QH","CQP")</f>
        <v>0</v>
      </c>
      <c r="T52" s="22">
        <f ca="1">+GETPIVOTDATA("XSR4",'suoirao (2016)'!$A$3,"MA_HT","DSH","MA_QH","CAN")</f>
        <v>0</v>
      </c>
      <c r="U52" s="22">
        <f ca="1">+GETPIVOTDATA("XSR4",'suoirao (2016)'!$A$3,"MA_HT","DSH","MA_QH","SKK")</f>
        <v>0</v>
      </c>
      <c r="V52" s="22">
        <f ca="1">+GETPIVOTDATA("XSR4",'suoirao (2016)'!$A$3,"MA_HT","DSH","MA_QH","SKT")</f>
        <v>0</v>
      </c>
      <c r="W52" s="22">
        <f ca="1">+GETPIVOTDATA("XSR4",'suoirao (2016)'!$A$3,"MA_HT","DSH","MA_QH","SKN")</f>
        <v>0</v>
      </c>
      <c r="X52" s="22">
        <f ca="1">+GETPIVOTDATA("XSR4",'suoirao (2016)'!$A$3,"MA_HT","DSH","MA_QH","TMD")</f>
        <v>0</v>
      </c>
      <c r="Y52" s="22">
        <f ca="1">+GETPIVOTDATA("XSR4",'suoirao (2016)'!$A$3,"MA_HT","DSH","MA_QH","SKC")</f>
        <v>0</v>
      </c>
      <c r="Z52" s="22">
        <f ca="1">+GETPIVOTDATA("XSR4",'suoirao (2016)'!$A$3,"MA_HT","DSH","MA_QH","SKS")</f>
        <v>0</v>
      </c>
      <c r="AA52" s="52">
        <f ca="1" t="shared" si="21"/>
        <v>0</v>
      </c>
      <c r="AB52" s="22">
        <f ca="1">+GETPIVOTDATA("XSR4",'suoirao (2016)'!$A$3,"MA_HT","DSH","MA_QH","DGT")</f>
        <v>0</v>
      </c>
      <c r="AC52" s="22">
        <f ca="1">+GETPIVOTDATA("XSR4",'suoirao (2016)'!$A$3,"MA_HT","DSH","MA_QH","DTL")</f>
        <v>0</v>
      </c>
      <c r="AD52" s="22">
        <f ca="1">+GETPIVOTDATA("XSR4",'suoirao (2016)'!$A$3,"MA_HT","DSH","MA_QH","DNL")</f>
        <v>0</v>
      </c>
      <c r="AE52" s="22">
        <f ca="1">+GETPIVOTDATA("XSR4",'suoirao (2016)'!$A$3,"MA_HT","DSH","MA_QH","DBV")</f>
        <v>0</v>
      </c>
      <c r="AF52" s="22">
        <f ca="1">+GETPIVOTDATA("XSR4",'suoirao (2016)'!$A$3,"MA_HT","DSH","MA_QH","DVH")</f>
        <v>0</v>
      </c>
      <c r="AG52" s="22">
        <f ca="1">+GETPIVOTDATA("XSR4",'suoirao (2016)'!$A$3,"MA_HT","DSH","MA_QH","DYT")</f>
        <v>0</v>
      </c>
      <c r="AH52" s="22">
        <f ca="1">+GETPIVOTDATA("XSR4",'suoirao (2016)'!$A$3,"MA_HT","DSH","MA_QH","DGD")</f>
        <v>0</v>
      </c>
      <c r="AI52" s="22">
        <f ca="1">+GETPIVOTDATA("XSR4",'suoirao (2016)'!$A$3,"MA_HT","DSH","MA_QH","DTT")</f>
        <v>0</v>
      </c>
      <c r="AJ52" s="22">
        <f ca="1">+GETPIVOTDATA("XSR4",'suoirao (2016)'!$A$3,"MA_HT","DSH","MA_QH","NCK")</f>
        <v>0</v>
      </c>
      <c r="AK52" s="22">
        <f ca="1">+GETPIVOTDATA("XSR4",'suoirao (2016)'!$A$3,"MA_HT","DSH","MA_QH","DXH")</f>
        <v>0</v>
      </c>
      <c r="AL52" s="22">
        <f ca="1">+GETPIVOTDATA("XSR4",'suoirao (2016)'!$A$3,"MA_HT","DSH","MA_QH","DCH")</f>
        <v>0</v>
      </c>
      <c r="AM52" s="22">
        <f ca="1">+GETPIVOTDATA("XSR4",'suoirao (2016)'!$A$3,"MA_HT","DSH","MA_QH","DKG")</f>
        <v>0</v>
      </c>
      <c r="AN52" s="22">
        <f ca="1">+GETPIVOTDATA("XSR4",'suoirao (2016)'!$A$3,"MA_HT","DSH","MA_QH","DDT")</f>
        <v>0</v>
      </c>
      <c r="AO52" s="22">
        <f ca="1">+GETPIVOTDATA("XSR4",'suoirao (2016)'!$A$3,"MA_HT","DSH","MA_QH","DDL")</f>
        <v>0</v>
      </c>
      <c r="AP52" s="22">
        <f ca="1">+GETPIVOTDATA("XSR4",'suoirao (2016)'!$A$3,"MA_HT","DSH","MA_QH","DRA")</f>
        <v>0</v>
      </c>
      <c r="AQ52" s="22">
        <f ca="1">+GETPIVOTDATA("XSR4",'suoirao (2016)'!$A$3,"MA_HT","DSH","MA_QH","ONT")</f>
        <v>0</v>
      </c>
      <c r="AR52" s="22">
        <f ca="1">+GETPIVOTDATA("XSR4",'suoirao (2016)'!$A$3,"MA_HT","DSH","MA_QH","ODT")</f>
        <v>0</v>
      </c>
      <c r="AS52" s="22">
        <f ca="1">+GETPIVOTDATA("XSR4",'suoirao (2016)'!$A$3,"MA_HT","DSH","MA_QH","TSC")</f>
        <v>0</v>
      </c>
      <c r="AT52" s="22">
        <f ca="1">+GETPIVOTDATA("XSR4",'suoirao (2016)'!$A$3,"MA_HT","DSH","MA_QH","DTS")</f>
        <v>0</v>
      </c>
      <c r="AU52" s="22">
        <f ca="1">+GETPIVOTDATA("XSR4",'suoirao (2016)'!$A$3,"MA_HT","DSH","MA_QH","DNG")</f>
        <v>0</v>
      </c>
      <c r="AV52" s="22">
        <f ca="1">+GETPIVOTDATA("XSR4",'suoirao (2016)'!$A$3,"MA_HT","DSH","MA_QH","TON")</f>
        <v>0</v>
      </c>
      <c r="AW52" s="22">
        <f ca="1">+GETPIVOTDATA("XSR4",'suoirao (2016)'!$A$3,"MA_HT","DSH","MA_QH","NTD")</f>
        <v>0</v>
      </c>
      <c r="AX52" s="22">
        <f ca="1">+GETPIVOTDATA("XSR4",'suoirao (2016)'!$A$3,"MA_HT","DSH","MA_QH","SKX")</f>
        <v>0</v>
      </c>
      <c r="AY52" s="43" t="e">
        <f ca="1">$D52-$BF52</f>
        <v>#REF!</v>
      </c>
      <c r="AZ52" s="22">
        <f ca="1">+GETPIVOTDATA("XSR4",'suoirao (2016)'!$A$3,"MA_HT","DSH","MA_QH","DKV")</f>
        <v>0</v>
      </c>
      <c r="BA52" s="89">
        <f ca="1">+GETPIVOTDATA("XSR4",'suoirao (2016)'!$A$3,"MA_HT","DSH","MA_QH","TIN")</f>
        <v>0</v>
      </c>
      <c r="BB52" s="50">
        <f ca="1">+GETPIVOTDATA("XSR4",'suoirao (2016)'!$A$3,"MA_HT","DSH","MA_QH","SON")</f>
        <v>0</v>
      </c>
      <c r="BC52" s="50">
        <f ca="1">+GETPIVOTDATA("XSR4",'suoirao (2016)'!$A$3,"MA_HT","DSH","MA_QH","MNC")</f>
        <v>0</v>
      </c>
      <c r="BD52" s="22">
        <f ca="1">+GETPIVOTDATA("XSR4",'suoirao (2016)'!$A$3,"MA_HT","DSH","MA_QH","PNK")</f>
        <v>0</v>
      </c>
      <c r="BE52" s="71">
        <f ca="1">+GETPIVOTDATA("XSR4",'suoirao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+GETPIVOTDATA("XSR4",'suoirao (2016)'!$A$3,"MA_HT","DKV","MA_QH","LUC")</f>
        <v>0</v>
      </c>
      <c r="H53" s="22">
        <f ca="1">+GETPIVOTDATA("XSR4",'suoirao (2016)'!$A$3,"MA_HT","DKV","MA_QH","LUK")</f>
        <v>0</v>
      </c>
      <c r="I53" s="22">
        <f ca="1">+GETPIVOTDATA("XSR4",'suoirao (2016)'!$A$3,"MA_HT","DKV","MA_QH","LUN")</f>
        <v>0</v>
      </c>
      <c r="J53" s="22">
        <f ca="1">+GETPIVOTDATA("XSR4",'suoirao (2016)'!$A$3,"MA_HT","DKV","MA_QH","HNK")</f>
        <v>0</v>
      </c>
      <c r="K53" s="22">
        <f ca="1">+GETPIVOTDATA("XSR4",'suoirao (2016)'!$A$3,"MA_HT","DKV","MA_QH","CLN")</f>
        <v>0</v>
      </c>
      <c r="L53" s="22">
        <f ca="1">+GETPIVOTDATA("XSR4",'suoirao (2016)'!$A$3,"MA_HT","DKV","MA_QH","RSX")</f>
        <v>0</v>
      </c>
      <c r="M53" s="22">
        <f ca="1">+GETPIVOTDATA("XSR4",'suoirao (2016)'!$A$3,"MA_HT","DKV","MA_QH","RPH")</f>
        <v>0</v>
      </c>
      <c r="N53" s="22">
        <f ca="1">+GETPIVOTDATA("XSR4",'suoirao (2016)'!$A$3,"MA_HT","DKV","MA_QH","RDD")</f>
        <v>0</v>
      </c>
      <c r="O53" s="22">
        <f ca="1">+GETPIVOTDATA("XSR4",'suoirao (2016)'!$A$3,"MA_HT","DKV","MA_QH","NTS")</f>
        <v>0</v>
      </c>
      <c r="P53" s="22">
        <f ca="1">+GETPIVOTDATA("XSR4",'suoirao (2016)'!$A$3,"MA_HT","DKV","MA_QH","LMU")</f>
        <v>0</v>
      </c>
      <c r="Q53" s="22">
        <f ca="1">+GETPIVOTDATA("XSR4",'suoirao (2016)'!$A$3,"MA_HT","DKV","MA_QH","NKH")</f>
        <v>0</v>
      </c>
      <c r="R53" s="79">
        <f ca="1">SUM(S53:AA53,AN53:AY53,BB53:BD53)</f>
        <v>0</v>
      </c>
      <c r="S53" s="22">
        <f ca="1">+GETPIVOTDATA("XSR4",'suoirao (2016)'!$A$3,"MA_HT","DKV","MA_QH","CQP")</f>
        <v>0</v>
      </c>
      <c r="T53" s="22">
        <f ca="1">+GETPIVOTDATA("XSR4",'suoirao (2016)'!$A$3,"MA_HT","DKV","MA_QH","CAN")</f>
        <v>0</v>
      </c>
      <c r="U53" s="22">
        <f ca="1">+GETPIVOTDATA("XSR4",'suoirao (2016)'!$A$3,"MA_HT","DKV","MA_QH","SKK")</f>
        <v>0</v>
      </c>
      <c r="V53" s="22">
        <f ca="1">+GETPIVOTDATA("XSR4",'suoirao (2016)'!$A$3,"MA_HT","DKV","MA_QH","SKT")</f>
        <v>0</v>
      </c>
      <c r="W53" s="22">
        <f ca="1">+GETPIVOTDATA("XSR4",'suoirao (2016)'!$A$3,"MA_HT","DKV","MA_QH","SKN")</f>
        <v>0</v>
      </c>
      <c r="X53" s="22">
        <f ca="1">+GETPIVOTDATA("XSR4",'suoirao (2016)'!$A$3,"MA_HT","DKV","MA_QH","TMD")</f>
        <v>0</v>
      </c>
      <c r="Y53" s="22">
        <f ca="1">+GETPIVOTDATA("XSR4",'suoirao (2016)'!$A$3,"MA_HT","DKV","MA_QH","SKC")</f>
        <v>0</v>
      </c>
      <c r="Z53" s="22">
        <f ca="1">+GETPIVOTDATA("XSR4",'suoirao (2016)'!$A$3,"MA_HT","DKV","MA_QH","SKS")</f>
        <v>0</v>
      </c>
      <c r="AA53" s="52">
        <f ca="1" t="shared" si="21"/>
        <v>0</v>
      </c>
      <c r="AB53" s="22">
        <f ca="1">+GETPIVOTDATA("XSR4",'suoirao (2016)'!$A$3,"MA_HT","DKV","MA_QH","DGT")</f>
        <v>0</v>
      </c>
      <c r="AC53" s="22">
        <f ca="1">+GETPIVOTDATA("XSR4",'suoirao (2016)'!$A$3,"MA_HT","DKV","MA_QH","DTL")</f>
        <v>0</v>
      </c>
      <c r="AD53" s="22">
        <f ca="1">+GETPIVOTDATA("XSR4",'suoirao (2016)'!$A$3,"MA_HT","DKV","MA_QH","DNL")</f>
        <v>0</v>
      </c>
      <c r="AE53" s="22">
        <f ca="1">+GETPIVOTDATA("XSR4",'suoirao (2016)'!$A$3,"MA_HT","DKV","MA_QH","DBV")</f>
        <v>0</v>
      </c>
      <c r="AF53" s="22">
        <f ca="1">+GETPIVOTDATA("XSR4",'suoirao (2016)'!$A$3,"MA_HT","DKV","MA_QH","DVH")</f>
        <v>0</v>
      </c>
      <c r="AG53" s="22">
        <f ca="1">+GETPIVOTDATA("XSR4",'suoirao (2016)'!$A$3,"MA_HT","DKV","MA_QH","DYT")</f>
        <v>0</v>
      </c>
      <c r="AH53" s="22">
        <f ca="1">+GETPIVOTDATA("XSR4",'suoirao (2016)'!$A$3,"MA_HT","DKV","MA_QH","DGD")</f>
        <v>0</v>
      </c>
      <c r="AI53" s="22">
        <f ca="1">+GETPIVOTDATA("XSR4",'suoirao (2016)'!$A$3,"MA_HT","DKV","MA_QH","DTT")</f>
        <v>0</v>
      </c>
      <c r="AJ53" s="22">
        <f ca="1">+GETPIVOTDATA("XSR4",'suoirao (2016)'!$A$3,"MA_HT","DKV","MA_QH","NCK")</f>
        <v>0</v>
      </c>
      <c r="AK53" s="22">
        <f ca="1">+GETPIVOTDATA("XSR4",'suoirao (2016)'!$A$3,"MA_HT","DKV","MA_QH","DXH")</f>
        <v>0</v>
      </c>
      <c r="AL53" s="22">
        <f ca="1">+GETPIVOTDATA("XSR4",'suoirao (2016)'!$A$3,"MA_HT","DKV","MA_QH","DCH")</f>
        <v>0</v>
      </c>
      <c r="AM53" s="22">
        <f ca="1">+GETPIVOTDATA("XSR4",'suoirao (2016)'!$A$3,"MA_HT","DKV","MA_QH","DKG")</f>
        <v>0</v>
      </c>
      <c r="AN53" s="22">
        <f ca="1">+GETPIVOTDATA("XSR4",'suoirao (2016)'!$A$3,"MA_HT","DKV","MA_QH","DDT")</f>
        <v>0</v>
      </c>
      <c r="AO53" s="22">
        <f ca="1">+GETPIVOTDATA("XSR4",'suoirao (2016)'!$A$3,"MA_HT","DKV","MA_QH","DDL")</f>
        <v>0</v>
      </c>
      <c r="AP53" s="22">
        <f ca="1">+GETPIVOTDATA("XSR4",'suoirao (2016)'!$A$3,"MA_HT","DKV","MA_QH","DRA")</f>
        <v>0</v>
      </c>
      <c r="AQ53" s="22">
        <f ca="1">+GETPIVOTDATA("XSR4",'suoirao (2016)'!$A$3,"MA_HT","DKV","MA_QH","ONT")</f>
        <v>0</v>
      </c>
      <c r="AR53" s="22">
        <f ca="1">+GETPIVOTDATA("XSR4",'suoirao (2016)'!$A$3,"MA_HT","DKV","MA_QH","ODT")</f>
        <v>0</v>
      </c>
      <c r="AS53" s="22">
        <f ca="1">+GETPIVOTDATA("XSR4",'suoirao (2016)'!$A$3,"MA_HT","DKV","MA_QH","TSC")</f>
        <v>0</v>
      </c>
      <c r="AT53" s="22">
        <f ca="1">+GETPIVOTDATA("XSR4",'suoirao (2016)'!$A$3,"MA_HT","DKV","MA_QH","DTS")</f>
        <v>0</v>
      </c>
      <c r="AU53" s="22">
        <f ca="1">+GETPIVOTDATA("XSR4",'suoirao (2016)'!$A$3,"MA_HT","DKV","MA_QH","DNG")</f>
        <v>0</v>
      </c>
      <c r="AV53" s="22">
        <f ca="1">+GETPIVOTDATA("XSR4",'suoirao (2016)'!$A$3,"MA_HT","DKV","MA_QH","TON")</f>
        <v>0</v>
      </c>
      <c r="AW53" s="22">
        <f ca="1">+GETPIVOTDATA("XSR4",'suoirao (2016)'!$A$3,"MA_HT","DKV","MA_QH","NTD")</f>
        <v>0</v>
      </c>
      <c r="AX53" s="22">
        <f ca="1">+GETPIVOTDATA("XSR4",'suoirao (2016)'!$A$3,"MA_HT","DKV","MA_QH","SKX")</f>
        <v>0</v>
      </c>
      <c r="AY53" s="22">
        <f ca="1">+GETPIVOTDATA("XSR4",'suoirao (2016)'!$A$3,"MA_HT","DKV","MA_QH","DSH")</f>
        <v>0</v>
      </c>
      <c r="AZ53" s="43" t="e">
        <f ca="1">$D53-$BF53</f>
        <v>#REF!</v>
      </c>
      <c r="BA53" s="89">
        <f ca="1">+GETPIVOTDATA("XSR4",'suoirao (2016)'!$A$3,"MA_HT","DKV","MA_QH","TIN")</f>
        <v>0</v>
      </c>
      <c r="BB53" s="50">
        <f ca="1">+GETPIVOTDATA("XSR4",'suoirao (2016)'!$A$3,"MA_HT","DKV","MA_QH","SON")</f>
        <v>0</v>
      </c>
      <c r="BC53" s="50">
        <f ca="1">+GETPIVOTDATA("XSR4",'suoirao (2016)'!$A$3,"MA_HT","DKV","MA_QH","MNC")</f>
        <v>0</v>
      </c>
      <c r="BD53" s="22">
        <f ca="1">+GETPIVOTDATA("XSR4",'suoirao (2016)'!$A$3,"MA_HT","DKV","MA_QH","PNK")</f>
        <v>0</v>
      </c>
      <c r="BE53" s="71">
        <f ca="1">+GETPIVOTDATA("XSR4",'suoirao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+GETPIVOTDATA("XSR4",'suoirao (2016)'!$A$3,"MA_HT","TIN","MA_QH","LUC")</f>
        <v>0</v>
      </c>
      <c r="H54" s="22">
        <f ca="1">+GETPIVOTDATA("XSR4",'suoirao (2016)'!$A$3,"MA_HT","TIN","MA_QH","LUK")</f>
        <v>0</v>
      </c>
      <c r="I54" s="22">
        <f ca="1">+GETPIVOTDATA("XSR4",'suoirao (2016)'!$A$3,"MA_HT","TIN","MA_QH","LUN")</f>
        <v>0</v>
      </c>
      <c r="J54" s="22">
        <f ca="1">+GETPIVOTDATA("XSR4",'suoirao (2016)'!$A$3,"MA_HT","TIN","MA_QH","HNK")</f>
        <v>0</v>
      </c>
      <c r="K54" s="22">
        <f ca="1">+GETPIVOTDATA("XSR4",'suoirao (2016)'!$A$3,"MA_HT","TIN","MA_QH","CLN")</f>
        <v>0</v>
      </c>
      <c r="L54" s="22">
        <f ca="1">+GETPIVOTDATA("XSR4",'suoirao (2016)'!$A$3,"MA_HT","TIN","MA_QH","RSX")</f>
        <v>0</v>
      </c>
      <c r="M54" s="22">
        <f ca="1">+GETPIVOTDATA("XSR4",'suoirao (2016)'!$A$3,"MA_HT","TIN","MA_QH","RPH")</f>
        <v>0</v>
      </c>
      <c r="N54" s="22">
        <f ca="1">+GETPIVOTDATA("XSR4",'suoirao (2016)'!$A$3,"MA_HT","TIN","MA_QH","RDD")</f>
        <v>0</v>
      </c>
      <c r="O54" s="22">
        <f ca="1">+GETPIVOTDATA("XSR4",'suoirao (2016)'!$A$3,"MA_HT","TIN","MA_QH","NTS")</f>
        <v>0</v>
      </c>
      <c r="P54" s="22">
        <f ca="1">+GETPIVOTDATA("XSR4",'suoirao (2016)'!$A$3,"MA_HT","TIN","MA_QH","LMU")</f>
        <v>0</v>
      </c>
      <c r="Q54" s="22">
        <f ca="1">+GETPIVOTDATA("XSR4",'suoirao (2016)'!$A$3,"MA_HT","TIN","MA_QH","NKH")</f>
        <v>0</v>
      </c>
      <c r="R54" s="79">
        <f ca="1">SUM(S54:AA54,AN54:AZ54,BB54:BD54)</f>
        <v>0</v>
      </c>
      <c r="S54" s="22">
        <f ca="1">+GETPIVOTDATA("XSR4",'suoirao (2016)'!$A$3,"MA_HT","TIN","MA_QH","CQP")</f>
        <v>0</v>
      </c>
      <c r="T54" s="22">
        <f ca="1">+GETPIVOTDATA("XSR4",'suoirao (2016)'!$A$3,"MA_HT","TIN","MA_QH","CAN")</f>
        <v>0</v>
      </c>
      <c r="U54" s="22">
        <f ca="1">+GETPIVOTDATA("XSR4",'suoirao (2016)'!$A$3,"MA_HT","TIN","MA_QH","SKK")</f>
        <v>0</v>
      </c>
      <c r="V54" s="22">
        <f ca="1">+GETPIVOTDATA("XSR4",'suoirao (2016)'!$A$3,"MA_HT","TIN","MA_QH","SKT")</f>
        <v>0</v>
      </c>
      <c r="W54" s="22">
        <f ca="1">+GETPIVOTDATA("XSR4",'suoirao (2016)'!$A$3,"MA_HT","TIN","MA_QH","SKN")</f>
        <v>0</v>
      </c>
      <c r="X54" s="22">
        <f ca="1">+GETPIVOTDATA("XSR4",'suoirao (2016)'!$A$3,"MA_HT","TIN","MA_QH","TMD")</f>
        <v>0</v>
      </c>
      <c r="Y54" s="22">
        <f ca="1">+GETPIVOTDATA("XSR4",'suoirao (2016)'!$A$3,"MA_HT","TIN","MA_QH","SKC")</f>
        <v>0</v>
      </c>
      <c r="Z54" s="22">
        <f ca="1">+GETPIVOTDATA("XSR4",'suoirao (2016)'!$A$3,"MA_HT","TIN","MA_QH","SKS")</f>
        <v>0</v>
      </c>
      <c r="AA54" s="52">
        <f ca="1" t="shared" si="21"/>
        <v>0</v>
      </c>
      <c r="AB54" s="22">
        <f ca="1">+GETPIVOTDATA("XSR4",'suoirao (2016)'!$A$3,"MA_HT","TIN","MA_QH","DGT")</f>
        <v>0</v>
      </c>
      <c r="AC54" s="22">
        <f ca="1">+GETPIVOTDATA("XSR4",'suoirao (2016)'!$A$3,"MA_HT","TIN","MA_QH","DTL")</f>
        <v>0</v>
      </c>
      <c r="AD54" s="22">
        <f ca="1">+GETPIVOTDATA("XSR4",'suoirao (2016)'!$A$3,"MA_HT","TIN","MA_QH","DNL")</f>
        <v>0</v>
      </c>
      <c r="AE54" s="22">
        <f ca="1">+GETPIVOTDATA("XSR4",'suoirao (2016)'!$A$3,"MA_HT","TIN","MA_QH","DBV")</f>
        <v>0</v>
      </c>
      <c r="AF54" s="22">
        <f ca="1">+GETPIVOTDATA("XSR4",'suoirao (2016)'!$A$3,"MA_HT","TIN","MA_QH","DVH")</f>
        <v>0</v>
      </c>
      <c r="AG54" s="22">
        <f ca="1">+GETPIVOTDATA("XSR4",'suoirao (2016)'!$A$3,"MA_HT","TIN","MA_QH","DYT")</f>
        <v>0</v>
      </c>
      <c r="AH54" s="22">
        <f ca="1">+GETPIVOTDATA("XSR4",'suoirao (2016)'!$A$3,"MA_HT","TIN","MA_QH","DGD")</f>
        <v>0</v>
      </c>
      <c r="AI54" s="22">
        <f ca="1">+GETPIVOTDATA("XSR4",'suoirao (2016)'!$A$3,"MA_HT","TIN","MA_QH","DTT")</f>
        <v>0</v>
      </c>
      <c r="AJ54" s="22">
        <f ca="1">+GETPIVOTDATA("XSR4",'suoirao (2016)'!$A$3,"MA_HT","TIN","MA_QH","NCK")</f>
        <v>0</v>
      </c>
      <c r="AK54" s="22">
        <f ca="1">+GETPIVOTDATA("XSR4",'suoirao (2016)'!$A$3,"MA_HT","TIN","MA_QH","DXH")</f>
        <v>0</v>
      </c>
      <c r="AL54" s="22">
        <f ca="1">+GETPIVOTDATA("XSR4",'suoirao (2016)'!$A$3,"MA_HT","TIN","MA_QH","DCH")</f>
        <v>0</v>
      </c>
      <c r="AM54" s="22">
        <f ca="1">+GETPIVOTDATA("XSR4",'suoirao (2016)'!$A$3,"MA_HT","TIN","MA_QH","DKG")</f>
        <v>0</v>
      </c>
      <c r="AN54" s="22">
        <f ca="1">+GETPIVOTDATA("XSR4",'suoirao (2016)'!$A$3,"MA_HT","TIN","MA_QH","DDT")</f>
        <v>0</v>
      </c>
      <c r="AO54" s="22">
        <f ca="1">+GETPIVOTDATA("XSR4",'suoirao (2016)'!$A$3,"MA_HT","TIN","MA_QH","DDL")</f>
        <v>0</v>
      </c>
      <c r="AP54" s="22">
        <f ca="1">+GETPIVOTDATA("XSR4",'suoirao (2016)'!$A$3,"MA_HT","TIN","MA_QH","DRA")</f>
        <v>0</v>
      </c>
      <c r="AQ54" s="22">
        <f ca="1">+GETPIVOTDATA("XSR4",'suoirao (2016)'!$A$3,"MA_HT","TIN","MA_QH","ONT")</f>
        <v>0</v>
      </c>
      <c r="AR54" s="22">
        <f ca="1">+GETPIVOTDATA("XSR4",'suoirao (2016)'!$A$3,"MA_HT","TIN","MA_QH","ODT")</f>
        <v>0</v>
      </c>
      <c r="AS54" s="22">
        <f ca="1">+GETPIVOTDATA("XSR4",'suoirao (2016)'!$A$3,"MA_HT","TIN","MA_QH","TSC")</f>
        <v>0</v>
      </c>
      <c r="AT54" s="22">
        <f ca="1">+GETPIVOTDATA("XSR4",'suoirao (2016)'!$A$3,"MA_HT","TIN","MA_QH","DTS")</f>
        <v>0</v>
      </c>
      <c r="AU54" s="22">
        <f ca="1">+GETPIVOTDATA("XSR4",'suoirao (2016)'!$A$3,"MA_HT","TIN","MA_QH","DNG")</f>
        <v>0</v>
      </c>
      <c r="AV54" s="22">
        <f ca="1">+GETPIVOTDATA("XSR4",'suoirao (2016)'!$A$3,"MA_HT","TIN","MA_QH","TON")</f>
        <v>0</v>
      </c>
      <c r="AW54" s="22">
        <f ca="1">+GETPIVOTDATA("XSR4",'suoirao (2016)'!$A$3,"MA_HT","TIN","MA_QH","NTD")</f>
        <v>0</v>
      </c>
      <c r="AX54" s="22">
        <f ca="1">+GETPIVOTDATA("XSR4",'suoirao (2016)'!$A$3,"MA_HT","TIN","MA_QH","SKX")</f>
        <v>0</v>
      </c>
      <c r="AY54" s="22">
        <f ca="1">+GETPIVOTDATA("XSR4",'suoirao (2016)'!$A$3,"MA_HT","TIN","MA_QH","DSH")</f>
        <v>0</v>
      </c>
      <c r="AZ54" s="22">
        <f ca="1">+GETPIVOTDATA("XSR4",'suoirao (2016)'!$A$3,"MA_HT","TIN","MA_QH","DKV")</f>
        <v>0</v>
      </c>
      <c r="BA54" s="43" t="e">
        <f ca="1">$D54-$BF54</f>
        <v>#REF!</v>
      </c>
      <c r="BB54" s="22">
        <f ca="1">+GETPIVOTDATA("XSR4",'suoirao (2016)'!$A$3,"MA_HT","TIN","MA_QH","SON")</f>
        <v>0</v>
      </c>
      <c r="BC54" s="22">
        <f ca="1">+GETPIVOTDATA("XSR4",'suoirao (2016)'!$A$3,"MA_HT","TIN","MA_QH","MNC")</f>
        <v>0</v>
      </c>
      <c r="BD54" s="22">
        <f ca="1">+GETPIVOTDATA("XSR4",'suoirao (2016)'!$A$3,"MA_HT","TIN","MA_QH","PNK")</f>
        <v>0</v>
      </c>
      <c r="BE54" s="71">
        <f ca="1">+GETPIVOTDATA("XSR4",'suoirao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+GETPIVOTDATA("XSR4",'suoirao (2016)'!$A$3,"MA_HT","SON","MA_QH","LUC")</f>
        <v>0</v>
      </c>
      <c r="H55" s="22">
        <f ca="1">+GETPIVOTDATA("XSR4",'suoirao (2016)'!$A$3,"MA_HT","SON","MA_QH","LUK")</f>
        <v>0</v>
      </c>
      <c r="I55" s="22">
        <f ca="1">+GETPIVOTDATA("XSR4",'suoirao (2016)'!$A$3,"MA_HT","SON","MA_QH","LUN")</f>
        <v>0</v>
      </c>
      <c r="J55" s="22">
        <f ca="1">+GETPIVOTDATA("XSR4",'suoirao (2016)'!$A$3,"MA_HT","SON","MA_QH","HNK")</f>
        <v>0</v>
      </c>
      <c r="K55" s="22">
        <f ca="1">+GETPIVOTDATA("XSR4",'suoirao (2016)'!$A$3,"MA_HT","SON","MA_QH","CLN")</f>
        <v>0</v>
      </c>
      <c r="L55" s="22">
        <f ca="1">+GETPIVOTDATA("XSR4",'suoirao (2016)'!$A$3,"MA_HT","SON","MA_QH","RSX")</f>
        <v>0</v>
      </c>
      <c r="M55" s="22">
        <f ca="1">+GETPIVOTDATA("XSR4",'suoirao (2016)'!$A$3,"MA_HT","SON","MA_QH","RPH")</f>
        <v>0</v>
      </c>
      <c r="N55" s="22">
        <f ca="1">+GETPIVOTDATA("XSR4",'suoirao (2016)'!$A$3,"MA_HT","SON","MA_QH","RDD")</f>
        <v>0</v>
      </c>
      <c r="O55" s="22">
        <f ca="1">+GETPIVOTDATA("XSR4",'suoirao (2016)'!$A$3,"MA_HT","SON","MA_QH","NTS")</f>
        <v>0</v>
      </c>
      <c r="P55" s="22">
        <f ca="1">+GETPIVOTDATA("XSR4",'suoirao (2016)'!$A$3,"MA_HT","SON","MA_QH","LMU")</f>
        <v>0</v>
      </c>
      <c r="Q55" s="22">
        <f ca="1">+GETPIVOTDATA("XSR4",'suoirao (2016)'!$A$3,"MA_HT","SON","MA_QH","NKH")</f>
        <v>0</v>
      </c>
      <c r="R55" s="79">
        <f ca="1">SUM(S55:AA55,AN55:AZ55,BC55:BD55)</f>
        <v>0</v>
      </c>
      <c r="S55" s="22">
        <f ca="1">+GETPIVOTDATA("XSR4",'suoirao (2016)'!$A$3,"MA_HT","SON","MA_QH","CQP")</f>
        <v>0</v>
      </c>
      <c r="T55" s="22">
        <f ca="1">+GETPIVOTDATA("XSR4",'suoirao (2016)'!$A$3,"MA_HT","SON","MA_QH","CAN")</f>
        <v>0</v>
      </c>
      <c r="U55" s="22">
        <f ca="1">+GETPIVOTDATA("XSR4",'suoirao (2016)'!$A$3,"MA_HT","SON","MA_QH","SKK")</f>
        <v>0</v>
      </c>
      <c r="V55" s="22">
        <f ca="1">+GETPIVOTDATA("XSR4",'suoirao (2016)'!$A$3,"MA_HT","SON","MA_QH","SKT")</f>
        <v>0</v>
      </c>
      <c r="W55" s="22">
        <f ca="1">+GETPIVOTDATA("XSR4",'suoirao (2016)'!$A$3,"MA_HT","SON","MA_QH","SKN")</f>
        <v>0</v>
      </c>
      <c r="X55" s="22">
        <f ca="1">+GETPIVOTDATA("XSR4",'suoirao (2016)'!$A$3,"MA_HT","SON","MA_QH","TMD")</f>
        <v>0</v>
      </c>
      <c r="Y55" s="22">
        <f ca="1">+GETPIVOTDATA("XSR4",'suoirao (2016)'!$A$3,"MA_HT","SON","MA_QH","SKC")</f>
        <v>0</v>
      </c>
      <c r="Z55" s="22">
        <f ca="1">+GETPIVOTDATA("XSR4",'suoirao (2016)'!$A$3,"MA_HT","SON","MA_QH","SKS")</f>
        <v>0</v>
      </c>
      <c r="AA55" s="52">
        <f ca="1" t="shared" si="21"/>
        <v>0</v>
      </c>
      <c r="AB55" s="22">
        <f ca="1">+GETPIVOTDATA("XSR4",'suoirao (2016)'!$A$3,"MA_HT","SON","MA_QH","DGT")</f>
        <v>0</v>
      </c>
      <c r="AC55" s="22">
        <f ca="1">+GETPIVOTDATA("XSR4",'suoirao (2016)'!$A$3,"MA_HT","SON","MA_QH","DTL")</f>
        <v>0</v>
      </c>
      <c r="AD55" s="22">
        <f ca="1">+GETPIVOTDATA("XSR4",'suoirao (2016)'!$A$3,"MA_HT","SON","MA_QH","DNL")</f>
        <v>0</v>
      </c>
      <c r="AE55" s="22">
        <f ca="1">+GETPIVOTDATA("XSR4",'suoirao (2016)'!$A$3,"MA_HT","SON","MA_QH","DBV")</f>
        <v>0</v>
      </c>
      <c r="AF55" s="22">
        <f ca="1">+GETPIVOTDATA("XSR4",'suoirao (2016)'!$A$3,"MA_HT","SON","MA_QH","DVH")</f>
        <v>0</v>
      </c>
      <c r="AG55" s="22">
        <f ca="1">+GETPIVOTDATA("XSR4",'suoirao (2016)'!$A$3,"MA_HT","SON","MA_QH","DYT")</f>
        <v>0</v>
      </c>
      <c r="AH55" s="22">
        <f ca="1">+GETPIVOTDATA("XSR4",'suoirao (2016)'!$A$3,"MA_HT","SON","MA_QH","DGD")</f>
        <v>0</v>
      </c>
      <c r="AI55" s="22">
        <f ca="1">+GETPIVOTDATA("XSR4",'suoirao (2016)'!$A$3,"MA_HT","SON","MA_QH","DTT")</f>
        <v>0</v>
      </c>
      <c r="AJ55" s="22">
        <f ca="1">+GETPIVOTDATA("XSR4",'suoirao (2016)'!$A$3,"MA_HT","SON","MA_QH","NCK")</f>
        <v>0</v>
      </c>
      <c r="AK55" s="22">
        <f ca="1">+GETPIVOTDATA("XSR4",'suoirao (2016)'!$A$3,"MA_HT","SON","MA_QH","DXH")</f>
        <v>0</v>
      </c>
      <c r="AL55" s="22">
        <f ca="1">+GETPIVOTDATA("XSR4",'suoirao (2016)'!$A$3,"MA_HT","SON","MA_QH","DCH")</f>
        <v>0</v>
      </c>
      <c r="AM55" s="22">
        <f ca="1">+GETPIVOTDATA("XSR4",'suoirao (2016)'!$A$3,"MA_HT","SON","MA_QH","DKG")</f>
        <v>0</v>
      </c>
      <c r="AN55" s="22">
        <f ca="1">+GETPIVOTDATA("XSR4",'suoirao (2016)'!$A$3,"MA_HT","SON","MA_QH","DDT")</f>
        <v>0</v>
      </c>
      <c r="AO55" s="22">
        <f ca="1">+GETPIVOTDATA("XSR4",'suoirao (2016)'!$A$3,"MA_HT","SON","MA_QH","DDL")</f>
        <v>0</v>
      </c>
      <c r="AP55" s="22">
        <f ca="1">+GETPIVOTDATA("XSR4",'suoirao (2016)'!$A$3,"MA_HT","SON","MA_QH","DRA")</f>
        <v>0</v>
      </c>
      <c r="AQ55" s="22">
        <f ca="1">+GETPIVOTDATA("XSR4",'suoirao (2016)'!$A$3,"MA_HT","SON","MA_QH","ONT")</f>
        <v>0</v>
      </c>
      <c r="AR55" s="22">
        <f ca="1">+GETPIVOTDATA("XSR4",'suoirao (2016)'!$A$3,"MA_HT","SON","MA_QH","ODT")</f>
        <v>0</v>
      </c>
      <c r="AS55" s="22">
        <f ca="1">+GETPIVOTDATA("XSR4",'suoirao (2016)'!$A$3,"MA_HT","SON","MA_QH","TSC")</f>
        <v>0</v>
      </c>
      <c r="AT55" s="22">
        <f ca="1">+GETPIVOTDATA("XSR4",'suoirao (2016)'!$A$3,"MA_HT","SON","MA_QH","DTS")</f>
        <v>0</v>
      </c>
      <c r="AU55" s="22">
        <f ca="1">+GETPIVOTDATA("XSR4",'suoirao (2016)'!$A$3,"MA_HT","SON","MA_QH","DNG")</f>
        <v>0</v>
      </c>
      <c r="AV55" s="22">
        <f ca="1">+GETPIVOTDATA("XSR4",'suoirao (2016)'!$A$3,"MA_HT","SON","MA_QH","TON")</f>
        <v>0</v>
      </c>
      <c r="AW55" s="22">
        <f ca="1">+GETPIVOTDATA("XSR4",'suoirao (2016)'!$A$3,"MA_HT","SON","MA_QH","NTD")</f>
        <v>0</v>
      </c>
      <c r="AX55" s="22">
        <f ca="1">+GETPIVOTDATA("XSR4",'suoirao (2016)'!$A$3,"MA_HT","SON","MA_QH","SKX")</f>
        <v>0</v>
      </c>
      <c r="AY55" s="22">
        <f ca="1">+GETPIVOTDATA("XSR4",'suoirao (2016)'!$A$3,"MA_HT","SON","MA_QH","DSH")</f>
        <v>0</v>
      </c>
      <c r="AZ55" s="22">
        <f ca="1">+GETPIVOTDATA("XSR4",'suoirao (2016)'!$A$3,"MA_HT","SON","MA_QH","DKV")</f>
        <v>0</v>
      </c>
      <c r="BA55" s="89">
        <f ca="1">+GETPIVOTDATA("XSR4",'suoirao (2016)'!$A$3,"MA_HT","SON","MA_QH","TIN")</f>
        <v>0</v>
      </c>
      <c r="BB55" s="43" t="e">
        <f ca="1">$D55-$BF55</f>
        <v>#REF!</v>
      </c>
      <c r="BC55" s="50">
        <f ca="1">+GETPIVOTDATA("XSR4",'suoirao (2016)'!$A$3,"MA_HT","SON","MA_QH","MNC")</f>
        <v>0</v>
      </c>
      <c r="BD55" s="22">
        <f ca="1">+GETPIVOTDATA("XSR4",'suoirao (2016)'!$A$3,"MA_HT","SON","MA_QH","PNK")</f>
        <v>0</v>
      </c>
      <c r="BE55" s="71">
        <f ca="1">+GETPIVOTDATA("XSR4",'suoirao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+GETPIVOTDATA("XSR4",'suoirao (2016)'!$A$3,"MA_HT","MNC","MA_QH","LUC")</f>
        <v>0</v>
      </c>
      <c r="H56" s="22">
        <f ca="1">+GETPIVOTDATA("XSR4",'suoirao (2016)'!$A$3,"MA_HT","MNC","MA_QH","LUK")</f>
        <v>0</v>
      </c>
      <c r="I56" s="22">
        <f ca="1">+GETPIVOTDATA("XSR4",'suoirao (2016)'!$A$3,"MA_HT","MNC","MA_QH","LUN")</f>
        <v>0</v>
      </c>
      <c r="J56" s="22">
        <f ca="1">+GETPIVOTDATA("XSR4",'suoirao (2016)'!$A$3,"MA_HT","MNC","MA_QH","HNK")</f>
        <v>0</v>
      </c>
      <c r="K56" s="22">
        <f ca="1">+GETPIVOTDATA("XSR4",'suoirao (2016)'!$A$3,"MA_HT","MNC","MA_QH","CLN")</f>
        <v>0</v>
      </c>
      <c r="L56" s="22">
        <f ca="1">+GETPIVOTDATA("XSR4",'suoirao (2016)'!$A$3,"MA_HT","MNC","MA_QH","RSX")</f>
        <v>0</v>
      </c>
      <c r="M56" s="22">
        <f ca="1">+GETPIVOTDATA("XSR4",'suoirao (2016)'!$A$3,"MA_HT","MNC","MA_QH","RPH")</f>
        <v>0</v>
      </c>
      <c r="N56" s="22">
        <f ca="1">+GETPIVOTDATA("XSR4",'suoirao (2016)'!$A$3,"MA_HT","MNC","MA_QH","RDD")</f>
        <v>0</v>
      </c>
      <c r="O56" s="22">
        <f ca="1">+GETPIVOTDATA("XSR4",'suoirao (2016)'!$A$3,"MA_HT","MNC","MA_QH","NTS")</f>
        <v>0</v>
      </c>
      <c r="P56" s="22">
        <f ca="1">+GETPIVOTDATA("XSR4",'suoirao (2016)'!$A$3,"MA_HT","MNC","MA_QH","LMU")</f>
        <v>0</v>
      </c>
      <c r="Q56" s="22">
        <f ca="1">+GETPIVOTDATA("XSR4",'suoirao (2016)'!$A$3,"MA_HT","MNC","MA_QH","NKH")</f>
        <v>0</v>
      </c>
      <c r="R56" s="79">
        <f ca="1">SUM(S56:AA56,AN56:BB56,BD56)</f>
        <v>0</v>
      </c>
      <c r="S56" s="22">
        <f ca="1">+GETPIVOTDATA("XSR4",'suoirao (2016)'!$A$3,"MA_HT","MNC","MA_QH","CQP")</f>
        <v>0</v>
      </c>
      <c r="T56" s="22">
        <f ca="1">+GETPIVOTDATA("XSR4",'suoirao (2016)'!$A$3,"MA_HT","MNC","MA_QH","CAN")</f>
        <v>0</v>
      </c>
      <c r="U56" s="22">
        <f ca="1">+GETPIVOTDATA("XSR4",'suoirao (2016)'!$A$3,"MA_HT","MNC","MA_QH","SKK")</f>
        <v>0</v>
      </c>
      <c r="V56" s="22">
        <f ca="1">+GETPIVOTDATA("XSR4",'suoirao (2016)'!$A$3,"MA_HT","MNC","MA_QH","SKT")</f>
        <v>0</v>
      </c>
      <c r="W56" s="22">
        <f ca="1">+GETPIVOTDATA("XSR4",'suoirao (2016)'!$A$3,"MA_HT","MNC","MA_QH","SKN")</f>
        <v>0</v>
      </c>
      <c r="X56" s="22">
        <f ca="1">+GETPIVOTDATA("XSR4",'suoirao (2016)'!$A$3,"MA_HT","MNC","MA_QH","TMD")</f>
        <v>0</v>
      </c>
      <c r="Y56" s="22">
        <f ca="1">+GETPIVOTDATA("XSR4",'suoirao (2016)'!$A$3,"MA_HT","MNC","MA_QH","SKC")</f>
        <v>0</v>
      </c>
      <c r="Z56" s="22">
        <f ca="1">+GETPIVOTDATA("XSR4",'suoirao (2016)'!$A$3,"MA_HT","MNC","MA_QH","SKS")</f>
        <v>0</v>
      </c>
      <c r="AA56" s="52">
        <f ca="1" t="shared" si="21"/>
        <v>0</v>
      </c>
      <c r="AB56" s="22">
        <f ca="1">+GETPIVOTDATA("XSR4",'suoirao (2016)'!$A$3,"MA_HT","MNC","MA_QH","DGT")</f>
        <v>0</v>
      </c>
      <c r="AC56" s="22">
        <f ca="1">+GETPIVOTDATA("XSR4",'suoirao (2016)'!$A$3,"MA_HT","MNC","MA_QH","DTL")</f>
        <v>0</v>
      </c>
      <c r="AD56" s="22">
        <f ca="1">+GETPIVOTDATA("XSR4",'suoirao (2016)'!$A$3,"MA_HT","MNC","MA_QH","DNL")</f>
        <v>0</v>
      </c>
      <c r="AE56" s="22">
        <f ca="1">+GETPIVOTDATA("XSR4",'suoirao (2016)'!$A$3,"MA_HT","MNC","MA_QH","DBV")</f>
        <v>0</v>
      </c>
      <c r="AF56" s="22">
        <f ca="1">+GETPIVOTDATA("XSR4",'suoirao (2016)'!$A$3,"MA_HT","MNC","MA_QH","DVH")</f>
        <v>0</v>
      </c>
      <c r="AG56" s="22">
        <f ca="1">+GETPIVOTDATA("XSR4",'suoirao (2016)'!$A$3,"MA_HT","MNC","MA_QH","DYT")</f>
        <v>0</v>
      </c>
      <c r="AH56" s="22">
        <f ca="1">+GETPIVOTDATA("XSR4",'suoirao (2016)'!$A$3,"MA_HT","MNC","MA_QH","DGD")</f>
        <v>0</v>
      </c>
      <c r="AI56" s="22">
        <f ca="1">+GETPIVOTDATA("XSR4",'suoirao (2016)'!$A$3,"MA_HT","MNC","MA_QH","DTT")</f>
        <v>0</v>
      </c>
      <c r="AJ56" s="22">
        <f ca="1">+GETPIVOTDATA("XSR4",'suoirao (2016)'!$A$3,"MA_HT","MNC","MA_QH","NCK")</f>
        <v>0</v>
      </c>
      <c r="AK56" s="22">
        <f ca="1">+GETPIVOTDATA("XSR4",'suoirao (2016)'!$A$3,"MA_HT","MNC","MA_QH","DXH")</f>
        <v>0</v>
      </c>
      <c r="AL56" s="22">
        <f ca="1">+GETPIVOTDATA("XSR4",'suoirao (2016)'!$A$3,"MA_HT","MNC","MA_QH","DCH")</f>
        <v>0</v>
      </c>
      <c r="AM56" s="22">
        <f ca="1">+GETPIVOTDATA("XSR4",'suoirao (2016)'!$A$3,"MA_HT","MNC","MA_QH","DKG")</f>
        <v>0</v>
      </c>
      <c r="AN56" s="22">
        <f ca="1">+GETPIVOTDATA("XSR4",'suoirao (2016)'!$A$3,"MA_HT","MNC","MA_QH","DDT")</f>
        <v>0</v>
      </c>
      <c r="AO56" s="22">
        <f ca="1">+GETPIVOTDATA("XSR4",'suoirao (2016)'!$A$3,"MA_HT","MNC","MA_QH","DDL")</f>
        <v>0</v>
      </c>
      <c r="AP56" s="22">
        <f ca="1">+GETPIVOTDATA("XSR4",'suoirao (2016)'!$A$3,"MA_HT","MNC","MA_QH","DRA")</f>
        <v>0</v>
      </c>
      <c r="AQ56" s="22">
        <f ca="1">+GETPIVOTDATA("XSR4",'suoirao (2016)'!$A$3,"MA_HT","MNC","MA_QH","ONT")</f>
        <v>0</v>
      </c>
      <c r="AR56" s="22">
        <f ca="1">+GETPIVOTDATA("XSR4",'suoirao (2016)'!$A$3,"MA_HT","MNC","MA_QH","ODT")</f>
        <v>0</v>
      </c>
      <c r="AS56" s="22">
        <f ca="1">+GETPIVOTDATA("XSR4",'suoirao (2016)'!$A$3,"MA_HT","MNC","MA_QH","TSC")</f>
        <v>0</v>
      </c>
      <c r="AT56" s="22">
        <f ca="1">+GETPIVOTDATA("XSR4",'suoirao (2016)'!$A$3,"MA_HT","MNC","MA_QH","DTS")</f>
        <v>0</v>
      </c>
      <c r="AU56" s="22">
        <f ca="1">+GETPIVOTDATA("XSR4",'suoirao (2016)'!$A$3,"MA_HT","MNC","MA_QH","DNG")</f>
        <v>0</v>
      </c>
      <c r="AV56" s="22">
        <f ca="1">+GETPIVOTDATA("XSR4",'suoirao (2016)'!$A$3,"MA_HT","MNC","MA_QH","TON")</f>
        <v>0</v>
      </c>
      <c r="AW56" s="22">
        <f ca="1">+GETPIVOTDATA("XSR4",'suoirao (2016)'!$A$3,"MA_HT","MNC","MA_QH","NTD")</f>
        <v>0</v>
      </c>
      <c r="AX56" s="22">
        <f ca="1">+GETPIVOTDATA("XSR4",'suoirao (2016)'!$A$3,"MA_HT","MNC","MA_QH","SKX")</f>
        <v>0</v>
      </c>
      <c r="AY56" s="22">
        <f ca="1">+GETPIVOTDATA("XSR4",'suoirao (2016)'!$A$3,"MA_HT","MNC","MA_QH","DSH")</f>
        <v>0</v>
      </c>
      <c r="AZ56" s="22">
        <f ca="1">+GETPIVOTDATA("XSR4",'suoirao (2016)'!$A$3,"MA_HT","MNC","MA_QH","DKV")</f>
        <v>0</v>
      </c>
      <c r="BA56" s="89">
        <f ca="1">+GETPIVOTDATA("XSR4",'suoirao (2016)'!$A$3,"MA_HT","MNC","MA_QH","TIN")</f>
        <v>0</v>
      </c>
      <c r="BB56" s="50">
        <f ca="1">+GETPIVOTDATA("XSR4",'suoirao (2016)'!$A$3,"MA_HT","MNC","MA_QH","SON")</f>
        <v>0</v>
      </c>
      <c r="BC56" s="43" t="e">
        <f ca="1">$D56-$BF56</f>
        <v>#REF!</v>
      </c>
      <c r="BD56" s="22">
        <f ca="1">+GETPIVOTDATA("XSR4",'suoirao (2016)'!$A$3,"MA_HT","MNC","MA_QH","PNK")</f>
        <v>0</v>
      </c>
      <c r="BE56" s="71">
        <f ca="1">+GETPIVOTDATA("XSR4",'suoirao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+GETPIVOTDATA("XSR4",'suoirao (2016)'!$A$3,"MA_HT","PNK","MA_QH","LUC")</f>
        <v>0</v>
      </c>
      <c r="H57" s="22">
        <f ca="1">+GETPIVOTDATA("XSR4",'suoirao (2016)'!$A$3,"MA_HT","PNK","MA_QH","LUK")</f>
        <v>0</v>
      </c>
      <c r="I57" s="22">
        <f ca="1">+GETPIVOTDATA("XSR4",'suoirao (2016)'!$A$3,"MA_HT","PNK","MA_QH","LUN")</f>
        <v>0</v>
      </c>
      <c r="J57" s="22">
        <f ca="1">+GETPIVOTDATA("XSR4",'suoirao (2016)'!$A$3,"MA_HT","PNK","MA_QH","HNK")</f>
        <v>0</v>
      </c>
      <c r="K57" s="22">
        <f ca="1">+GETPIVOTDATA("XSR4",'suoirao (2016)'!$A$3,"MA_HT","PNK","MA_QH","CLN")</f>
        <v>0</v>
      </c>
      <c r="L57" s="22">
        <f ca="1">+GETPIVOTDATA("XSR4",'suoirao (2016)'!$A$3,"MA_HT","PNK","MA_QH","RSX")</f>
        <v>0</v>
      </c>
      <c r="M57" s="22">
        <f ca="1">+GETPIVOTDATA("XSR4",'suoirao (2016)'!$A$3,"MA_HT","PNK","MA_QH","RPH")</f>
        <v>0</v>
      </c>
      <c r="N57" s="22">
        <f ca="1">+GETPIVOTDATA("XSR4",'suoirao (2016)'!$A$3,"MA_HT","PNK","MA_QH","RDD")</f>
        <v>0</v>
      </c>
      <c r="O57" s="22">
        <f ca="1">+GETPIVOTDATA("XSR4",'suoirao (2016)'!$A$3,"MA_HT","PNK","MA_QH","NTS")</f>
        <v>0</v>
      </c>
      <c r="P57" s="22">
        <f ca="1">+GETPIVOTDATA("XSR4",'suoirao (2016)'!$A$3,"MA_HT","PNK","MA_QH","LMU")</f>
        <v>0</v>
      </c>
      <c r="Q57" s="22">
        <f ca="1">+GETPIVOTDATA("XSR4",'suoirao (2016)'!$A$3,"MA_HT","PNK","MA_QH","NKH")</f>
        <v>0</v>
      </c>
      <c r="R57" s="79">
        <f ca="1">SUM(S57:AA57,AN57:BC57)</f>
        <v>0</v>
      </c>
      <c r="S57" s="22">
        <f ca="1">+GETPIVOTDATA("XSR4",'suoirao (2016)'!$A$3,"MA_HT","PNK","MA_QH","CQP")</f>
        <v>0</v>
      </c>
      <c r="T57" s="22">
        <f ca="1">+GETPIVOTDATA("XSR4",'suoirao (2016)'!$A$3,"MA_HT","PNK","MA_QH","CAN")</f>
        <v>0</v>
      </c>
      <c r="U57" s="22">
        <f ca="1">+GETPIVOTDATA("XSR4",'suoirao (2016)'!$A$3,"MA_HT","PNK","MA_QH","SKK")</f>
        <v>0</v>
      </c>
      <c r="V57" s="22">
        <f ca="1">+GETPIVOTDATA("XSR4",'suoirao (2016)'!$A$3,"MA_HT","PNK","MA_QH","SKT")</f>
        <v>0</v>
      </c>
      <c r="W57" s="22">
        <f ca="1">+GETPIVOTDATA("XSR4",'suoirao (2016)'!$A$3,"MA_HT","PNK","MA_QH","SKN")</f>
        <v>0</v>
      </c>
      <c r="X57" s="22">
        <f ca="1">+GETPIVOTDATA("XSR4",'suoirao (2016)'!$A$3,"MA_HT","PNK","MA_QH","TMD")</f>
        <v>0</v>
      </c>
      <c r="Y57" s="22">
        <f ca="1">+GETPIVOTDATA("XSR4",'suoirao (2016)'!$A$3,"MA_HT","PNK","MA_QH","SKC")</f>
        <v>0</v>
      </c>
      <c r="Z57" s="22">
        <f ca="1">+GETPIVOTDATA("XSR4",'suoirao (2016)'!$A$3,"MA_HT","PNK","MA_QH","SKS")</f>
        <v>0</v>
      </c>
      <c r="AA57" s="52">
        <f ca="1" t="shared" si="21"/>
        <v>0</v>
      </c>
      <c r="AB57" s="22">
        <f ca="1">+GETPIVOTDATA("XSR4",'suoirao (2016)'!$A$3,"MA_HT","PNK","MA_QH","DGT")</f>
        <v>0</v>
      </c>
      <c r="AC57" s="22">
        <f ca="1">+GETPIVOTDATA("XSR4",'suoirao (2016)'!$A$3,"MA_HT","PNK","MA_QH","DTL")</f>
        <v>0</v>
      </c>
      <c r="AD57" s="22">
        <f ca="1">+GETPIVOTDATA("XSR4",'suoirao (2016)'!$A$3,"MA_HT","PNK","MA_QH","DNL")</f>
        <v>0</v>
      </c>
      <c r="AE57" s="22">
        <f ca="1">+GETPIVOTDATA("XSR4",'suoirao (2016)'!$A$3,"MA_HT","PNK","MA_QH","DBV")</f>
        <v>0</v>
      </c>
      <c r="AF57" s="22">
        <f ca="1">+GETPIVOTDATA("XSR4",'suoirao (2016)'!$A$3,"MA_HT","PNK","MA_QH","DVH")</f>
        <v>0</v>
      </c>
      <c r="AG57" s="22">
        <f ca="1">+GETPIVOTDATA("XSR4",'suoirao (2016)'!$A$3,"MA_HT","PNK","MA_QH","DYT")</f>
        <v>0</v>
      </c>
      <c r="AH57" s="22">
        <f ca="1">+GETPIVOTDATA("XSR4",'suoirao (2016)'!$A$3,"MA_HT","PNK","MA_QH","DGD")</f>
        <v>0</v>
      </c>
      <c r="AI57" s="22">
        <f ca="1">+GETPIVOTDATA("XSR4",'suoirao (2016)'!$A$3,"MA_HT","PNK","MA_QH","DTT")</f>
        <v>0</v>
      </c>
      <c r="AJ57" s="22">
        <f ca="1">+GETPIVOTDATA("XSR4",'suoirao (2016)'!$A$3,"MA_HT","PNK","MA_QH","NCK")</f>
        <v>0</v>
      </c>
      <c r="AK57" s="22">
        <f ca="1">+GETPIVOTDATA("XSR4",'suoirao (2016)'!$A$3,"MA_HT","PNK","MA_QH","DXH")</f>
        <v>0</v>
      </c>
      <c r="AL57" s="22">
        <f ca="1">+GETPIVOTDATA("XSR4",'suoirao (2016)'!$A$3,"MA_HT","PNK","MA_QH","DCH")</f>
        <v>0</v>
      </c>
      <c r="AM57" s="22">
        <f ca="1">+GETPIVOTDATA("XSR4",'suoirao (2016)'!$A$3,"MA_HT","PNK","MA_QH","DKG")</f>
        <v>0</v>
      </c>
      <c r="AN57" s="22">
        <f ca="1">+GETPIVOTDATA("XSR4",'suoirao (2016)'!$A$3,"MA_HT","PNK","MA_QH","DDT")</f>
        <v>0</v>
      </c>
      <c r="AO57" s="22">
        <f ca="1">+GETPIVOTDATA("XSR4",'suoirao (2016)'!$A$3,"MA_HT","PNK","MA_QH","DDL")</f>
        <v>0</v>
      </c>
      <c r="AP57" s="22">
        <f ca="1">+GETPIVOTDATA("XSR4",'suoirao (2016)'!$A$3,"MA_HT","PNK","MA_QH","DRA")</f>
        <v>0</v>
      </c>
      <c r="AQ57" s="22">
        <f ca="1">+GETPIVOTDATA("XSR4",'suoirao (2016)'!$A$3,"MA_HT","PNK","MA_QH","ONT")</f>
        <v>0</v>
      </c>
      <c r="AR57" s="22">
        <f ca="1">+GETPIVOTDATA("XSR4",'suoirao (2016)'!$A$3,"MA_HT","PNK","MA_QH","ODT")</f>
        <v>0</v>
      </c>
      <c r="AS57" s="22">
        <f ca="1">+GETPIVOTDATA("XSR4",'suoirao (2016)'!$A$3,"MA_HT","PNK","MA_QH","TSC")</f>
        <v>0</v>
      </c>
      <c r="AT57" s="22">
        <f ca="1">+GETPIVOTDATA("XSR4",'suoirao (2016)'!$A$3,"MA_HT","PNK","MA_QH","DTS")</f>
        <v>0</v>
      </c>
      <c r="AU57" s="22">
        <f ca="1">+GETPIVOTDATA("XSR4",'suoirao (2016)'!$A$3,"MA_HT","PNK","MA_QH","DNG")</f>
        <v>0</v>
      </c>
      <c r="AV57" s="22">
        <f ca="1">+GETPIVOTDATA("XSR4",'suoirao (2016)'!$A$3,"MA_HT","PNK","MA_QH","TON")</f>
        <v>0</v>
      </c>
      <c r="AW57" s="22">
        <f ca="1">+GETPIVOTDATA("XSR4",'suoirao (2016)'!$A$3,"MA_HT","PNK","MA_QH","NTD")</f>
        <v>0</v>
      </c>
      <c r="AX57" s="22">
        <f ca="1">+GETPIVOTDATA("XSR4",'suoirao (2016)'!$A$3,"MA_HT","PNK","MA_QH","SKX")</f>
        <v>0</v>
      </c>
      <c r="AY57" s="22">
        <f ca="1">+GETPIVOTDATA("XSR4",'suoirao (2016)'!$A$3,"MA_HT","PNK","MA_QH","DSH")</f>
        <v>0</v>
      </c>
      <c r="AZ57" s="22">
        <f ca="1">+GETPIVOTDATA("XSR4",'suoirao (2016)'!$A$3,"MA_HT","PNK","MA_QH","DKV")</f>
        <v>0</v>
      </c>
      <c r="BA57" s="89">
        <f ca="1">+GETPIVOTDATA("XSR4",'suoirao (2016)'!$A$3,"MA_HT","PNK","MA_QH","TIN")</f>
        <v>0</v>
      </c>
      <c r="BB57" s="50">
        <f ca="1">+GETPIVOTDATA("XSR4",'suoirao (2016)'!$A$3,"MA_HT","PNK","MA_QH","SON")</f>
        <v>0</v>
      </c>
      <c r="BC57" s="50">
        <f ca="1">+GETPIVOTDATA("XSR4",'suoirao (2016)'!$A$3,"MA_HT","PNK","MA_QH","MNC")</f>
        <v>0</v>
      </c>
      <c r="BD57" s="43" t="e">
        <f ca="1">$D57-$BF57</f>
        <v>#REF!</v>
      </c>
      <c r="BE57" s="71">
        <f ca="1">+GETPIVOTDATA("XSR4",'suoirao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+GETPIVOTDATA("XSR4",'suoirao (2016)'!$A$3,"MA_HT","CSD","MA_QH","LUC")</f>
        <v>0</v>
      </c>
      <c r="H58" s="71">
        <f ca="1">+GETPIVOTDATA("XSR4",'suoirao (2016)'!$A$3,"MA_HT","CSD","MA_QH","LUK")</f>
        <v>0</v>
      </c>
      <c r="I58" s="71">
        <f ca="1">+GETPIVOTDATA("XSR4",'suoirao (2016)'!$A$3,"MA_HT","CSD","MA_QH","LUN")</f>
        <v>0</v>
      </c>
      <c r="J58" s="71">
        <f ca="1">+GETPIVOTDATA("XSR4",'suoirao (2016)'!$A$3,"MA_HT","CSD","MA_QH","HNK")</f>
        <v>0</v>
      </c>
      <c r="K58" s="71">
        <f ca="1">+GETPIVOTDATA("XSR4",'suoirao (2016)'!$A$3,"MA_HT","CSD","MA_QH","CLN")</f>
        <v>0</v>
      </c>
      <c r="L58" s="71">
        <f ca="1">+GETPIVOTDATA("XSR4",'suoirao (2016)'!$A$3,"MA_HT","CSD","MA_QH","RSX")</f>
        <v>0</v>
      </c>
      <c r="M58" s="71">
        <f ca="1">+GETPIVOTDATA("XSR4",'suoirao (2016)'!$A$3,"MA_HT","CSD","MA_QH","RPH")</f>
        <v>0</v>
      </c>
      <c r="N58" s="71">
        <f ca="1">+GETPIVOTDATA("XSR4",'suoirao (2016)'!$A$3,"MA_HT","CSD","MA_QH","RDD")</f>
        <v>0</v>
      </c>
      <c r="O58" s="71">
        <f ca="1">+GETPIVOTDATA("XSR4",'suoirao (2016)'!$A$3,"MA_HT","CSD","MA_QH","NTS")</f>
        <v>0</v>
      </c>
      <c r="P58" s="71">
        <f ca="1">+GETPIVOTDATA("XSR4",'suoirao (2016)'!$A$3,"MA_HT","CSD","MA_QH","LMU")</f>
        <v>0</v>
      </c>
      <c r="Q58" s="71">
        <f ca="1">+GETPIVOTDATA("XSR4",'suoirao (2016)'!$A$3,"MA_HT","CSD","MA_QH","NKH")</f>
        <v>0</v>
      </c>
      <c r="R58" s="79">
        <f ca="1">SUM(S58:AA58,AN58:BD58)</f>
        <v>0</v>
      </c>
      <c r="S58" s="80">
        <f ca="1">+GETPIVOTDATA("XSR4",'suoirao (2016)'!$A$3,"MA_HT","CSD","MA_QH","CQP")</f>
        <v>0</v>
      </c>
      <c r="T58" s="80">
        <f ca="1">+GETPIVOTDATA("XSR4",'suoirao (2016)'!$A$3,"MA_HT","CSD","MA_QH","CAN")</f>
        <v>0</v>
      </c>
      <c r="U58" s="71">
        <f ca="1">+GETPIVOTDATA("XSR4",'suoirao (2016)'!$A$3,"MA_HT","CSD","MA_QH","SKK")</f>
        <v>0</v>
      </c>
      <c r="V58" s="71">
        <f ca="1">+GETPIVOTDATA("XSR4",'suoirao (2016)'!$A$3,"MA_HT","CSD","MA_QH","SKT")</f>
        <v>0</v>
      </c>
      <c r="W58" s="71">
        <f ca="1">+GETPIVOTDATA("XSR4",'suoirao (2016)'!$A$3,"MA_HT","CSD","MA_QH","SKN")</f>
        <v>0</v>
      </c>
      <c r="X58" s="71">
        <f ca="1">+GETPIVOTDATA("XSR4",'suoirao (2016)'!$A$3,"MA_HT","CSD","MA_QH","TMD")</f>
        <v>0</v>
      </c>
      <c r="Y58" s="71">
        <f ca="1">+GETPIVOTDATA("XSR4",'suoirao (2016)'!$A$3,"MA_HT","CSD","MA_QH","SKC")</f>
        <v>0</v>
      </c>
      <c r="Z58" s="71">
        <f ca="1">+GETPIVOTDATA("XSR4",'suoirao (2016)'!$A$3,"MA_HT","CSD","MA_QH","SKS")</f>
        <v>0</v>
      </c>
      <c r="AA58" s="52">
        <f ca="1" t="shared" si="21"/>
        <v>0</v>
      </c>
      <c r="AB58" s="80">
        <f ca="1">+GETPIVOTDATA("XSR4",'suoirao (2016)'!$A$3,"MA_HT","CSD","MA_QH","DGT")</f>
        <v>0</v>
      </c>
      <c r="AC58" s="80">
        <f ca="1">+GETPIVOTDATA("XSR4",'suoirao (2016)'!$A$3,"MA_HT","CSD","MA_QH","DTL")</f>
        <v>0</v>
      </c>
      <c r="AD58" s="80">
        <f ca="1">+GETPIVOTDATA("XSR4",'suoirao (2016)'!$A$3,"MA_HT","CSD","MA_QH","DNL")</f>
        <v>0</v>
      </c>
      <c r="AE58" s="80">
        <f ca="1">+GETPIVOTDATA("XSR4",'suoirao (2016)'!$A$3,"MA_HT","CSD","MA_QH","DBV")</f>
        <v>0</v>
      </c>
      <c r="AF58" s="80">
        <f ca="1">+GETPIVOTDATA("XSR4",'suoirao (2016)'!$A$3,"MA_HT","CSD","MA_QH","DVH")</f>
        <v>0</v>
      </c>
      <c r="AG58" s="80">
        <f ca="1">+GETPIVOTDATA("XSR4",'suoirao (2016)'!$A$3,"MA_HT","CSD","MA_QH","DYT")</f>
        <v>0</v>
      </c>
      <c r="AH58" s="80">
        <f ca="1">+GETPIVOTDATA("XSR4",'suoirao (2016)'!$A$3,"MA_HT","CSD","MA_QH","DGD")</f>
        <v>0</v>
      </c>
      <c r="AI58" s="80">
        <f ca="1">+GETPIVOTDATA("XSR4",'suoirao (2016)'!$A$3,"MA_HT","CSD","MA_QH","DTT")</f>
        <v>0</v>
      </c>
      <c r="AJ58" s="80">
        <f ca="1">+GETPIVOTDATA("XSR4",'suoirao (2016)'!$A$3,"MA_HT","CSD","MA_QH","NCK")</f>
        <v>0</v>
      </c>
      <c r="AK58" s="80">
        <f ca="1">+GETPIVOTDATA("XSR4",'suoirao (2016)'!$A$3,"MA_HT","CSD","MA_QH","DXH")</f>
        <v>0</v>
      </c>
      <c r="AL58" s="80">
        <f ca="1">+GETPIVOTDATA("XSR4",'suoirao (2016)'!$A$3,"MA_HT","CSD","MA_QH","DCH")</f>
        <v>0</v>
      </c>
      <c r="AM58" s="80">
        <f ca="1">+GETPIVOTDATA("XSR4",'suoirao (2016)'!$A$3,"MA_HT","CSD","MA_QH","DKG")</f>
        <v>0</v>
      </c>
      <c r="AN58" s="71">
        <f ca="1">+GETPIVOTDATA("XSR4",'suoirao (2016)'!$A$3,"MA_HT","CSD","MA_QH","DDT")</f>
        <v>0</v>
      </c>
      <c r="AO58" s="71">
        <f ca="1">+GETPIVOTDATA("XSR4",'suoirao (2016)'!$A$3,"MA_HT","CSD","MA_QH","DDL")</f>
        <v>0</v>
      </c>
      <c r="AP58" s="71">
        <f ca="1">+GETPIVOTDATA("XSR4",'suoirao (2016)'!$A$3,"MA_HT","CSD","MA_QH","DRA")</f>
        <v>0</v>
      </c>
      <c r="AQ58" s="71">
        <f ca="1">+GETPIVOTDATA("XSR4",'suoirao (2016)'!$A$3,"MA_HT","CSD","MA_QH","ONT")</f>
        <v>0</v>
      </c>
      <c r="AR58" s="71">
        <f ca="1">+GETPIVOTDATA("XSR4",'suoirao (2016)'!$A$3,"MA_HT","CSD","MA_QH","ODT")</f>
        <v>0</v>
      </c>
      <c r="AS58" s="71">
        <f ca="1">+GETPIVOTDATA("XSR4",'suoirao (2016)'!$A$3,"MA_HT","CSD","MA_QH","TSC")</f>
        <v>0</v>
      </c>
      <c r="AT58" s="71">
        <f ca="1">+GETPIVOTDATA("XSR4",'suoirao (2016)'!$A$3,"MA_HT","CSD","MA_QH","DTS")</f>
        <v>0</v>
      </c>
      <c r="AU58" s="71">
        <f ca="1">+GETPIVOTDATA("XSR4",'suoirao (2016)'!$A$3,"MA_HT","CSD","MA_QH","DNG")</f>
        <v>0</v>
      </c>
      <c r="AV58" s="71">
        <f ca="1">+GETPIVOTDATA("XSR4",'suoirao (2016)'!$A$3,"MA_HT","CSD","MA_QH","TON")</f>
        <v>0</v>
      </c>
      <c r="AW58" s="71">
        <f ca="1">+GETPIVOTDATA("XSR4",'suoirao (2016)'!$A$3,"MA_HT","CSD","MA_QH","NTD")</f>
        <v>0</v>
      </c>
      <c r="AX58" s="71">
        <f ca="1">+GETPIVOTDATA("XSR4",'suoirao (2016)'!$A$3,"MA_HT","CSD","MA_QH","SKX")</f>
        <v>0</v>
      </c>
      <c r="AY58" s="71">
        <f ca="1">+GETPIVOTDATA("XSR4",'suoirao (2016)'!$A$3,"MA_HT","CSD","MA_QH","DSH")</f>
        <v>0</v>
      </c>
      <c r="AZ58" s="71">
        <f ca="1">+GETPIVOTDATA("XSR4",'suoirao (2016)'!$A$3,"MA_HT","CSD","MA_QH","DKV")</f>
        <v>0</v>
      </c>
      <c r="BA58" s="89">
        <f ca="1">+GETPIVOTDATA("XSR4",'suoirao (2016)'!$A$3,"MA_HT","CSD","MA_QH","TIN")</f>
        <v>0</v>
      </c>
      <c r="BB58" s="80">
        <f ca="1">+GETPIVOTDATA("XSR4",'suoirao (2016)'!$A$3,"MA_HT","CSD","MA_QH","SON")</f>
        <v>0</v>
      </c>
      <c r="BC58" s="80">
        <f ca="1">+GETPIVOTDATA("XSR4",'suoirao (2016)'!$A$3,"MA_HT","CSD","MA_QH","MNC")</f>
        <v>0</v>
      </c>
      <c r="BD58" s="71">
        <f ca="1">+GETPIVOTDATA("XSR4",'suoirao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3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+GETPIVOTDATA("XXB4",'xabang (2016)'!$A$3,"MA_HT","LUC","MA_QH","LUK")</f>
        <v>0</v>
      </c>
      <c r="I8" s="50">
        <f ca="1">+GETPIVOTDATA("XXB4",'xabang (2016)'!$A$3,"MA_HT","LUC","MA_QH","LUN")</f>
        <v>0</v>
      </c>
      <c r="J8" s="50">
        <f ca="1">+GETPIVOTDATA("XXB4",'xabang (2016)'!$A$3,"MA_HT","LUC","MA_QH","HNK")</f>
        <v>0</v>
      </c>
      <c r="K8" s="50">
        <f ca="1">+GETPIVOTDATA("XXB4",'xabang (2016)'!$A$3,"MA_HT","LUC","MA_QH","CLN")</f>
        <v>0</v>
      </c>
      <c r="L8" s="50">
        <f ca="1">+GETPIVOTDATA("XXB4",'xabang (2016)'!$A$3,"MA_HT","LUC","MA_QH","RSX")</f>
        <v>0</v>
      </c>
      <c r="M8" s="50">
        <f ca="1">+GETPIVOTDATA("XXB4",'xabang (2016)'!$A$3,"MA_HT","LUC","MA_QH","RPH")</f>
        <v>0</v>
      </c>
      <c r="N8" s="50">
        <f ca="1">+GETPIVOTDATA("XXB4",'xabang (2016)'!$A$3,"MA_HT","LUC","MA_QH","RDD")</f>
        <v>0</v>
      </c>
      <c r="O8" s="50">
        <f ca="1">+GETPIVOTDATA("XXB4",'xabang (2016)'!$A$3,"MA_HT","LUC","MA_QH","NTS")</f>
        <v>0</v>
      </c>
      <c r="P8" s="50">
        <f ca="1">+GETPIVOTDATA("XXB4",'xabang (2016)'!$A$3,"MA_HT","LUC","MA_QH","LMU")</f>
        <v>0</v>
      </c>
      <c r="Q8" s="50">
        <f ca="1">+GETPIVOTDATA("XXB4",'xabang (2016)'!$A$3,"MA_HT","LUC","MA_QH","NKH")</f>
        <v>0</v>
      </c>
      <c r="R8" s="48">
        <f ca="1" t="shared" si="2"/>
        <v>0</v>
      </c>
      <c r="S8" s="50">
        <f ca="1">+GETPIVOTDATA("XXB4",'xabang (2016)'!$A$3,"MA_HT","LUC","MA_QH","CQP")</f>
        <v>0</v>
      </c>
      <c r="T8" s="50">
        <f ca="1">+GETPIVOTDATA("XXB4",'xabang (2016)'!$A$3,"MA_HT","LUC","MA_QH","CAN")</f>
        <v>0</v>
      </c>
      <c r="U8" s="50">
        <f ca="1">+GETPIVOTDATA("XXB4",'xabang (2016)'!$A$3,"MA_HT","LUC","MA_QH","SKK")</f>
        <v>0</v>
      </c>
      <c r="V8" s="50">
        <f ca="1">+GETPIVOTDATA("XXB4",'xabang (2016)'!$A$3,"MA_HT","LUC","MA_QH","SKT")</f>
        <v>0</v>
      </c>
      <c r="W8" s="50">
        <f ca="1">+GETPIVOTDATA("XXB4",'xabang (2016)'!$A$3,"MA_HT","LUC","MA_QH","SKN")</f>
        <v>0</v>
      </c>
      <c r="X8" s="50">
        <f ca="1">+GETPIVOTDATA("XXB4",'xabang (2016)'!$A$3,"MA_HT","LUC","MA_QH","TMD")</f>
        <v>0</v>
      </c>
      <c r="Y8" s="50">
        <f ca="1">+GETPIVOTDATA("XXB4",'xabang (2016)'!$A$3,"MA_HT","LUC","MA_QH","SKC")</f>
        <v>0</v>
      </c>
      <c r="Z8" s="50">
        <f ca="1">+GETPIVOTDATA("XXB4",'xabang (2016)'!$A$3,"MA_HT","LUC","MA_QH","SKS")</f>
        <v>0</v>
      </c>
      <c r="AA8" s="52">
        <f ca="1" t="shared" si="4"/>
        <v>0</v>
      </c>
      <c r="AB8" s="50">
        <f ca="1">+GETPIVOTDATA("XXB4",'xabang (2016)'!$A$3,"MA_HT","LUC","MA_QH","DGT")</f>
        <v>0</v>
      </c>
      <c r="AC8" s="50">
        <f ca="1">+GETPIVOTDATA("XXB4",'xabang (2016)'!$A$3,"MA_HT","LUC","MA_QH","DTL")</f>
        <v>0</v>
      </c>
      <c r="AD8" s="50">
        <f ca="1">+GETPIVOTDATA("XXB4",'xabang (2016)'!$A$3,"MA_HT","LUC","MA_QH","DNL")</f>
        <v>0</v>
      </c>
      <c r="AE8" s="50">
        <f ca="1">+GETPIVOTDATA("XXB4",'xabang (2016)'!$A$3,"MA_HT","LUC","MA_QH","DBV")</f>
        <v>0</v>
      </c>
      <c r="AF8" s="50">
        <f ca="1">+GETPIVOTDATA("XXB4",'xabang (2016)'!$A$3,"MA_HT","LUC","MA_QH","DVH")</f>
        <v>0</v>
      </c>
      <c r="AG8" s="50">
        <f ca="1">+GETPIVOTDATA("XXB4",'xabang (2016)'!$A$3,"MA_HT","LUC","MA_QH","DYT")</f>
        <v>0</v>
      </c>
      <c r="AH8" s="50">
        <f ca="1">+GETPIVOTDATA("XXB4",'xabang (2016)'!$A$3,"MA_HT","LUC","MA_QH","DGD")</f>
        <v>0</v>
      </c>
      <c r="AI8" s="50">
        <f ca="1">+GETPIVOTDATA("XXB4",'xabang (2016)'!$A$3,"MA_HT","LUC","MA_QH","DTT")</f>
        <v>0</v>
      </c>
      <c r="AJ8" s="50">
        <f ca="1">+GETPIVOTDATA("XXB4",'xabang (2016)'!$A$3,"MA_HT","LUC","MA_QH","NCK")</f>
        <v>0</v>
      </c>
      <c r="AK8" s="50">
        <f ca="1">+GETPIVOTDATA("XXB4",'xabang (2016)'!$A$3,"MA_HT","LUC","MA_QH","DXH")</f>
        <v>0</v>
      </c>
      <c r="AL8" s="50">
        <f ca="1">+GETPIVOTDATA("XXB4",'xabang (2016)'!$A$3,"MA_HT","LUC","MA_QH","DCH")</f>
        <v>0</v>
      </c>
      <c r="AM8" s="50">
        <f ca="1">+GETPIVOTDATA("XXB4",'xabang (2016)'!$A$3,"MA_HT","LUC","MA_QH","DKG")</f>
        <v>0</v>
      </c>
      <c r="AN8" s="50">
        <f ca="1">+GETPIVOTDATA("XXB4",'xabang (2016)'!$A$3,"MA_HT","LUC","MA_QH","DDT")</f>
        <v>0</v>
      </c>
      <c r="AO8" s="50">
        <f ca="1">+GETPIVOTDATA("XXB4",'xabang (2016)'!$A$3,"MA_HT","LUC","MA_QH","DDL")</f>
        <v>0</v>
      </c>
      <c r="AP8" s="50">
        <f ca="1">+GETPIVOTDATA("XXB4",'xabang (2016)'!$A$3,"MA_HT","LUC","MA_QH","DRA")</f>
        <v>0</v>
      </c>
      <c r="AQ8" s="50">
        <f ca="1">+GETPIVOTDATA("XXB4",'xabang (2016)'!$A$3,"MA_HT","LUC","MA_QH","ONT")</f>
        <v>0</v>
      </c>
      <c r="AR8" s="50">
        <f ca="1">+GETPIVOTDATA("XXB4",'xabang (2016)'!$A$3,"MA_HT","LUC","MA_QH","ODT")</f>
        <v>0</v>
      </c>
      <c r="AS8" s="50">
        <f ca="1">+GETPIVOTDATA("XXB4",'xabang (2016)'!$A$3,"MA_HT","LUC","MA_QH","TSC")</f>
        <v>0</v>
      </c>
      <c r="AT8" s="50">
        <f ca="1">+GETPIVOTDATA("XXB4",'xabang (2016)'!$A$3,"MA_HT","LUC","MA_QH","DTS")</f>
        <v>0</v>
      </c>
      <c r="AU8" s="50">
        <f ca="1">+GETPIVOTDATA("XXB4",'xabang (2016)'!$A$3,"MA_HT","LUC","MA_QH","DNG")</f>
        <v>0</v>
      </c>
      <c r="AV8" s="50">
        <f ca="1">+GETPIVOTDATA("XXB4",'xabang (2016)'!$A$3,"MA_HT","LUC","MA_QH","TON")</f>
        <v>0</v>
      </c>
      <c r="AW8" s="50">
        <f ca="1">+GETPIVOTDATA("XXB4",'xabang (2016)'!$A$3,"MA_HT","LUC","MA_QH","NTD")</f>
        <v>0</v>
      </c>
      <c r="AX8" s="50">
        <f ca="1">+GETPIVOTDATA("XXB4",'xabang (2016)'!$A$3,"MA_HT","LUC","MA_QH","SKX")</f>
        <v>0</v>
      </c>
      <c r="AY8" s="50">
        <f ca="1">+GETPIVOTDATA("XXB4",'xabang (2016)'!$A$3,"MA_HT","LUC","MA_QH","DSH")</f>
        <v>0</v>
      </c>
      <c r="AZ8" s="50">
        <f ca="1">+GETPIVOTDATA("XXB4",'xabang (2016)'!$A$3,"MA_HT","LUC","MA_QH","DKV")</f>
        <v>0</v>
      </c>
      <c r="BA8" s="88">
        <f ca="1">+GETPIVOTDATA("XXB4",'xabang (2016)'!$A$3,"MA_HT","LUC","MA_QH","TIN")</f>
        <v>0</v>
      </c>
      <c r="BB8" s="50">
        <f ca="1">+GETPIVOTDATA("XXB4",'xabang (2016)'!$A$3,"MA_HT","LUC","MA_QH","SON")</f>
        <v>0</v>
      </c>
      <c r="BC8" s="50">
        <f ca="1">+GETPIVOTDATA("XXB4",'xabang (2016)'!$A$3,"MA_HT","LUC","MA_QH","MNC")</f>
        <v>0</v>
      </c>
      <c r="BD8" s="50">
        <f ca="1">+GETPIVOTDATA("XXB4",'xabang (2016)'!$A$3,"MA_HT","LUC","MA_QH","PNK")</f>
        <v>0</v>
      </c>
      <c r="BE8" s="80">
        <f ca="1">+GETPIVOTDATA("XXB4",'xabang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+GETPIVOTDATA("XXB4",'xabang (2016)'!$A$3,"MA_HT","LUK","MA_QH","LUC")</f>
        <v>0</v>
      </c>
      <c r="H9" s="49" t="e">
        <f ca="1">$D9-$BF9</f>
        <v>#REF!</v>
      </c>
      <c r="I9" s="50">
        <f ca="1">+GETPIVOTDATA("XXB4",'xabang (2016)'!$A$3,"MA_HT","LUK","MA_QH","LUN")</f>
        <v>0</v>
      </c>
      <c r="J9" s="50">
        <f ca="1">+GETPIVOTDATA("XXB4",'xabang (2016)'!$A$3,"MA_HT","LUK","MA_QH","HNK")</f>
        <v>0</v>
      </c>
      <c r="K9" s="50">
        <f ca="1">+GETPIVOTDATA("XXB4",'xabang (2016)'!$A$3,"MA_HT","LUK","MA_QH","CLN")</f>
        <v>0</v>
      </c>
      <c r="L9" s="50">
        <f ca="1">+GETPIVOTDATA("XXB4",'xabang (2016)'!$A$3,"MA_HT","LUK","MA_QH","RSX")</f>
        <v>0</v>
      </c>
      <c r="M9" s="50">
        <f ca="1">+GETPIVOTDATA("XXB4",'xabang (2016)'!$A$3,"MA_HT","LUK","MA_QH","RPH")</f>
        <v>0</v>
      </c>
      <c r="N9" s="50">
        <f ca="1">+GETPIVOTDATA("XXB4",'xabang (2016)'!$A$3,"MA_HT","LUK","MA_QH","RDD")</f>
        <v>0</v>
      </c>
      <c r="O9" s="50">
        <f ca="1">+GETPIVOTDATA("XXB4",'xabang (2016)'!$A$3,"MA_HT","LUK","MA_QH","NTS")</f>
        <v>0</v>
      </c>
      <c r="P9" s="50">
        <f ca="1">+GETPIVOTDATA("XXB4",'xabang (2016)'!$A$3,"MA_HT","LUK","MA_QH","LMU")</f>
        <v>0</v>
      </c>
      <c r="Q9" s="50">
        <f ca="1">+GETPIVOTDATA("XXB4",'xabang (2016)'!$A$3,"MA_HT","LUK","MA_QH","NKH")</f>
        <v>0</v>
      </c>
      <c r="R9" s="48">
        <f ca="1" t="shared" si="2"/>
        <v>0</v>
      </c>
      <c r="S9" s="50">
        <f ca="1">+GETPIVOTDATA("XXB4",'xabang (2016)'!$A$3,"MA_HT","LUK","MA_QH","CQP")</f>
        <v>0</v>
      </c>
      <c r="T9" s="50">
        <f ca="1">+GETPIVOTDATA("XXB4",'xabang (2016)'!$A$3,"MA_HT","LUK","MA_QH","CAN")</f>
        <v>0</v>
      </c>
      <c r="U9" s="50">
        <f ca="1">+GETPIVOTDATA("XXB4",'xabang (2016)'!$A$3,"MA_HT","LUK","MA_QH","SKK")</f>
        <v>0</v>
      </c>
      <c r="V9" s="50">
        <f ca="1">+GETPIVOTDATA("XXB4",'xabang (2016)'!$A$3,"MA_HT","LUK","MA_QH","SKT")</f>
        <v>0</v>
      </c>
      <c r="W9" s="50">
        <f ca="1">+GETPIVOTDATA("XXB4",'xabang (2016)'!$A$3,"MA_HT","LUK","MA_QH","SKN")</f>
        <v>0</v>
      </c>
      <c r="X9" s="50">
        <f ca="1">+GETPIVOTDATA("XXB4",'xabang (2016)'!$A$3,"MA_HT","LUK","MA_QH","TMD")</f>
        <v>0</v>
      </c>
      <c r="Y9" s="50">
        <f ca="1">+GETPIVOTDATA("XXB4",'xabang (2016)'!$A$3,"MA_HT","LUK","MA_QH","SKC")</f>
        <v>0</v>
      </c>
      <c r="Z9" s="50">
        <f ca="1">+GETPIVOTDATA("XXB4",'xabang (2016)'!$A$3,"MA_HT","LUK","MA_QH","SKS")</f>
        <v>0</v>
      </c>
      <c r="AA9" s="52">
        <f ca="1" t="shared" si="4"/>
        <v>0</v>
      </c>
      <c r="AB9" s="50">
        <f ca="1">+GETPIVOTDATA("XXB4",'xabang (2016)'!$A$3,"MA_HT","LUK","MA_QH","DGT")</f>
        <v>0</v>
      </c>
      <c r="AC9" s="50">
        <f ca="1">+GETPIVOTDATA("XXB4",'xabang (2016)'!$A$3,"MA_HT","LUK","MA_QH","DTL")</f>
        <v>0</v>
      </c>
      <c r="AD9" s="50">
        <f ca="1">+GETPIVOTDATA("XXB4",'xabang (2016)'!$A$3,"MA_HT","LUK","MA_QH","DNL")</f>
        <v>0</v>
      </c>
      <c r="AE9" s="50">
        <f ca="1">+GETPIVOTDATA("XXB4",'xabang (2016)'!$A$3,"MA_HT","LUK","MA_QH","DBV")</f>
        <v>0</v>
      </c>
      <c r="AF9" s="50">
        <f ca="1">+GETPIVOTDATA("XXB4",'xabang (2016)'!$A$3,"MA_HT","LUK","MA_QH","DVH")</f>
        <v>0</v>
      </c>
      <c r="AG9" s="50">
        <f ca="1">+GETPIVOTDATA("XXB4",'xabang (2016)'!$A$3,"MA_HT","LUK","MA_QH","DYT")</f>
        <v>0</v>
      </c>
      <c r="AH9" s="50">
        <f ca="1">+GETPIVOTDATA("XXB4",'xabang (2016)'!$A$3,"MA_HT","LUK","MA_QH","DGD")</f>
        <v>0</v>
      </c>
      <c r="AI9" s="50">
        <f ca="1">+GETPIVOTDATA("XXB4",'xabang (2016)'!$A$3,"MA_HT","LUK","MA_QH","DTT")</f>
        <v>0</v>
      </c>
      <c r="AJ9" s="50">
        <f ca="1">+GETPIVOTDATA("XXB4",'xabang (2016)'!$A$3,"MA_HT","LUK","MA_QH","NCK")</f>
        <v>0</v>
      </c>
      <c r="AK9" s="50">
        <f ca="1">+GETPIVOTDATA("XXB4",'xabang (2016)'!$A$3,"MA_HT","LUK","MA_QH","DXH")</f>
        <v>0</v>
      </c>
      <c r="AL9" s="50">
        <f ca="1">+GETPIVOTDATA("XXB4",'xabang (2016)'!$A$3,"MA_HT","LUK","MA_QH","DCH")</f>
        <v>0</v>
      </c>
      <c r="AM9" s="50">
        <f ca="1">+GETPIVOTDATA("XXB4",'xabang (2016)'!$A$3,"MA_HT","LUK","MA_QH","DKG")</f>
        <v>0</v>
      </c>
      <c r="AN9" s="50">
        <f ca="1">+GETPIVOTDATA("XXB4",'xabang (2016)'!$A$3,"MA_HT","LUK","MA_QH","DDT")</f>
        <v>0</v>
      </c>
      <c r="AO9" s="50">
        <f ca="1">+GETPIVOTDATA("XXB4",'xabang (2016)'!$A$3,"MA_HT","LUK","MA_QH","DDL")</f>
        <v>0</v>
      </c>
      <c r="AP9" s="50">
        <f ca="1">+GETPIVOTDATA("XXB4",'xabang (2016)'!$A$3,"MA_HT","LUK","MA_QH","DRA")</f>
        <v>0</v>
      </c>
      <c r="AQ9" s="50">
        <f ca="1">+GETPIVOTDATA("XXB4",'xabang (2016)'!$A$3,"MA_HT","LUK","MA_QH","ONT")</f>
        <v>0</v>
      </c>
      <c r="AR9" s="50">
        <f ca="1">+GETPIVOTDATA("XXB4",'xabang (2016)'!$A$3,"MA_HT","LUK","MA_QH","ODT")</f>
        <v>0</v>
      </c>
      <c r="AS9" s="50">
        <f ca="1">+GETPIVOTDATA("XXB4",'xabang (2016)'!$A$3,"MA_HT","LUK","MA_QH","TSC")</f>
        <v>0</v>
      </c>
      <c r="AT9" s="50">
        <f ca="1">+GETPIVOTDATA("XXB4",'xabang (2016)'!$A$3,"MA_HT","LUK","MA_QH","DTS")</f>
        <v>0</v>
      </c>
      <c r="AU9" s="50">
        <f ca="1">+GETPIVOTDATA("XXB4",'xabang (2016)'!$A$3,"MA_HT","LUK","MA_QH","DNG")</f>
        <v>0</v>
      </c>
      <c r="AV9" s="50">
        <f ca="1">+GETPIVOTDATA("XXB4",'xabang (2016)'!$A$3,"MA_HT","LUK","MA_QH","TON")</f>
        <v>0</v>
      </c>
      <c r="AW9" s="50">
        <f ca="1">+GETPIVOTDATA("XXB4",'xabang (2016)'!$A$3,"MA_HT","LUK","MA_QH","NTD")</f>
        <v>0</v>
      </c>
      <c r="AX9" s="50">
        <f ca="1">+GETPIVOTDATA("XXB4",'xabang (2016)'!$A$3,"MA_HT","LUK","MA_QH","SKX")</f>
        <v>0</v>
      </c>
      <c r="AY9" s="50">
        <f ca="1">+GETPIVOTDATA("XXB4",'xabang (2016)'!$A$3,"MA_HT","LUK","MA_QH","DSH")</f>
        <v>0</v>
      </c>
      <c r="AZ9" s="50">
        <f ca="1">+GETPIVOTDATA("XXB4",'xabang (2016)'!$A$3,"MA_HT","LUK","MA_QH","DKV")</f>
        <v>0</v>
      </c>
      <c r="BA9" s="88">
        <f ca="1">+GETPIVOTDATA("XXB4",'xabang (2016)'!$A$3,"MA_HT","LUK","MA_QH","TIN")</f>
        <v>0</v>
      </c>
      <c r="BB9" s="50">
        <f ca="1">+GETPIVOTDATA("XXB4",'xabang (2016)'!$A$3,"MA_HT","LUK","MA_QH","SON")</f>
        <v>0</v>
      </c>
      <c r="BC9" s="50">
        <f ca="1">+GETPIVOTDATA("XXB4",'xabang (2016)'!$A$3,"MA_HT","LUK","MA_QH","MNC")</f>
        <v>0</v>
      </c>
      <c r="BD9" s="50">
        <f ca="1">+GETPIVOTDATA("XXB4",'xabang (2016)'!$A$3,"MA_HT","LUK","MA_QH","PNK")</f>
        <v>0</v>
      </c>
      <c r="BE9" s="80">
        <f ca="1">+GETPIVOTDATA("XXB4",'xabang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+GETPIVOTDATA("XXB4",'xabang (2016)'!$A$3,"MA_HT","LUN","MA_QH","LUC")</f>
        <v>0</v>
      </c>
      <c r="H10" s="50">
        <f ca="1">+GETPIVOTDATA("XXB4",'xabang (2016)'!$A$3,"MA_HT","LUN","MA_QH","LUK")</f>
        <v>0</v>
      </c>
      <c r="I10" s="49" t="e">
        <f ca="1">$D10-$BF10</f>
        <v>#REF!</v>
      </c>
      <c r="J10" s="50">
        <f ca="1">+GETPIVOTDATA("XXB4",'xabang (2016)'!$A$3,"MA_HT","LUN","MA_QH","HNK")</f>
        <v>0</v>
      </c>
      <c r="K10" s="50">
        <f ca="1">+GETPIVOTDATA("XXB4",'xabang (2016)'!$A$3,"MA_HT","LUN","MA_QH","CLN")</f>
        <v>0</v>
      </c>
      <c r="L10" s="50">
        <f ca="1">+GETPIVOTDATA("XXB4",'xabang (2016)'!$A$3,"MA_HT","LUN","MA_QH","RSX")</f>
        <v>0</v>
      </c>
      <c r="M10" s="50">
        <f ca="1">+GETPIVOTDATA("XXB4",'xabang (2016)'!$A$3,"MA_HT","LUN","MA_QH","RPH")</f>
        <v>0</v>
      </c>
      <c r="N10" s="50">
        <f ca="1">+GETPIVOTDATA("XXB4",'xabang (2016)'!$A$3,"MA_HT","LUN","MA_QH","RDD")</f>
        <v>0</v>
      </c>
      <c r="O10" s="50">
        <f ca="1">+GETPIVOTDATA("XXB4",'xabang (2016)'!$A$3,"MA_HT","LUN","MA_QH","NTS")</f>
        <v>0</v>
      </c>
      <c r="P10" s="50">
        <f ca="1">+GETPIVOTDATA("XXB4",'xabang (2016)'!$A$3,"MA_HT","LUN","MA_QH","LMU")</f>
        <v>0</v>
      </c>
      <c r="Q10" s="50">
        <f ca="1">+GETPIVOTDATA("XXB4",'xabang (2016)'!$A$3,"MA_HT","LUN","MA_QH","NKH")</f>
        <v>0</v>
      </c>
      <c r="R10" s="48">
        <f ca="1" t="shared" si="2"/>
        <v>0</v>
      </c>
      <c r="S10" s="50">
        <f ca="1">+GETPIVOTDATA("XXB4",'xabang (2016)'!$A$3,"MA_HT","LUN","MA_QH","CQP")</f>
        <v>0</v>
      </c>
      <c r="T10" s="50">
        <f ca="1">+GETPIVOTDATA("XXB4",'xabang (2016)'!$A$3,"MA_HT","LUN","MA_QH","CAN")</f>
        <v>0</v>
      </c>
      <c r="U10" s="50">
        <f ca="1">+GETPIVOTDATA("XXB4",'xabang (2016)'!$A$3,"MA_HT","LUN","MA_QH","SKK")</f>
        <v>0</v>
      </c>
      <c r="V10" s="50">
        <f ca="1">+GETPIVOTDATA("XXB4",'xabang (2016)'!$A$3,"MA_HT","LUN","MA_QH","SKT")</f>
        <v>0</v>
      </c>
      <c r="W10" s="50">
        <f ca="1">+GETPIVOTDATA("XXB4",'xabang (2016)'!$A$3,"MA_HT","LUN","MA_QH","SKN")</f>
        <v>0</v>
      </c>
      <c r="X10" s="50">
        <f ca="1">+GETPIVOTDATA("XXB4",'xabang (2016)'!$A$3,"MA_HT","LUN","MA_QH","TMD")</f>
        <v>0</v>
      </c>
      <c r="Y10" s="50">
        <f ca="1">+GETPIVOTDATA("XXB4",'xabang (2016)'!$A$3,"MA_HT","LUN","MA_QH","SKC")</f>
        <v>0</v>
      </c>
      <c r="Z10" s="50">
        <f ca="1">+GETPIVOTDATA("XXB4",'xabang (2016)'!$A$3,"MA_HT","LUN","MA_QH","SKS")</f>
        <v>0</v>
      </c>
      <c r="AA10" s="52">
        <f ca="1" t="shared" si="4"/>
        <v>0</v>
      </c>
      <c r="AB10" s="50">
        <f ca="1">+GETPIVOTDATA("XXB4",'xabang (2016)'!$A$3,"MA_HT","LUN","MA_QH","DGT")</f>
        <v>0</v>
      </c>
      <c r="AC10" s="50">
        <f ca="1">+GETPIVOTDATA("XXB4",'xabang (2016)'!$A$3,"MA_HT","LUN","MA_QH","DTL")</f>
        <v>0</v>
      </c>
      <c r="AD10" s="50">
        <f ca="1">+GETPIVOTDATA("XXB4",'xabang (2016)'!$A$3,"MA_HT","LUN","MA_QH","DNL")</f>
        <v>0</v>
      </c>
      <c r="AE10" s="50">
        <f ca="1">+GETPIVOTDATA("XXB4",'xabang (2016)'!$A$3,"MA_HT","LUN","MA_QH","DBV")</f>
        <v>0</v>
      </c>
      <c r="AF10" s="50">
        <f ca="1">+GETPIVOTDATA("XXB4",'xabang (2016)'!$A$3,"MA_HT","LUN","MA_QH","DVH")</f>
        <v>0</v>
      </c>
      <c r="AG10" s="50">
        <f ca="1">+GETPIVOTDATA("XXB4",'xabang (2016)'!$A$3,"MA_HT","LUN","MA_QH","DYT")</f>
        <v>0</v>
      </c>
      <c r="AH10" s="50">
        <f ca="1">+GETPIVOTDATA("XXB4",'xabang (2016)'!$A$3,"MA_HT","LUN","MA_QH","DGD")</f>
        <v>0</v>
      </c>
      <c r="AI10" s="50">
        <f ca="1">+GETPIVOTDATA("XXB4",'xabang (2016)'!$A$3,"MA_HT","LUN","MA_QH","DTT")</f>
        <v>0</v>
      </c>
      <c r="AJ10" s="50">
        <f ca="1">+GETPIVOTDATA("XXB4",'xabang (2016)'!$A$3,"MA_HT","LUN","MA_QH","NCK")</f>
        <v>0</v>
      </c>
      <c r="AK10" s="50">
        <f ca="1">+GETPIVOTDATA("XXB4",'xabang (2016)'!$A$3,"MA_HT","LUN","MA_QH","DXH")</f>
        <v>0</v>
      </c>
      <c r="AL10" s="50">
        <f ca="1">+GETPIVOTDATA("XXB4",'xabang (2016)'!$A$3,"MA_HT","LUN","MA_QH","DCH")</f>
        <v>0</v>
      </c>
      <c r="AM10" s="50">
        <f ca="1">+GETPIVOTDATA("XXB4",'xabang (2016)'!$A$3,"MA_HT","LUN","MA_QH","DKG")</f>
        <v>0</v>
      </c>
      <c r="AN10" s="50">
        <f ca="1">+GETPIVOTDATA("XXB4",'xabang (2016)'!$A$3,"MA_HT","LUN","MA_QH","DDT")</f>
        <v>0</v>
      </c>
      <c r="AO10" s="50">
        <f ca="1">+GETPIVOTDATA("XXB4",'xabang (2016)'!$A$3,"MA_HT","LUN","MA_QH","DDL")</f>
        <v>0</v>
      </c>
      <c r="AP10" s="50">
        <f ca="1">+GETPIVOTDATA("XXB4",'xabang (2016)'!$A$3,"MA_HT","LUN","MA_QH","DRA")</f>
        <v>0</v>
      </c>
      <c r="AQ10" s="50">
        <f ca="1">+GETPIVOTDATA("XXB4",'xabang (2016)'!$A$3,"MA_HT","LUN","MA_QH","ONT")</f>
        <v>0</v>
      </c>
      <c r="AR10" s="50">
        <f ca="1">+GETPIVOTDATA("XXB4",'xabang (2016)'!$A$3,"MA_HT","LUN","MA_QH","ODT")</f>
        <v>0</v>
      </c>
      <c r="AS10" s="50">
        <f ca="1">+GETPIVOTDATA("XXB4",'xabang (2016)'!$A$3,"MA_HT","LUN","MA_QH","TSC")</f>
        <v>0</v>
      </c>
      <c r="AT10" s="50">
        <f ca="1">+GETPIVOTDATA("XXB4",'xabang (2016)'!$A$3,"MA_HT","LUN","MA_QH","DTS")</f>
        <v>0</v>
      </c>
      <c r="AU10" s="50">
        <f ca="1">+GETPIVOTDATA("XXB4",'xabang (2016)'!$A$3,"MA_HT","LUN","MA_QH","DNG")</f>
        <v>0</v>
      </c>
      <c r="AV10" s="50">
        <f ca="1">+GETPIVOTDATA("XXB4",'xabang (2016)'!$A$3,"MA_HT","LUN","MA_QH","TON")</f>
        <v>0</v>
      </c>
      <c r="AW10" s="50">
        <f ca="1">+GETPIVOTDATA("XXB4",'xabang (2016)'!$A$3,"MA_HT","LUN","MA_QH","NTD")</f>
        <v>0</v>
      </c>
      <c r="AX10" s="50">
        <f ca="1">+GETPIVOTDATA("XXB4",'xabang (2016)'!$A$3,"MA_HT","LUN","MA_QH","SKX")</f>
        <v>0</v>
      </c>
      <c r="AY10" s="50">
        <f ca="1">+GETPIVOTDATA("XXB4",'xabang (2016)'!$A$3,"MA_HT","LUN","MA_QH","DSH")</f>
        <v>0</v>
      </c>
      <c r="AZ10" s="50">
        <f ca="1">+GETPIVOTDATA("XXB4",'xabang (2016)'!$A$3,"MA_HT","LUN","MA_QH","DKV")</f>
        <v>0</v>
      </c>
      <c r="BA10" s="88">
        <f ca="1">+GETPIVOTDATA("XXB4",'xabang (2016)'!$A$3,"MA_HT","LUN","MA_QH","TIN")</f>
        <v>0</v>
      </c>
      <c r="BB10" s="50">
        <f ca="1">+GETPIVOTDATA("XXB4",'xabang (2016)'!$A$3,"MA_HT","LUN","MA_QH","SON")</f>
        <v>0</v>
      </c>
      <c r="BC10" s="50">
        <f ca="1">+GETPIVOTDATA("XXB4",'xabang (2016)'!$A$3,"MA_HT","LUN","MA_QH","MNC")</f>
        <v>0</v>
      </c>
      <c r="BD10" s="50">
        <f ca="1">+GETPIVOTDATA("XXB4",'xabang (2016)'!$A$3,"MA_HT","LUN","MA_QH","PNK")</f>
        <v>0</v>
      </c>
      <c r="BE10" s="80">
        <f ca="1">+GETPIVOTDATA("XXB4",'xabang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+GETPIVOTDATA("XXB4",'xabang (2016)'!$A$3,"MA_HT","HNK","MA_QH","LUC")</f>
        <v>0</v>
      </c>
      <c r="H11" s="22">
        <f ca="1">+GETPIVOTDATA("XXB4",'xabang (2016)'!$A$3,"MA_HT","HNK","MA_QH","LUK")</f>
        <v>0</v>
      </c>
      <c r="I11" s="22">
        <f ca="1">+GETPIVOTDATA("XXB4",'xabang (2016)'!$A$3,"MA_HT","HNK","MA_QH","LUN")</f>
        <v>0</v>
      </c>
      <c r="J11" s="43" t="e">
        <f ca="1">$D11-$BF11</f>
        <v>#REF!</v>
      </c>
      <c r="K11" s="22">
        <f ca="1">+GETPIVOTDATA("XXB4",'xabang (2016)'!$A$3,"MA_HT","HNK","MA_QH","CLN")</f>
        <v>0</v>
      </c>
      <c r="L11" s="22">
        <f ca="1">+GETPIVOTDATA("XXB4",'xabang (2016)'!$A$3,"MA_HT","HNK","MA_QH","RSX")</f>
        <v>0</v>
      </c>
      <c r="M11" s="22">
        <f ca="1">+GETPIVOTDATA("XXB4",'xabang (2016)'!$A$3,"MA_HT","HNK","MA_QH","RPH")</f>
        <v>0</v>
      </c>
      <c r="N11" s="22">
        <f ca="1">+GETPIVOTDATA("XXB4",'xabang (2016)'!$A$3,"MA_HT","HNK","MA_QH","RDD")</f>
        <v>0</v>
      </c>
      <c r="O11" s="22">
        <f ca="1">+GETPIVOTDATA("XXB4",'xabang (2016)'!$A$3,"MA_HT","HNK","MA_QH","NTS")</f>
        <v>0</v>
      </c>
      <c r="P11" s="22">
        <f ca="1">+GETPIVOTDATA("XXB4",'xabang (2016)'!$A$3,"MA_HT","HNK","MA_QH","LMU")</f>
        <v>0</v>
      </c>
      <c r="Q11" s="22">
        <f ca="1">+GETPIVOTDATA("XXB4",'xabang (2016)'!$A$3,"MA_HT","HNK","MA_QH","NKH")</f>
        <v>0</v>
      </c>
      <c r="R11" s="42">
        <f ca="1" t="shared" si="2"/>
        <v>0</v>
      </c>
      <c r="S11" s="22">
        <f ca="1">+GETPIVOTDATA("XXB4",'xabang (2016)'!$A$3,"MA_HT","HNK","MA_QH","CQP")</f>
        <v>0</v>
      </c>
      <c r="T11" s="22">
        <f ca="1">+GETPIVOTDATA("XXB4",'xabang (2016)'!$A$3,"MA_HT","HNK","MA_QH","CAN")</f>
        <v>0</v>
      </c>
      <c r="U11" s="22">
        <f ca="1">+GETPIVOTDATA("XXB4",'xabang (2016)'!$A$3,"MA_HT","HNK","MA_QH","SKK")</f>
        <v>0</v>
      </c>
      <c r="V11" s="22">
        <f ca="1">+GETPIVOTDATA("XXB4",'xabang (2016)'!$A$3,"MA_HT","HNK","MA_QH","SKT")</f>
        <v>0</v>
      </c>
      <c r="W11" s="22">
        <f ca="1">+GETPIVOTDATA("XXB4",'xabang (2016)'!$A$3,"MA_HT","HNK","MA_QH","SKN")</f>
        <v>0</v>
      </c>
      <c r="X11" s="22">
        <f ca="1">+GETPIVOTDATA("XXB4",'xabang (2016)'!$A$3,"MA_HT","HNK","MA_QH","TMD")</f>
        <v>0</v>
      </c>
      <c r="Y11" s="22">
        <f ca="1">+GETPIVOTDATA("XXB4",'xabang (2016)'!$A$3,"MA_HT","HNK","MA_QH","SKC")</f>
        <v>0</v>
      </c>
      <c r="Z11" s="22">
        <f ca="1">+GETPIVOTDATA("XXB4",'xabang (2016)'!$A$3,"MA_HT","HNK","MA_QH","SKS")</f>
        <v>0</v>
      </c>
      <c r="AA11" s="52">
        <f ca="1" t="shared" si="4"/>
        <v>0</v>
      </c>
      <c r="AB11" s="22">
        <f ca="1">+GETPIVOTDATA("XXB4",'xabang (2016)'!$A$3,"MA_HT","HNK","MA_QH","DGT")</f>
        <v>0</v>
      </c>
      <c r="AC11" s="22">
        <f ca="1">+GETPIVOTDATA("XXB4",'xabang (2016)'!$A$3,"MA_HT","HNK","MA_QH","DTL")</f>
        <v>0</v>
      </c>
      <c r="AD11" s="22">
        <f ca="1">+GETPIVOTDATA("XXB4",'xabang (2016)'!$A$3,"MA_HT","HNK","MA_QH","DNL")</f>
        <v>0</v>
      </c>
      <c r="AE11" s="22">
        <f ca="1">+GETPIVOTDATA("XXB4",'xabang (2016)'!$A$3,"MA_HT","HNK","MA_QH","DBV")</f>
        <v>0</v>
      </c>
      <c r="AF11" s="22">
        <f ca="1">+GETPIVOTDATA("XXB4",'xabang (2016)'!$A$3,"MA_HT","HNK","MA_QH","DVH")</f>
        <v>0</v>
      </c>
      <c r="AG11" s="22">
        <f ca="1">+GETPIVOTDATA("XXB4",'xabang (2016)'!$A$3,"MA_HT","HNK","MA_QH","DYT")</f>
        <v>0</v>
      </c>
      <c r="AH11" s="22">
        <f ca="1">+GETPIVOTDATA("XXB4",'xabang (2016)'!$A$3,"MA_HT","HNK","MA_QH","DGD")</f>
        <v>0</v>
      </c>
      <c r="AI11" s="22">
        <f ca="1">+GETPIVOTDATA("XXB4",'xabang (2016)'!$A$3,"MA_HT","HNK","MA_QH","DTT")</f>
        <v>0</v>
      </c>
      <c r="AJ11" s="22">
        <f ca="1">+GETPIVOTDATA("XXB4",'xabang (2016)'!$A$3,"MA_HT","HNK","MA_QH","NCK")</f>
        <v>0</v>
      </c>
      <c r="AK11" s="22">
        <f ca="1">+GETPIVOTDATA("XXB4",'xabang (2016)'!$A$3,"MA_HT","HNK","MA_QH","DXH")</f>
        <v>0</v>
      </c>
      <c r="AL11" s="22">
        <f ca="1">+GETPIVOTDATA("XXB4",'xabang (2016)'!$A$3,"MA_HT","HNK","MA_QH","DCH")</f>
        <v>0</v>
      </c>
      <c r="AM11" s="22">
        <f ca="1">+GETPIVOTDATA("XXB4",'xabang (2016)'!$A$3,"MA_HT","HNK","MA_QH","DKG")</f>
        <v>0</v>
      </c>
      <c r="AN11" s="22">
        <f ca="1">+GETPIVOTDATA("XXB4",'xabang (2016)'!$A$3,"MA_HT","HNK","MA_QH","DDT")</f>
        <v>0</v>
      </c>
      <c r="AO11" s="22">
        <f ca="1">+GETPIVOTDATA("XXB4",'xabang (2016)'!$A$3,"MA_HT","HNK","MA_QH","DDL")</f>
        <v>0</v>
      </c>
      <c r="AP11" s="22">
        <f ca="1">+GETPIVOTDATA("XXB4",'xabang (2016)'!$A$3,"MA_HT","HNK","MA_QH","DRA")</f>
        <v>0</v>
      </c>
      <c r="AQ11" s="22">
        <f ca="1">+GETPIVOTDATA("XXB4",'xabang (2016)'!$A$3,"MA_HT","HNK","MA_QH","ONT")</f>
        <v>0</v>
      </c>
      <c r="AR11" s="22">
        <f ca="1">+GETPIVOTDATA("XXB4",'xabang (2016)'!$A$3,"MA_HT","HNK","MA_QH","ODT")</f>
        <v>0</v>
      </c>
      <c r="AS11" s="22">
        <f ca="1">+GETPIVOTDATA("XXB4",'xabang (2016)'!$A$3,"MA_HT","HNK","MA_QH","TSC")</f>
        <v>0</v>
      </c>
      <c r="AT11" s="22">
        <f ca="1">+GETPIVOTDATA("XXB4",'xabang (2016)'!$A$3,"MA_HT","HNK","MA_QH","DTS")</f>
        <v>0</v>
      </c>
      <c r="AU11" s="22">
        <f ca="1">+GETPIVOTDATA("XXB4",'xabang (2016)'!$A$3,"MA_HT","HNK","MA_QH","DNG")</f>
        <v>0</v>
      </c>
      <c r="AV11" s="22">
        <f ca="1">+GETPIVOTDATA("XXB4",'xabang (2016)'!$A$3,"MA_HT","HNK","MA_QH","TON")</f>
        <v>0</v>
      </c>
      <c r="AW11" s="22">
        <f ca="1">+GETPIVOTDATA("XXB4",'xabang (2016)'!$A$3,"MA_HT","HNK","MA_QH","NTD")</f>
        <v>0</v>
      </c>
      <c r="AX11" s="22">
        <f ca="1">+GETPIVOTDATA("XXB4",'xabang (2016)'!$A$3,"MA_HT","HNK","MA_QH","SKX")</f>
        <v>0</v>
      </c>
      <c r="AY11" s="22">
        <f ca="1">+GETPIVOTDATA("XXB4",'xabang (2016)'!$A$3,"MA_HT","HNK","MA_QH","DSH")</f>
        <v>0</v>
      </c>
      <c r="AZ11" s="22">
        <f ca="1">+GETPIVOTDATA("XXB4",'xabang (2016)'!$A$3,"MA_HT","HNK","MA_QH","DKV")</f>
        <v>0</v>
      </c>
      <c r="BA11" s="89">
        <f ca="1">+GETPIVOTDATA("XXB4",'xabang (2016)'!$A$3,"MA_HT","HNK","MA_QH","TIN")</f>
        <v>0</v>
      </c>
      <c r="BB11" s="50">
        <f ca="1">+GETPIVOTDATA("XXB4",'xabang (2016)'!$A$3,"MA_HT","HNK","MA_QH","SON")</f>
        <v>0</v>
      </c>
      <c r="BC11" s="50">
        <f ca="1">+GETPIVOTDATA("XXB4",'xabang (2016)'!$A$3,"MA_HT","HNK","MA_QH","MNC")</f>
        <v>0</v>
      </c>
      <c r="BD11" s="22">
        <f ca="1">+GETPIVOTDATA("XXB4",'xabang (2016)'!$A$3,"MA_HT","HNK","MA_QH","PNK")</f>
        <v>0</v>
      </c>
      <c r="BE11" s="71">
        <f ca="1">+GETPIVOTDATA("XXB4",'xabang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+GETPIVOTDATA("XXB4",'xabang (2016)'!$A$3,"MA_HT","CLN","MA_QH","LUC")</f>
        <v>0</v>
      </c>
      <c r="H12" s="22">
        <f ca="1">+GETPIVOTDATA("XXB4",'xabang (2016)'!$A$3,"MA_HT","CLN","MA_QH","LUK")</f>
        <v>0</v>
      </c>
      <c r="I12" s="22">
        <f ca="1">+GETPIVOTDATA("XXB4",'xabang (2016)'!$A$3,"MA_HT","CLN","MA_QH","LUN")</f>
        <v>0</v>
      </c>
      <c r="J12" s="22">
        <f ca="1">+GETPIVOTDATA("XXB4",'xabang (2016)'!$A$3,"MA_HT","CLN","MA_QH","HNK")</f>
        <v>0</v>
      </c>
      <c r="K12" s="43" t="e">
        <f ca="1">$D12-$BF12</f>
        <v>#REF!</v>
      </c>
      <c r="L12" s="22">
        <f ca="1">+GETPIVOTDATA("XXB4",'xabang (2016)'!$A$3,"MA_HT","CLN","MA_QH","RSX")</f>
        <v>0</v>
      </c>
      <c r="M12" s="22">
        <f ca="1">+GETPIVOTDATA("XXB4",'xabang (2016)'!$A$3,"MA_HT","CLN","MA_QH","RPH")</f>
        <v>0</v>
      </c>
      <c r="N12" s="22">
        <f ca="1">+GETPIVOTDATA("XXB4",'xabang (2016)'!$A$3,"MA_HT","CLN","MA_QH","RDD")</f>
        <v>0</v>
      </c>
      <c r="O12" s="22">
        <f ca="1">+GETPIVOTDATA("XXB4",'xabang (2016)'!$A$3,"MA_HT","CLN","MA_QH","NTS")</f>
        <v>0</v>
      </c>
      <c r="P12" s="22">
        <f ca="1">+GETPIVOTDATA("XXB4",'xabang (2016)'!$A$3,"MA_HT","CLN","MA_QH","LMU")</f>
        <v>0</v>
      </c>
      <c r="Q12" s="22">
        <f ca="1">+GETPIVOTDATA("XXB4",'xabang (2016)'!$A$3,"MA_HT","CLN","MA_QH","NKH")</f>
        <v>0</v>
      </c>
      <c r="R12" s="42">
        <f ca="1" t="shared" si="2"/>
        <v>0</v>
      </c>
      <c r="S12" s="22">
        <f ca="1">+GETPIVOTDATA("XXB4",'xabang (2016)'!$A$3,"MA_HT","CLN","MA_QH","CQP")</f>
        <v>0</v>
      </c>
      <c r="T12" s="22">
        <f ca="1">+GETPIVOTDATA("XXB4",'xabang (2016)'!$A$3,"MA_HT","CLN","MA_QH","CAN")</f>
        <v>0</v>
      </c>
      <c r="U12" s="22">
        <f ca="1">+GETPIVOTDATA("XXB4",'xabang (2016)'!$A$3,"MA_HT","CLN","MA_QH","SKK")</f>
        <v>0</v>
      </c>
      <c r="V12" s="22">
        <f ca="1">+GETPIVOTDATA("XXB4",'xabang (2016)'!$A$3,"MA_HT","CLN","MA_QH","SKT")</f>
        <v>0</v>
      </c>
      <c r="W12" s="22">
        <f ca="1">+GETPIVOTDATA("XXB4",'xabang (2016)'!$A$3,"MA_HT","CLN","MA_QH","SKN")</f>
        <v>0</v>
      </c>
      <c r="X12" s="22">
        <f ca="1">+GETPIVOTDATA("XXB4",'xabang (2016)'!$A$3,"MA_HT","CLN","MA_QH","TMD")</f>
        <v>0</v>
      </c>
      <c r="Y12" s="22">
        <f ca="1">+GETPIVOTDATA("XXB4",'xabang (2016)'!$A$3,"MA_HT","CLN","MA_QH","SKC")</f>
        <v>0</v>
      </c>
      <c r="Z12" s="22">
        <f ca="1">+GETPIVOTDATA("XXB4",'xabang (2016)'!$A$3,"MA_HT","CLN","MA_QH","SKS")</f>
        <v>0</v>
      </c>
      <c r="AA12" s="52">
        <f ca="1" t="shared" si="4"/>
        <v>0</v>
      </c>
      <c r="AB12" s="22">
        <f ca="1">+GETPIVOTDATA("XXB4",'xabang (2016)'!$A$3,"MA_HT","CLN","MA_QH","DGT")</f>
        <v>0</v>
      </c>
      <c r="AC12" s="22">
        <f ca="1">+GETPIVOTDATA("XXB4",'xabang (2016)'!$A$3,"MA_HT","CLN","MA_QH","DTL")</f>
        <v>0</v>
      </c>
      <c r="AD12" s="22">
        <f ca="1">+GETPIVOTDATA("XXB4",'xabang (2016)'!$A$3,"MA_HT","CLN","MA_QH","DNL")</f>
        <v>0</v>
      </c>
      <c r="AE12" s="22">
        <f ca="1">+GETPIVOTDATA("XXB4",'xabang (2016)'!$A$3,"MA_HT","CLN","MA_QH","DBV")</f>
        <v>0</v>
      </c>
      <c r="AF12" s="22">
        <f ca="1">+GETPIVOTDATA("XXB4",'xabang (2016)'!$A$3,"MA_HT","CLN","MA_QH","DVH")</f>
        <v>0</v>
      </c>
      <c r="AG12" s="22">
        <f ca="1">+GETPIVOTDATA("XXB4",'xabang (2016)'!$A$3,"MA_HT","CLN","MA_QH","DYT")</f>
        <v>0</v>
      </c>
      <c r="AH12" s="22">
        <f ca="1">+GETPIVOTDATA("XXB4",'xabang (2016)'!$A$3,"MA_HT","CLN","MA_QH","DGD")</f>
        <v>0</v>
      </c>
      <c r="AI12" s="22">
        <f ca="1">+GETPIVOTDATA("XXB4",'xabang (2016)'!$A$3,"MA_HT","CLN","MA_QH","DTT")</f>
        <v>0</v>
      </c>
      <c r="AJ12" s="22">
        <f ca="1">+GETPIVOTDATA("XXB4",'xabang (2016)'!$A$3,"MA_HT","CLN","MA_QH","NCK")</f>
        <v>0</v>
      </c>
      <c r="AK12" s="22">
        <f ca="1">+GETPIVOTDATA("XXB4",'xabang (2016)'!$A$3,"MA_HT","CLN","MA_QH","DXH")</f>
        <v>0</v>
      </c>
      <c r="AL12" s="22">
        <f ca="1">+GETPIVOTDATA("XXB4",'xabang (2016)'!$A$3,"MA_HT","CLN","MA_QH","DCH")</f>
        <v>0</v>
      </c>
      <c r="AM12" s="22">
        <f ca="1">+GETPIVOTDATA("XXB4",'xabang (2016)'!$A$3,"MA_HT","CLN","MA_QH","DKG")</f>
        <v>0</v>
      </c>
      <c r="AN12" s="22">
        <f ca="1">+GETPIVOTDATA("XXB4",'xabang (2016)'!$A$3,"MA_HT","CLN","MA_QH","DDT")</f>
        <v>0</v>
      </c>
      <c r="AO12" s="22">
        <f ca="1">+GETPIVOTDATA("XXB4",'xabang (2016)'!$A$3,"MA_HT","CLN","MA_QH","DDL")</f>
        <v>0</v>
      </c>
      <c r="AP12" s="22">
        <f ca="1">+GETPIVOTDATA("XXB4",'xabang (2016)'!$A$3,"MA_HT","CLN","MA_QH","DRA")</f>
        <v>0</v>
      </c>
      <c r="AQ12" s="22">
        <f ca="1">+GETPIVOTDATA("XXB4",'xabang (2016)'!$A$3,"MA_HT","CLN","MA_QH","ONT")</f>
        <v>0</v>
      </c>
      <c r="AR12" s="22">
        <f ca="1">+GETPIVOTDATA("XXB4",'xabang (2016)'!$A$3,"MA_HT","CLN","MA_QH","ODT")</f>
        <v>0</v>
      </c>
      <c r="AS12" s="22">
        <f ca="1">+GETPIVOTDATA("XXB4",'xabang (2016)'!$A$3,"MA_HT","CLN","MA_QH","TSC")</f>
        <v>0</v>
      </c>
      <c r="AT12" s="22">
        <f ca="1">+GETPIVOTDATA("XXB4",'xabang (2016)'!$A$3,"MA_HT","CLN","MA_QH","DTS")</f>
        <v>0</v>
      </c>
      <c r="AU12" s="22">
        <f ca="1">+GETPIVOTDATA("XXB4",'xabang (2016)'!$A$3,"MA_HT","CLN","MA_QH","DNG")</f>
        <v>0</v>
      </c>
      <c r="AV12" s="22">
        <f ca="1">+GETPIVOTDATA("XXB4",'xabang (2016)'!$A$3,"MA_HT","CLN","MA_QH","TON")</f>
        <v>0</v>
      </c>
      <c r="AW12" s="22">
        <f ca="1">+GETPIVOTDATA("XXB4",'xabang (2016)'!$A$3,"MA_HT","CLN","MA_QH","NTD")</f>
        <v>0</v>
      </c>
      <c r="AX12" s="22">
        <f ca="1">+GETPIVOTDATA("XXB4",'xabang (2016)'!$A$3,"MA_HT","CLN","MA_QH","SKX")</f>
        <v>0</v>
      </c>
      <c r="AY12" s="22">
        <f ca="1">+GETPIVOTDATA("XXB4",'xabang (2016)'!$A$3,"MA_HT","CLN","MA_QH","DSH")</f>
        <v>0</v>
      </c>
      <c r="AZ12" s="22">
        <f ca="1">+GETPIVOTDATA("XXB4",'xabang (2016)'!$A$3,"MA_HT","CLN","MA_QH","DKV")</f>
        <v>0</v>
      </c>
      <c r="BA12" s="89">
        <f ca="1">+GETPIVOTDATA("XXB4",'xabang (2016)'!$A$3,"MA_HT","CLN","MA_QH","TIN")</f>
        <v>0</v>
      </c>
      <c r="BB12" s="50">
        <f ca="1">+GETPIVOTDATA("XXB4",'xabang (2016)'!$A$3,"MA_HT","CLN","MA_QH","SON")</f>
        <v>0</v>
      </c>
      <c r="BC12" s="50">
        <f ca="1">+GETPIVOTDATA("XXB4",'xabang (2016)'!$A$3,"MA_HT","CLN","MA_QH","MNC")</f>
        <v>0</v>
      </c>
      <c r="BD12" s="22">
        <f ca="1">+GETPIVOTDATA("XXB4",'xabang (2016)'!$A$3,"MA_HT","CLN","MA_QH","PNK")</f>
        <v>0</v>
      </c>
      <c r="BE12" s="71">
        <f ca="1">+GETPIVOTDATA("XXB4",'xabang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+GETPIVOTDATA("XXB4",'xabang (2016)'!$A$3,"MA_HT","RSX","MA_QH","LUC")</f>
        <v>0</v>
      </c>
      <c r="H13" s="22">
        <f ca="1">+GETPIVOTDATA("XXB4",'xabang (2016)'!$A$3,"MA_HT","RSX","MA_QH","LUK")</f>
        <v>0</v>
      </c>
      <c r="I13" s="22">
        <f ca="1">+GETPIVOTDATA("XXB4",'xabang (2016)'!$A$3,"MA_HT","RSX","MA_QH","LUN")</f>
        <v>0</v>
      </c>
      <c r="J13" s="22">
        <f ca="1">+GETPIVOTDATA("XXB4",'xabang (2016)'!$A$3,"MA_HT","RSX","MA_QH","HNK")</f>
        <v>0</v>
      </c>
      <c r="K13" s="22">
        <f ca="1">+GETPIVOTDATA("XXB4",'xabang (2016)'!$A$3,"MA_HT","RSX","MA_QH","CLN")</f>
        <v>0</v>
      </c>
      <c r="L13" s="43" t="e">
        <f ca="1">$D13-$BF13</f>
        <v>#REF!</v>
      </c>
      <c r="M13" s="22">
        <f ca="1">+GETPIVOTDATA("XXB4",'xabang (2016)'!$A$3,"MA_HT","RSX","MA_QH","RPH")</f>
        <v>0</v>
      </c>
      <c r="N13" s="22">
        <f ca="1">+GETPIVOTDATA("XXB4",'xabang (2016)'!$A$3,"MA_HT","RSX","MA_QH","RDD")</f>
        <v>0</v>
      </c>
      <c r="O13" s="22">
        <f ca="1">+GETPIVOTDATA("XXB4",'xabang (2016)'!$A$3,"MA_HT","RSX","MA_QH","NTS")</f>
        <v>0</v>
      </c>
      <c r="P13" s="22">
        <f ca="1">+GETPIVOTDATA("XXB4",'xabang (2016)'!$A$3,"MA_HT","RSX","MA_QH","LMU")</f>
        <v>0</v>
      </c>
      <c r="Q13" s="22">
        <f ca="1">+GETPIVOTDATA("XXB4",'xabang (2016)'!$A$3,"MA_HT","RSX","MA_QH","NKH")</f>
        <v>0</v>
      </c>
      <c r="R13" s="42">
        <f ca="1" t="shared" si="2"/>
        <v>0</v>
      </c>
      <c r="S13" s="22">
        <f ca="1">+GETPIVOTDATA("XXB4",'xabang (2016)'!$A$3,"MA_HT","RSX","MA_QH","CQP")</f>
        <v>0</v>
      </c>
      <c r="T13" s="22">
        <f ca="1">+GETPIVOTDATA("XXB4",'xabang (2016)'!$A$3,"MA_HT","RSX","MA_QH","CAN")</f>
        <v>0</v>
      </c>
      <c r="U13" s="22">
        <f ca="1">+GETPIVOTDATA("XXB4",'xabang (2016)'!$A$3,"MA_HT","RSX","MA_QH","SKK")</f>
        <v>0</v>
      </c>
      <c r="V13" s="22">
        <f ca="1">+GETPIVOTDATA("XXB4",'xabang (2016)'!$A$3,"MA_HT","RSX","MA_QH","SKT")</f>
        <v>0</v>
      </c>
      <c r="W13" s="22">
        <f ca="1">+GETPIVOTDATA("XXB4",'xabang (2016)'!$A$3,"MA_HT","RSX","MA_QH","SKN")</f>
        <v>0</v>
      </c>
      <c r="X13" s="22">
        <f ca="1">+GETPIVOTDATA("XXB4",'xabang (2016)'!$A$3,"MA_HT","RSX","MA_QH","TMD")</f>
        <v>0</v>
      </c>
      <c r="Y13" s="22">
        <f ca="1">+GETPIVOTDATA("XXB4",'xabang (2016)'!$A$3,"MA_HT","RSX","MA_QH","SKC")</f>
        <v>0</v>
      </c>
      <c r="Z13" s="22">
        <f ca="1">+GETPIVOTDATA("XXB4",'xabang (2016)'!$A$3,"MA_HT","RSX","MA_QH","SKS")</f>
        <v>0</v>
      </c>
      <c r="AA13" s="52">
        <f ca="1" t="shared" si="4"/>
        <v>0</v>
      </c>
      <c r="AB13" s="22">
        <f ca="1">+GETPIVOTDATA("XXB4",'xabang (2016)'!$A$3,"MA_HT","RSX","MA_QH","DGT")</f>
        <v>0</v>
      </c>
      <c r="AC13" s="22">
        <f ca="1">+GETPIVOTDATA("XXB4",'xabang (2016)'!$A$3,"MA_HT","RSX","MA_QH","DTL")</f>
        <v>0</v>
      </c>
      <c r="AD13" s="22">
        <f ca="1">+GETPIVOTDATA("XXB4",'xabang (2016)'!$A$3,"MA_HT","RSX","MA_QH","DNL")</f>
        <v>0</v>
      </c>
      <c r="AE13" s="22">
        <f ca="1">+GETPIVOTDATA("XXB4",'xabang (2016)'!$A$3,"MA_HT","RSX","MA_QH","DBV")</f>
        <v>0</v>
      </c>
      <c r="AF13" s="22">
        <f ca="1">+GETPIVOTDATA("XXB4",'xabang (2016)'!$A$3,"MA_HT","RSX","MA_QH","DVH")</f>
        <v>0</v>
      </c>
      <c r="AG13" s="22">
        <f ca="1">+GETPIVOTDATA("XXB4",'xabang (2016)'!$A$3,"MA_HT","RSX","MA_QH","DYT")</f>
        <v>0</v>
      </c>
      <c r="AH13" s="22">
        <f ca="1">+GETPIVOTDATA("XXB4",'xabang (2016)'!$A$3,"MA_HT","RSX","MA_QH","DGD")</f>
        <v>0</v>
      </c>
      <c r="AI13" s="22">
        <f ca="1">+GETPIVOTDATA("XXB4",'xabang (2016)'!$A$3,"MA_HT","RSX","MA_QH","DTT")</f>
        <v>0</v>
      </c>
      <c r="AJ13" s="22">
        <f ca="1">+GETPIVOTDATA("XXB4",'xabang (2016)'!$A$3,"MA_HT","RSX","MA_QH","NCK")</f>
        <v>0</v>
      </c>
      <c r="AK13" s="22">
        <f ca="1">+GETPIVOTDATA("XXB4",'xabang (2016)'!$A$3,"MA_HT","RSX","MA_QH","DXH")</f>
        <v>0</v>
      </c>
      <c r="AL13" s="22">
        <f ca="1">+GETPIVOTDATA("XXB4",'xabang (2016)'!$A$3,"MA_HT","RSX","MA_QH","DCH")</f>
        <v>0</v>
      </c>
      <c r="AM13" s="22">
        <f ca="1">+GETPIVOTDATA("XXB4",'xabang (2016)'!$A$3,"MA_HT","RSX","MA_QH","DKG")</f>
        <v>0</v>
      </c>
      <c r="AN13" s="22">
        <f ca="1">+GETPIVOTDATA("XXB4",'xabang (2016)'!$A$3,"MA_HT","RSX","MA_QH","DDT")</f>
        <v>0</v>
      </c>
      <c r="AO13" s="22">
        <f ca="1">+GETPIVOTDATA("XXB4",'xabang (2016)'!$A$3,"MA_HT","RSX","MA_QH","DDL")</f>
        <v>0</v>
      </c>
      <c r="AP13" s="22">
        <f ca="1">+GETPIVOTDATA("XXB4",'xabang (2016)'!$A$3,"MA_HT","RSX","MA_QH","DRA")</f>
        <v>0</v>
      </c>
      <c r="AQ13" s="22">
        <f ca="1">+GETPIVOTDATA("XXB4",'xabang (2016)'!$A$3,"MA_HT","RSX","MA_QH","ONT")</f>
        <v>0</v>
      </c>
      <c r="AR13" s="22">
        <f ca="1">+GETPIVOTDATA("XXB4",'xabang (2016)'!$A$3,"MA_HT","RSX","MA_QH","ODT")</f>
        <v>0</v>
      </c>
      <c r="AS13" s="22">
        <f ca="1">+GETPIVOTDATA("XXB4",'xabang (2016)'!$A$3,"MA_HT","RSX","MA_QH","TSC")</f>
        <v>0</v>
      </c>
      <c r="AT13" s="22">
        <f ca="1">+GETPIVOTDATA("XXB4",'xabang (2016)'!$A$3,"MA_HT","RSX","MA_QH","DTS")</f>
        <v>0</v>
      </c>
      <c r="AU13" s="22">
        <f ca="1">+GETPIVOTDATA("XXB4",'xabang (2016)'!$A$3,"MA_HT","RSX","MA_QH","DNG")</f>
        <v>0</v>
      </c>
      <c r="AV13" s="22">
        <f ca="1">+GETPIVOTDATA("XXB4",'xabang (2016)'!$A$3,"MA_HT","RSX","MA_QH","TON")</f>
        <v>0</v>
      </c>
      <c r="AW13" s="22">
        <f ca="1">+GETPIVOTDATA("XXB4",'xabang (2016)'!$A$3,"MA_HT","RSX","MA_QH","NTD")</f>
        <v>0</v>
      </c>
      <c r="AX13" s="22">
        <f ca="1">+GETPIVOTDATA("XXB4",'xabang (2016)'!$A$3,"MA_HT","RSX","MA_QH","SKX")</f>
        <v>0</v>
      </c>
      <c r="AY13" s="22">
        <f ca="1">+GETPIVOTDATA("XXB4",'xabang (2016)'!$A$3,"MA_HT","RSX","MA_QH","DSH")</f>
        <v>0</v>
      </c>
      <c r="AZ13" s="22">
        <f ca="1">+GETPIVOTDATA("XXB4",'xabang (2016)'!$A$3,"MA_HT","RSX","MA_QH","DKV")</f>
        <v>0</v>
      </c>
      <c r="BA13" s="89">
        <f ca="1">+GETPIVOTDATA("XXB4",'xabang (2016)'!$A$3,"MA_HT","RSX","MA_QH","TIN")</f>
        <v>0</v>
      </c>
      <c r="BB13" s="50">
        <f ca="1">+GETPIVOTDATA("XXB4",'xabang (2016)'!$A$3,"MA_HT","RSX","MA_QH","SON")</f>
        <v>0</v>
      </c>
      <c r="BC13" s="50">
        <f ca="1">+GETPIVOTDATA("XXB4",'xabang (2016)'!$A$3,"MA_HT","RSX","MA_QH","MNC")</f>
        <v>0</v>
      </c>
      <c r="BD13" s="22">
        <f ca="1">+GETPIVOTDATA("XXB4",'xabang (2016)'!$A$3,"MA_HT","RSX","MA_QH","PNK")</f>
        <v>0</v>
      </c>
      <c r="BE13" s="71">
        <f ca="1">+GETPIVOTDATA("XXB4",'xabang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+GETPIVOTDATA("XXB4",'xabang (2016)'!$A$3,"MA_HT","RPH","MA_QH","LUC")</f>
        <v>0</v>
      </c>
      <c r="H14" s="22">
        <f ca="1">+GETPIVOTDATA("XXB4",'xabang (2016)'!$A$3,"MA_HT","RPH","MA_QH","LUK")</f>
        <v>0</v>
      </c>
      <c r="I14" s="22">
        <f ca="1">+GETPIVOTDATA("XXB4",'xabang (2016)'!$A$3,"MA_HT","RPH","MA_QH","LUN")</f>
        <v>0</v>
      </c>
      <c r="J14" s="22">
        <f ca="1">+GETPIVOTDATA("XXB4",'xabang (2016)'!$A$3,"MA_HT","RPH","MA_QH","HNK")</f>
        <v>0</v>
      </c>
      <c r="K14" s="22">
        <f ca="1">+GETPIVOTDATA("XXB4",'xabang (2016)'!$A$3,"MA_HT","RPH","MA_QH","CLN")</f>
        <v>0</v>
      </c>
      <c r="L14" s="22">
        <f ca="1">+GETPIVOTDATA("XXB4",'xabang (2016)'!$A$3,"MA_HT","RPH","MA_QH","RSX")</f>
        <v>0</v>
      </c>
      <c r="M14" s="43" t="e">
        <f ca="1">$D14-$BF14</f>
        <v>#REF!</v>
      </c>
      <c r="N14" s="22">
        <f ca="1">+GETPIVOTDATA("XXB4",'xabang (2016)'!$A$3,"MA_HT","RPH","MA_QH","RDD")</f>
        <v>0</v>
      </c>
      <c r="O14" s="22">
        <f ca="1">+GETPIVOTDATA("XXB4",'xabang (2016)'!$A$3,"MA_HT","RPH","MA_QH","NTS")</f>
        <v>0</v>
      </c>
      <c r="P14" s="22">
        <f ca="1">+GETPIVOTDATA("XXB4",'xabang (2016)'!$A$3,"MA_HT","RPH","MA_QH","LMU")</f>
        <v>0</v>
      </c>
      <c r="Q14" s="22">
        <f ca="1">+GETPIVOTDATA("XXB4",'xabang (2016)'!$A$3,"MA_HT","RPH","MA_QH","NKH")</f>
        <v>0</v>
      </c>
      <c r="R14" s="42">
        <f ca="1" t="shared" si="2"/>
        <v>0</v>
      </c>
      <c r="S14" s="22">
        <f ca="1">+GETPIVOTDATA("XXB4",'xabang (2016)'!$A$3,"MA_HT","RPH","MA_QH","CQP")</f>
        <v>0</v>
      </c>
      <c r="T14" s="22">
        <f ca="1">+GETPIVOTDATA("XXB4",'xabang (2016)'!$A$3,"MA_HT","RPH","MA_QH","CAN")</f>
        <v>0</v>
      </c>
      <c r="U14" s="22">
        <f ca="1">+GETPIVOTDATA("XXB4",'xabang (2016)'!$A$3,"MA_HT","RPH","MA_QH","SKK")</f>
        <v>0</v>
      </c>
      <c r="V14" s="22">
        <f ca="1">+GETPIVOTDATA("XXB4",'xabang (2016)'!$A$3,"MA_HT","RPH","MA_QH","SKT")</f>
        <v>0</v>
      </c>
      <c r="W14" s="22">
        <f ca="1">+GETPIVOTDATA("XXB4",'xabang (2016)'!$A$3,"MA_HT","RPH","MA_QH","SKN")</f>
        <v>0</v>
      </c>
      <c r="X14" s="22">
        <f ca="1">+GETPIVOTDATA("XXB4",'xabang (2016)'!$A$3,"MA_HT","RPH","MA_QH","TMD")</f>
        <v>0</v>
      </c>
      <c r="Y14" s="22">
        <f ca="1">+GETPIVOTDATA("XXB4",'xabang (2016)'!$A$3,"MA_HT","RPH","MA_QH","SKC")</f>
        <v>0</v>
      </c>
      <c r="Z14" s="22">
        <f ca="1">+GETPIVOTDATA("XXB4",'xabang (2016)'!$A$3,"MA_HT","RPH","MA_QH","SKS")</f>
        <v>0</v>
      </c>
      <c r="AA14" s="52">
        <f ca="1" t="shared" si="4"/>
        <v>0</v>
      </c>
      <c r="AB14" s="22">
        <f ca="1">+GETPIVOTDATA("XXB4",'xabang (2016)'!$A$3,"MA_HT","RPH","MA_QH","DGT")</f>
        <v>0</v>
      </c>
      <c r="AC14" s="22">
        <f ca="1">+GETPIVOTDATA("XXB4",'xabang (2016)'!$A$3,"MA_HT","RPH","MA_QH","DTL")</f>
        <v>0</v>
      </c>
      <c r="AD14" s="22">
        <f ca="1">+GETPIVOTDATA("XXB4",'xabang (2016)'!$A$3,"MA_HT","RPH","MA_QH","DNL")</f>
        <v>0</v>
      </c>
      <c r="AE14" s="22">
        <f ca="1">+GETPIVOTDATA("XXB4",'xabang (2016)'!$A$3,"MA_HT","RPH","MA_QH","DBV")</f>
        <v>0</v>
      </c>
      <c r="AF14" s="22">
        <f ca="1">+GETPIVOTDATA("XXB4",'xabang (2016)'!$A$3,"MA_HT","RPH","MA_QH","DVH")</f>
        <v>0</v>
      </c>
      <c r="AG14" s="22">
        <f ca="1">+GETPIVOTDATA("XXB4",'xabang (2016)'!$A$3,"MA_HT","RPH","MA_QH","DYT")</f>
        <v>0</v>
      </c>
      <c r="AH14" s="22">
        <f ca="1">+GETPIVOTDATA("XXB4",'xabang (2016)'!$A$3,"MA_HT","RPH","MA_QH","DGD")</f>
        <v>0</v>
      </c>
      <c r="AI14" s="22">
        <f ca="1">+GETPIVOTDATA("XXB4",'xabang (2016)'!$A$3,"MA_HT","RPH","MA_QH","DTT")</f>
        <v>0</v>
      </c>
      <c r="AJ14" s="22">
        <f ca="1">+GETPIVOTDATA("XXB4",'xabang (2016)'!$A$3,"MA_HT","RPH","MA_QH","NCK")</f>
        <v>0</v>
      </c>
      <c r="AK14" s="22">
        <f ca="1">+GETPIVOTDATA("XXB4",'xabang (2016)'!$A$3,"MA_HT","RPH","MA_QH","DXH")</f>
        <v>0</v>
      </c>
      <c r="AL14" s="22">
        <f ca="1">+GETPIVOTDATA("XXB4",'xabang (2016)'!$A$3,"MA_HT","RPH","MA_QH","DCH")</f>
        <v>0</v>
      </c>
      <c r="AM14" s="22">
        <f ca="1">+GETPIVOTDATA("XXB4",'xabang (2016)'!$A$3,"MA_HT","RPH","MA_QH","DKG")</f>
        <v>0</v>
      </c>
      <c r="AN14" s="22">
        <f ca="1">+GETPIVOTDATA("XXB4",'xabang (2016)'!$A$3,"MA_HT","RPH","MA_QH","DDT")</f>
        <v>0</v>
      </c>
      <c r="AO14" s="22">
        <f ca="1">+GETPIVOTDATA("XXB4",'xabang (2016)'!$A$3,"MA_HT","RPH","MA_QH","DDL")</f>
        <v>0</v>
      </c>
      <c r="AP14" s="22">
        <f ca="1">+GETPIVOTDATA("XXB4",'xabang (2016)'!$A$3,"MA_HT","RPH","MA_QH","DRA")</f>
        <v>0</v>
      </c>
      <c r="AQ14" s="22">
        <f ca="1">+GETPIVOTDATA("XXB4",'xabang (2016)'!$A$3,"MA_HT","RPH","MA_QH","ONT")</f>
        <v>0</v>
      </c>
      <c r="AR14" s="22">
        <f ca="1">+GETPIVOTDATA("XXB4",'xabang (2016)'!$A$3,"MA_HT","RPH","MA_QH","ODT")</f>
        <v>0</v>
      </c>
      <c r="AS14" s="22">
        <f ca="1">+GETPIVOTDATA("XXB4",'xabang (2016)'!$A$3,"MA_HT","RPH","MA_QH","TSC")</f>
        <v>0</v>
      </c>
      <c r="AT14" s="22">
        <f ca="1">+GETPIVOTDATA("XXB4",'xabang (2016)'!$A$3,"MA_HT","RPH","MA_QH","DTS")</f>
        <v>0</v>
      </c>
      <c r="AU14" s="22">
        <f ca="1">+GETPIVOTDATA("XXB4",'xabang (2016)'!$A$3,"MA_HT","RPH","MA_QH","DNG")</f>
        <v>0</v>
      </c>
      <c r="AV14" s="22">
        <f ca="1">+GETPIVOTDATA("XXB4",'xabang (2016)'!$A$3,"MA_HT","RPH","MA_QH","TON")</f>
        <v>0</v>
      </c>
      <c r="AW14" s="22">
        <f ca="1">+GETPIVOTDATA("XXB4",'xabang (2016)'!$A$3,"MA_HT","RPH","MA_QH","NTD")</f>
        <v>0</v>
      </c>
      <c r="AX14" s="22">
        <f ca="1">+GETPIVOTDATA("XXB4",'xabang (2016)'!$A$3,"MA_HT","RPH","MA_QH","SKX")</f>
        <v>0</v>
      </c>
      <c r="AY14" s="22">
        <f ca="1">+GETPIVOTDATA("XXB4",'xabang (2016)'!$A$3,"MA_HT","RPH","MA_QH","DSH")</f>
        <v>0</v>
      </c>
      <c r="AZ14" s="22">
        <f ca="1">+GETPIVOTDATA("XXB4",'xabang (2016)'!$A$3,"MA_HT","RPH","MA_QH","DKV")</f>
        <v>0</v>
      </c>
      <c r="BA14" s="89">
        <f ca="1">+GETPIVOTDATA("XXB4",'xabang (2016)'!$A$3,"MA_HT","RPH","MA_QH","TIN")</f>
        <v>0</v>
      </c>
      <c r="BB14" s="50">
        <f ca="1">+GETPIVOTDATA("XXB4",'xabang (2016)'!$A$3,"MA_HT","RPH","MA_QH","SON")</f>
        <v>0</v>
      </c>
      <c r="BC14" s="50">
        <f ca="1">+GETPIVOTDATA("XXB4",'xabang (2016)'!$A$3,"MA_HT","RPH","MA_QH","MNC")</f>
        <v>0</v>
      </c>
      <c r="BD14" s="22">
        <f ca="1">+GETPIVOTDATA("XXB4",'xabang (2016)'!$A$3,"MA_HT","RPH","MA_QH","PNK")</f>
        <v>0</v>
      </c>
      <c r="BE14" s="71">
        <f ca="1">+GETPIVOTDATA("XXB4",'xabang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+GETPIVOTDATA("XXB4",'xabang (2016)'!$A$3,"MA_HT","RDD","MA_QH","LUC")</f>
        <v>0</v>
      </c>
      <c r="H15" s="22">
        <f ca="1">+GETPIVOTDATA("XXB4",'xabang (2016)'!$A$3,"MA_HT","RDD","MA_QH","LUK")</f>
        <v>0</v>
      </c>
      <c r="I15" s="22">
        <f ca="1">+GETPIVOTDATA("XXB4",'xabang (2016)'!$A$3,"MA_HT","RDD","MA_QH","LUN")</f>
        <v>0</v>
      </c>
      <c r="J15" s="22">
        <f ca="1">+GETPIVOTDATA("XXB4",'xabang (2016)'!$A$3,"MA_HT","RDD","MA_QH","HNK")</f>
        <v>0</v>
      </c>
      <c r="K15" s="22">
        <f ca="1">+GETPIVOTDATA("XXB4",'xabang (2016)'!$A$3,"MA_HT","RDD","MA_QH","CLN")</f>
        <v>0</v>
      </c>
      <c r="L15" s="22">
        <f ca="1">+GETPIVOTDATA("XXB4",'xabang (2016)'!$A$3,"MA_HT","RDD","MA_QH","RSX")</f>
        <v>0</v>
      </c>
      <c r="M15" s="22">
        <f ca="1">+GETPIVOTDATA("XXB4",'xabang (2016)'!$A$3,"MA_HT","RDD","MA_QH","RPH")</f>
        <v>0</v>
      </c>
      <c r="N15" s="43" t="e">
        <f ca="1">$D15-$BF15</f>
        <v>#REF!</v>
      </c>
      <c r="O15" s="22">
        <f ca="1">+GETPIVOTDATA("XXB4",'xabang (2016)'!$A$3,"MA_HT","RDD","MA_QH","NTS")</f>
        <v>0</v>
      </c>
      <c r="P15" s="22">
        <f ca="1">+GETPIVOTDATA("XXB4",'xabang (2016)'!$A$3,"MA_HT","RDD","MA_QH","LMU")</f>
        <v>0</v>
      </c>
      <c r="Q15" s="22">
        <f ca="1">+GETPIVOTDATA("XXB4",'xabang (2016)'!$A$3,"MA_HT","RDD","MA_QH","NKH")</f>
        <v>0</v>
      </c>
      <c r="R15" s="42">
        <f ca="1" t="shared" si="2"/>
        <v>0</v>
      </c>
      <c r="S15" s="22">
        <f ca="1">+GETPIVOTDATA("XXB4",'xabang (2016)'!$A$3,"MA_HT","RDD","MA_QH","CQP")</f>
        <v>0</v>
      </c>
      <c r="T15" s="22">
        <f ca="1">+GETPIVOTDATA("XXB4",'xabang (2016)'!$A$3,"MA_HT","RDD","MA_QH","CAN")</f>
        <v>0</v>
      </c>
      <c r="U15" s="22">
        <f ca="1">+GETPIVOTDATA("XXB4",'xabang (2016)'!$A$3,"MA_HT","RDD","MA_QH","SKK")</f>
        <v>0</v>
      </c>
      <c r="V15" s="22">
        <f ca="1">+GETPIVOTDATA("XXB4",'xabang (2016)'!$A$3,"MA_HT","RDD","MA_QH","SKT")</f>
        <v>0</v>
      </c>
      <c r="W15" s="22">
        <f ca="1">+GETPIVOTDATA("XXB4",'xabang (2016)'!$A$3,"MA_HT","RDD","MA_QH","SKN")</f>
        <v>0</v>
      </c>
      <c r="X15" s="22">
        <f ca="1">+GETPIVOTDATA("XXB4",'xabang (2016)'!$A$3,"MA_HT","RDD","MA_QH","TMD")</f>
        <v>0</v>
      </c>
      <c r="Y15" s="22">
        <f ca="1">+GETPIVOTDATA("XXB4",'xabang (2016)'!$A$3,"MA_HT","RDD","MA_QH","SKC")</f>
        <v>0</v>
      </c>
      <c r="Z15" s="22">
        <f ca="1">+GETPIVOTDATA("XXB4",'xabang (2016)'!$A$3,"MA_HT","RDD","MA_QH","SKS")</f>
        <v>0</v>
      </c>
      <c r="AA15" s="52">
        <f ca="1" t="shared" si="4"/>
        <v>0</v>
      </c>
      <c r="AB15" s="22">
        <f ca="1">+GETPIVOTDATA("XXB4",'xabang (2016)'!$A$3,"MA_HT","RDD","MA_QH","DGT")</f>
        <v>0</v>
      </c>
      <c r="AC15" s="22">
        <f ca="1">+GETPIVOTDATA("XXB4",'xabang (2016)'!$A$3,"MA_HT","RDD","MA_QH","DTL")</f>
        <v>0</v>
      </c>
      <c r="AD15" s="22">
        <f ca="1">+GETPIVOTDATA("XXB4",'xabang (2016)'!$A$3,"MA_HT","RDD","MA_QH","DNL")</f>
        <v>0</v>
      </c>
      <c r="AE15" s="22">
        <f ca="1">+GETPIVOTDATA("XXB4",'xabang (2016)'!$A$3,"MA_HT","RDD","MA_QH","DBV")</f>
        <v>0</v>
      </c>
      <c r="AF15" s="22">
        <f ca="1">+GETPIVOTDATA("XXB4",'xabang (2016)'!$A$3,"MA_HT","RDD","MA_QH","DVH")</f>
        <v>0</v>
      </c>
      <c r="AG15" s="22">
        <f ca="1">+GETPIVOTDATA("XXB4",'xabang (2016)'!$A$3,"MA_HT","RDD","MA_QH","DYT")</f>
        <v>0</v>
      </c>
      <c r="AH15" s="22">
        <f ca="1">+GETPIVOTDATA("XXB4",'xabang (2016)'!$A$3,"MA_HT","RDD","MA_QH","DGD")</f>
        <v>0</v>
      </c>
      <c r="AI15" s="22">
        <f ca="1">+GETPIVOTDATA("XXB4",'xabang (2016)'!$A$3,"MA_HT","RDD","MA_QH","DTT")</f>
        <v>0</v>
      </c>
      <c r="AJ15" s="22">
        <f ca="1">+GETPIVOTDATA("XXB4",'xabang (2016)'!$A$3,"MA_HT","RDD","MA_QH","NCK")</f>
        <v>0</v>
      </c>
      <c r="AK15" s="22">
        <f ca="1">+GETPIVOTDATA("XXB4",'xabang (2016)'!$A$3,"MA_HT","RDD","MA_QH","DXH")</f>
        <v>0</v>
      </c>
      <c r="AL15" s="22">
        <f ca="1">+GETPIVOTDATA("XXB4",'xabang (2016)'!$A$3,"MA_HT","RDD","MA_QH","DCH")</f>
        <v>0</v>
      </c>
      <c r="AM15" s="22">
        <f ca="1">+GETPIVOTDATA("XXB4",'xabang (2016)'!$A$3,"MA_HT","RDD","MA_QH","DKG")</f>
        <v>0</v>
      </c>
      <c r="AN15" s="22">
        <f ca="1">+GETPIVOTDATA("XXB4",'xabang (2016)'!$A$3,"MA_HT","RDD","MA_QH","DDT")</f>
        <v>0</v>
      </c>
      <c r="AO15" s="22">
        <f ca="1">+GETPIVOTDATA("XXB4",'xabang (2016)'!$A$3,"MA_HT","RDD","MA_QH","DDL")</f>
        <v>0</v>
      </c>
      <c r="AP15" s="22">
        <f ca="1">+GETPIVOTDATA("XXB4",'xabang (2016)'!$A$3,"MA_HT","RDD","MA_QH","DRA")</f>
        <v>0</v>
      </c>
      <c r="AQ15" s="22">
        <f ca="1">+GETPIVOTDATA("XXB4",'xabang (2016)'!$A$3,"MA_HT","RDD","MA_QH","ONT")</f>
        <v>0</v>
      </c>
      <c r="AR15" s="22">
        <f ca="1">+GETPIVOTDATA("XXB4",'xabang (2016)'!$A$3,"MA_HT","RDD","MA_QH","ODT")</f>
        <v>0</v>
      </c>
      <c r="AS15" s="22">
        <f ca="1">+GETPIVOTDATA("XXB4",'xabang (2016)'!$A$3,"MA_HT","RDD","MA_QH","TSC")</f>
        <v>0</v>
      </c>
      <c r="AT15" s="22">
        <f ca="1">+GETPIVOTDATA("XXB4",'xabang (2016)'!$A$3,"MA_HT","RDD","MA_QH","DTS")</f>
        <v>0</v>
      </c>
      <c r="AU15" s="22">
        <f ca="1">+GETPIVOTDATA("XXB4",'xabang (2016)'!$A$3,"MA_HT","RDD","MA_QH","DNG")</f>
        <v>0</v>
      </c>
      <c r="AV15" s="22">
        <f ca="1">+GETPIVOTDATA("XXB4",'xabang (2016)'!$A$3,"MA_HT","RDD","MA_QH","TON")</f>
        <v>0</v>
      </c>
      <c r="AW15" s="22">
        <f ca="1">+GETPIVOTDATA("XXB4",'xabang (2016)'!$A$3,"MA_HT","RDD","MA_QH","NTD")</f>
        <v>0</v>
      </c>
      <c r="AX15" s="22">
        <f ca="1">+GETPIVOTDATA("XXB4",'xabang (2016)'!$A$3,"MA_HT","RDD","MA_QH","SKX")</f>
        <v>0</v>
      </c>
      <c r="AY15" s="22">
        <f ca="1">+GETPIVOTDATA("XXB4",'xabang (2016)'!$A$3,"MA_HT","RDD","MA_QH","DSH")</f>
        <v>0</v>
      </c>
      <c r="AZ15" s="22">
        <f ca="1">+GETPIVOTDATA("XXB4",'xabang (2016)'!$A$3,"MA_HT","RDD","MA_QH","DKV")</f>
        <v>0</v>
      </c>
      <c r="BA15" s="89">
        <f ca="1">+GETPIVOTDATA("XXB4",'xabang (2016)'!$A$3,"MA_HT","RDD","MA_QH","TIN")</f>
        <v>0</v>
      </c>
      <c r="BB15" s="50">
        <f ca="1">+GETPIVOTDATA("XXB4",'xabang (2016)'!$A$3,"MA_HT","RDD","MA_QH","SON")</f>
        <v>0</v>
      </c>
      <c r="BC15" s="50">
        <f ca="1">+GETPIVOTDATA("XXB4",'xabang (2016)'!$A$3,"MA_HT","RDD","MA_QH","MNC")</f>
        <v>0</v>
      </c>
      <c r="BD15" s="22">
        <f ca="1">+GETPIVOTDATA("XXB4",'xabang (2016)'!$A$3,"MA_HT","RDD","MA_QH","PNK")</f>
        <v>0</v>
      </c>
      <c r="BE15" s="71">
        <f ca="1">+GETPIVOTDATA("XXB4",'xabang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+GETPIVOTDATA("XXB4",'xabang (2016)'!$A$3,"MA_HT","NTS","MA_QH","LUC")</f>
        <v>0</v>
      </c>
      <c r="H16" s="22">
        <f ca="1">+GETPIVOTDATA("XXB4",'xabang (2016)'!$A$3,"MA_HT","NTS","MA_QH","LUK")</f>
        <v>0</v>
      </c>
      <c r="I16" s="22">
        <f ca="1">+GETPIVOTDATA("XXB4",'xabang (2016)'!$A$3,"MA_HT","NTS","MA_QH","LUN")</f>
        <v>0</v>
      </c>
      <c r="J16" s="22">
        <f ca="1">+GETPIVOTDATA("XXB4",'xabang (2016)'!$A$3,"MA_HT","NTS","MA_QH","HNK")</f>
        <v>0</v>
      </c>
      <c r="K16" s="22">
        <f ca="1">+GETPIVOTDATA("XXB4",'xabang (2016)'!$A$3,"MA_HT","NTS","MA_QH","CLN")</f>
        <v>0</v>
      </c>
      <c r="L16" s="22">
        <f ca="1">+GETPIVOTDATA("XXB4",'xabang (2016)'!$A$3,"MA_HT","NTS","MA_QH","RSX")</f>
        <v>0</v>
      </c>
      <c r="M16" s="22">
        <f ca="1">+GETPIVOTDATA("XXB4",'xabang (2016)'!$A$3,"MA_HT","NTS","MA_QH","RPH")</f>
        <v>0</v>
      </c>
      <c r="N16" s="22">
        <f ca="1">+GETPIVOTDATA("XXB4",'xabang (2016)'!$A$3,"MA_HT","NTS","MA_QH","RDD")</f>
        <v>0</v>
      </c>
      <c r="O16" s="43" t="e">
        <f ca="1">$D16-$BF16</f>
        <v>#REF!</v>
      </c>
      <c r="P16" s="22">
        <f ca="1">+GETPIVOTDATA("XXB4",'xabang (2016)'!$A$3,"MA_HT","NTS","MA_QH","LMU")</f>
        <v>0</v>
      </c>
      <c r="Q16" s="22">
        <f ca="1">+GETPIVOTDATA("XXB4",'xabang (2016)'!$A$3,"MA_HT","NTS","MA_QH","NKH")</f>
        <v>0</v>
      </c>
      <c r="R16" s="42">
        <f ca="1" t="shared" si="2"/>
        <v>0</v>
      </c>
      <c r="S16" s="22">
        <f ca="1">+GETPIVOTDATA("XXB4",'xabang (2016)'!$A$3,"MA_HT","NTS","MA_QH","CQP")</f>
        <v>0</v>
      </c>
      <c r="T16" s="22">
        <f ca="1">+GETPIVOTDATA("XXB4",'xabang (2016)'!$A$3,"MA_HT","NTS","MA_QH","CAN")</f>
        <v>0</v>
      </c>
      <c r="U16" s="22">
        <f ca="1">+GETPIVOTDATA("XXB4",'xabang (2016)'!$A$3,"MA_HT","NTS","MA_QH","SKK")</f>
        <v>0</v>
      </c>
      <c r="V16" s="22">
        <f ca="1">+GETPIVOTDATA("XXB4",'xabang (2016)'!$A$3,"MA_HT","NTS","MA_QH","SKT")</f>
        <v>0</v>
      </c>
      <c r="W16" s="22">
        <f ca="1">+GETPIVOTDATA("XXB4",'xabang (2016)'!$A$3,"MA_HT","NTS","MA_QH","SKN")</f>
        <v>0</v>
      </c>
      <c r="X16" s="22">
        <f ca="1">+GETPIVOTDATA("XXB4",'xabang (2016)'!$A$3,"MA_HT","NTS","MA_QH","TMD")</f>
        <v>0</v>
      </c>
      <c r="Y16" s="22">
        <f ca="1">+GETPIVOTDATA("XXB4",'xabang (2016)'!$A$3,"MA_HT","NTS","MA_QH","SKC")</f>
        <v>0</v>
      </c>
      <c r="Z16" s="22">
        <f ca="1">+GETPIVOTDATA("XXB4",'xabang (2016)'!$A$3,"MA_HT","NTS","MA_QH","SKS")</f>
        <v>0</v>
      </c>
      <c r="AA16" s="52">
        <f ca="1" t="shared" si="4"/>
        <v>0</v>
      </c>
      <c r="AB16" s="22">
        <f ca="1">+GETPIVOTDATA("XXB4",'xabang (2016)'!$A$3,"MA_HT","NTS","MA_QH","DGT")</f>
        <v>0</v>
      </c>
      <c r="AC16" s="22">
        <f ca="1">+GETPIVOTDATA("XXB4",'xabang (2016)'!$A$3,"MA_HT","NTS","MA_QH","DTL")</f>
        <v>0</v>
      </c>
      <c r="AD16" s="22">
        <f ca="1">+GETPIVOTDATA("XXB4",'xabang (2016)'!$A$3,"MA_HT","NTS","MA_QH","DNL")</f>
        <v>0</v>
      </c>
      <c r="AE16" s="22">
        <f ca="1">+GETPIVOTDATA("XXB4",'xabang (2016)'!$A$3,"MA_HT","NTS","MA_QH","DBV")</f>
        <v>0</v>
      </c>
      <c r="AF16" s="22">
        <f ca="1">+GETPIVOTDATA("XXB4",'xabang (2016)'!$A$3,"MA_HT","NTS","MA_QH","DVH")</f>
        <v>0</v>
      </c>
      <c r="AG16" s="22">
        <f ca="1">+GETPIVOTDATA("XXB4",'xabang (2016)'!$A$3,"MA_HT","NTS","MA_QH","DYT")</f>
        <v>0</v>
      </c>
      <c r="AH16" s="22">
        <f ca="1">+GETPIVOTDATA("XXB4",'xabang (2016)'!$A$3,"MA_HT","NTS","MA_QH","DGD")</f>
        <v>0</v>
      </c>
      <c r="AI16" s="22">
        <f ca="1">+GETPIVOTDATA("XXB4",'xabang (2016)'!$A$3,"MA_HT","NTS","MA_QH","DTT")</f>
        <v>0</v>
      </c>
      <c r="AJ16" s="22">
        <f ca="1">+GETPIVOTDATA("XXB4",'xabang (2016)'!$A$3,"MA_HT","NTS","MA_QH","NCK")</f>
        <v>0</v>
      </c>
      <c r="AK16" s="22">
        <f ca="1">+GETPIVOTDATA("XXB4",'xabang (2016)'!$A$3,"MA_HT","NTS","MA_QH","DXH")</f>
        <v>0</v>
      </c>
      <c r="AL16" s="22">
        <f ca="1">+GETPIVOTDATA("XXB4",'xabang (2016)'!$A$3,"MA_HT","NTS","MA_QH","DCH")</f>
        <v>0</v>
      </c>
      <c r="AM16" s="22">
        <f ca="1">+GETPIVOTDATA("XXB4",'xabang (2016)'!$A$3,"MA_HT","NTS","MA_QH","DKG")</f>
        <v>0</v>
      </c>
      <c r="AN16" s="22">
        <f ca="1">+GETPIVOTDATA("XXB4",'xabang (2016)'!$A$3,"MA_HT","NTS","MA_QH","DDT")</f>
        <v>0</v>
      </c>
      <c r="AO16" s="22">
        <f ca="1">+GETPIVOTDATA("XXB4",'xabang (2016)'!$A$3,"MA_HT","NTS","MA_QH","DDL")</f>
        <v>0</v>
      </c>
      <c r="AP16" s="22">
        <f ca="1">+GETPIVOTDATA("XXB4",'xabang (2016)'!$A$3,"MA_HT","NTS","MA_QH","DRA")</f>
        <v>0</v>
      </c>
      <c r="AQ16" s="22">
        <f ca="1">+GETPIVOTDATA("XXB4",'xabang (2016)'!$A$3,"MA_HT","NTS","MA_QH","ONT")</f>
        <v>0</v>
      </c>
      <c r="AR16" s="22">
        <f ca="1">+GETPIVOTDATA("XXB4",'xabang (2016)'!$A$3,"MA_HT","NTS","MA_QH","ODT")</f>
        <v>0</v>
      </c>
      <c r="AS16" s="22">
        <f ca="1">+GETPIVOTDATA("XXB4",'xabang (2016)'!$A$3,"MA_HT","NTS","MA_QH","TSC")</f>
        <v>0</v>
      </c>
      <c r="AT16" s="22">
        <f ca="1">+GETPIVOTDATA("XXB4",'xabang (2016)'!$A$3,"MA_HT","NTS","MA_QH","DTS")</f>
        <v>0</v>
      </c>
      <c r="AU16" s="22">
        <f ca="1">+GETPIVOTDATA("XXB4",'xabang (2016)'!$A$3,"MA_HT","NTS","MA_QH","DNG")</f>
        <v>0</v>
      </c>
      <c r="AV16" s="22">
        <f ca="1">+GETPIVOTDATA("XXB4",'xabang (2016)'!$A$3,"MA_HT","NTS","MA_QH","TON")</f>
        <v>0</v>
      </c>
      <c r="AW16" s="22">
        <f ca="1">+GETPIVOTDATA("XXB4",'xabang (2016)'!$A$3,"MA_HT","NTS","MA_QH","NTD")</f>
        <v>0</v>
      </c>
      <c r="AX16" s="22">
        <f ca="1">+GETPIVOTDATA("XXB4",'xabang (2016)'!$A$3,"MA_HT","NTS","MA_QH","SKX")</f>
        <v>0</v>
      </c>
      <c r="AY16" s="22">
        <f ca="1">+GETPIVOTDATA("XXB4",'xabang (2016)'!$A$3,"MA_HT","NTS","MA_QH","DSH")</f>
        <v>0</v>
      </c>
      <c r="AZ16" s="22">
        <f ca="1">+GETPIVOTDATA("XXB4",'xabang (2016)'!$A$3,"MA_HT","NTS","MA_QH","DKV")</f>
        <v>0</v>
      </c>
      <c r="BA16" s="89">
        <f ca="1">+GETPIVOTDATA("XXB4",'xabang (2016)'!$A$3,"MA_HT","NTS","MA_QH","TIN")</f>
        <v>0</v>
      </c>
      <c r="BB16" s="50">
        <f ca="1">+GETPIVOTDATA("XXB4",'xabang (2016)'!$A$3,"MA_HT","NTS","MA_QH","SON")</f>
        <v>0</v>
      </c>
      <c r="BC16" s="50">
        <f ca="1">+GETPIVOTDATA("XXB4",'xabang (2016)'!$A$3,"MA_HT","NTS","MA_QH","MNC")</f>
        <v>0</v>
      </c>
      <c r="BD16" s="22">
        <f ca="1">+GETPIVOTDATA("XXB4",'xabang (2016)'!$A$3,"MA_HT","NTS","MA_QH","PNK")</f>
        <v>0</v>
      </c>
      <c r="BE16" s="71">
        <f ca="1">+GETPIVOTDATA("XXB4",'xabang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+GETPIVOTDATA("XXB4",'xabang (2016)'!$A$3,"MA_HT","LMU","MA_QH","LUC")</f>
        <v>0</v>
      </c>
      <c r="H17" s="22">
        <f ca="1">+GETPIVOTDATA("XXB4",'xabang (2016)'!$A$3,"MA_HT","LMU","MA_QH","LUK")</f>
        <v>0</v>
      </c>
      <c r="I17" s="22">
        <f ca="1">+GETPIVOTDATA("XXB4",'xabang (2016)'!$A$3,"MA_HT","LMU","MA_QH","LUN")</f>
        <v>0</v>
      </c>
      <c r="J17" s="22">
        <f ca="1">+GETPIVOTDATA("XXB4",'xabang (2016)'!$A$3,"MA_HT","LMU","MA_QH","HNK")</f>
        <v>0</v>
      </c>
      <c r="K17" s="22">
        <f ca="1">+GETPIVOTDATA("XXB4",'xabang (2016)'!$A$3,"MA_HT","LMU","MA_QH","CLN")</f>
        <v>0</v>
      </c>
      <c r="L17" s="22">
        <f ca="1">+GETPIVOTDATA("XXB4",'xabang (2016)'!$A$3,"MA_HT","LMU","MA_QH","RSX")</f>
        <v>0</v>
      </c>
      <c r="M17" s="22">
        <f ca="1">+GETPIVOTDATA("XXB4",'xabang (2016)'!$A$3,"MA_HT","LMU","MA_QH","RPH")</f>
        <v>0</v>
      </c>
      <c r="N17" s="22">
        <f ca="1">+GETPIVOTDATA("XXB4",'xabang (2016)'!$A$3,"MA_HT","LMU","MA_QH","RDD")</f>
        <v>0</v>
      </c>
      <c r="O17" s="22">
        <f ca="1">+GETPIVOTDATA("XXB4",'xabang (2016)'!$A$3,"MA_HT","LMU","MA_QH","NTS")</f>
        <v>0</v>
      </c>
      <c r="P17" s="43" t="e">
        <f ca="1">$D17-$BF17</f>
        <v>#REF!</v>
      </c>
      <c r="Q17" s="22">
        <f ca="1">+GETPIVOTDATA("XXB4",'xabang (2016)'!$A$3,"MA_HT","LMU","MA_QH","NKH")</f>
        <v>0</v>
      </c>
      <c r="R17" s="42">
        <f ca="1" t="shared" si="2"/>
        <v>0</v>
      </c>
      <c r="S17" s="22">
        <f ca="1">+GETPIVOTDATA("XXB4",'xabang (2016)'!$A$3,"MA_HT","LMU","MA_QH","CQP")</f>
        <v>0</v>
      </c>
      <c r="T17" s="22">
        <f ca="1">+GETPIVOTDATA("XXB4",'xabang (2016)'!$A$3,"MA_HT","LMU","MA_QH","CAN")</f>
        <v>0</v>
      </c>
      <c r="U17" s="22">
        <f ca="1">+GETPIVOTDATA("XXB4",'xabang (2016)'!$A$3,"MA_HT","LMU","MA_QH","SKK")</f>
        <v>0</v>
      </c>
      <c r="V17" s="22">
        <f ca="1">+GETPIVOTDATA("XXB4",'xabang (2016)'!$A$3,"MA_HT","LMU","MA_QH","SKT")</f>
        <v>0</v>
      </c>
      <c r="W17" s="22">
        <f ca="1">+GETPIVOTDATA("XXB4",'xabang (2016)'!$A$3,"MA_HT","LMU","MA_QH","SKN")</f>
        <v>0</v>
      </c>
      <c r="X17" s="22">
        <f ca="1">+GETPIVOTDATA("XXB4",'xabang (2016)'!$A$3,"MA_HT","LMU","MA_QH","TMD")</f>
        <v>0</v>
      </c>
      <c r="Y17" s="22">
        <f ca="1">+GETPIVOTDATA("XXB4",'xabang (2016)'!$A$3,"MA_HT","LMU","MA_QH","SKC")</f>
        <v>0</v>
      </c>
      <c r="Z17" s="22">
        <f ca="1">+GETPIVOTDATA("XXB4",'xabang (2016)'!$A$3,"MA_HT","LMU","MA_QH","SKS")</f>
        <v>0</v>
      </c>
      <c r="AA17" s="52">
        <f ca="1" t="shared" si="4"/>
        <v>0</v>
      </c>
      <c r="AB17" s="22">
        <f ca="1">+GETPIVOTDATA("XXB4",'xabang (2016)'!$A$3,"MA_HT","LMU","MA_QH","DGT")</f>
        <v>0</v>
      </c>
      <c r="AC17" s="22">
        <f ca="1">+GETPIVOTDATA("XXB4",'xabang (2016)'!$A$3,"MA_HT","LMU","MA_QH","DTL")</f>
        <v>0</v>
      </c>
      <c r="AD17" s="22">
        <f ca="1">+GETPIVOTDATA("XXB4",'xabang (2016)'!$A$3,"MA_HT","LMU","MA_QH","DNL")</f>
        <v>0</v>
      </c>
      <c r="AE17" s="22">
        <f ca="1">+GETPIVOTDATA("XXB4",'xabang (2016)'!$A$3,"MA_HT","LMU","MA_QH","DBV")</f>
        <v>0</v>
      </c>
      <c r="AF17" s="22">
        <f ca="1">+GETPIVOTDATA("XXB4",'xabang (2016)'!$A$3,"MA_HT","LMU","MA_QH","DVH")</f>
        <v>0</v>
      </c>
      <c r="AG17" s="22">
        <f ca="1">+GETPIVOTDATA("XXB4",'xabang (2016)'!$A$3,"MA_HT","LMU","MA_QH","DYT")</f>
        <v>0</v>
      </c>
      <c r="AH17" s="22">
        <f ca="1">+GETPIVOTDATA("XXB4",'xabang (2016)'!$A$3,"MA_HT","LMU","MA_QH","DGD")</f>
        <v>0</v>
      </c>
      <c r="AI17" s="22">
        <f ca="1">+GETPIVOTDATA("XXB4",'xabang (2016)'!$A$3,"MA_HT","LMU","MA_QH","DTT")</f>
        <v>0</v>
      </c>
      <c r="AJ17" s="22">
        <f ca="1">+GETPIVOTDATA("XXB4",'xabang (2016)'!$A$3,"MA_HT","LMU","MA_QH","NCK")</f>
        <v>0</v>
      </c>
      <c r="AK17" s="22">
        <f ca="1">+GETPIVOTDATA("XXB4",'xabang (2016)'!$A$3,"MA_HT","LMU","MA_QH","DXH")</f>
        <v>0</v>
      </c>
      <c r="AL17" s="22">
        <f ca="1">+GETPIVOTDATA("XXB4",'xabang (2016)'!$A$3,"MA_HT","LMU","MA_QH","DCH")</f>
        <v>0</v>
      </c>
      <c r="AM17" s="22">
        <f ca="1">+GETPIVOTDATA("XXB4",'xabang (2016)'!$A$3,"MA_HT","LMU","MA_QH","DKG")</f>
        <v>0</v>
      </c>
      <c r="AN17" s="22">
        <f ca="1">+GETPIVOTDATA("XXB4",'xabang (2016)'!$A$3,"MA_HT","LMU","MA_QH","DDT")</f>
        <v>0</v>
      </c>
      <c r="AO17" s="22">
        <f ca="1">+GETPIVOTDATA("XXB4",'xabang (2016)'!$A$3,"MA_HT","LMU","MA_QH","DDL")</f>
        <v>0</v>
      </c>
      <c r="AP17" s="22">
        <f ca="1">+GETPIVOTDATA("XXB4",'xabang (2016)'!$A$3,"MA_HT","LMU","MA_QH","DRA")</f>
        <v>0</v>
      </c>
      <c r="AQ17" s="22">
        <f ca="1">+GETPIVOTDATA("XXB4",'xabang (2016)'!$A$3,"MA_HT","LMU","MA_QH","ONT")</f>
        <v>0</v>
      </c>
      <c r="AR17" s="22">
        <f ca="1">+GETPIVOTDATA("XXB4",'xabang (2016)'!$A$3,"MA_HT","LMU","MA_QH","ODT")</f>
        <v>0</v>
      </c>
      <c r="AS17" s="22">
        <f ca="1">+GETPIVOTDATA("XXB4",'xabang (2016)'!$A$3,"MA_HT","LMU","MA_QH","TSC")</f>
        <v>0</v>
      </c>
      <c r="AT17" s="22">
        <f ca="1">+GETPIVOTDATA("XXB4",'xabang (2016)'!$A$3,"MA_HT","LMU","MA_QH","DTS")</f>
        <v>0</v>
      </c>
      <c r="AU17" s="22">
        <f ca="1">+GETPIVOTDATA("XXB4",'xabang (2016)'!$A$3,"MA_HT","LMU","MA_QH","DNG")</f>
        <v>0</v>
      </c>
      <c r="AV17" s="22">
        <f ca="1">+GETPIVOTDATA("XXB4",'xabang (2016)'!$A$3,"MA_HT","LMU","MA_QH","TON")</f>
        <v>0</v>
      </c>
      <c r="AW17" s="22">
        <f ca="1">+GETPIVOTDATA("XXB4",'xabang (2016)'!$A$3,"MA_HT","LMU","MA_QH","NTD")</f>
        <v>0</v>
      </c>
      <c r="AX17" s="22">
        <f ca="1">+GETPIVOTDATA("XXB4",'xabang (2016)'!$A$3,"MA_HT","LMU","MA_QH","SKX")</f>
        <v>0</v>
      </c>
      <c r="AY17" s="22">
        <f ca="1">+GETPIVOTDATA("XXB4",'xabang (2016)'!$A$3,"MA_HT","LMU","MA_QH","DSH")</f>
        <v>0</v>
      </c>
      <c r="AZ17" s="22">
        <f ca="1">+GETPIVOTDATA("XXB4",'xabang (2016)'!$A$3,"MA_HT","LMU","MA_QH","DKV")</f>
        <v>0</v>
      </c>
      <c r="BA17" s="89">
        <f ca="1">+GETPIVOTDATA("XXB4",'xabang (2016)'!$A$3,"MA_HT","LMU","MA_QH","TIN")</f>
        <v>0</v>
      </c>
      <c r="BB17" s="50">
        <f ca="1">+GETPIVOTDATA("XXB4",'xabang (2016)'!$A$3,"MA_HT","LMU","MA_QH","SON")</f>
        <v>0</v>
      </c>
      <c r="BC17" s="50">
        <f ca="1">+GETPIVOTDATA("XXB4",'xabang (2016)'!$A$3,"MA_HT","LMU","MA_QH","MNC")</f>
        <v>0</v>
      </c>
      <c r="BD17" s="22">
        <f ca="1">+GETPIVOTDATA("XXB4",'xabang (2016)'!$A$3,"MA_HT","LMU","MA_QH","PNK")</f>
        <v>0</v>
      </c>
      <c r="BE17" s="71">
        <f ca="1">+GETPIVOTDATA("XXB4",'xabang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+GETPIVOTDATA("XXB4",'xabang (2016)'!$A$3,"MA_HT","NKH","MA_QH","LUC")</f>
        <v>0</v>
      </c>
      <c r="H18" s="22">
        <f ca="1">+GETPIVOTDATA("XXB4",'xabang (2016)'!$A$3,"MA_HT","NKH","MA_QH","LUK")</f>
        <v>0</v>
      </c>
      <c r="I18" s="22">
        <f ca="1">+GETPIVOTDATA("XXB4",'xabang (2016)'!$A$3,"MA_HT","NKH","MA_QH","LUN")</f>
        <v>0</v>
      </c>
      <c r="J18" s="22">
        <f ca="1">+GETPIVOTDATA("XXB4",'xabang (2016)'!$A$3,"MA_HT","NKH","MA_QH","HNK")</f>
        <v>0</v>
      </c>
      <c r="K18" s="22">
        <f ca="1">+GETPIVOTDATA("XXB4",'xabang (2016)'!$A$3,"MA_HT","NKH","MA_QH","CLN")</f>
        <v>0</v>
      </c>
      <c r="L18" s="22">
        <f ca="1">+GETPIVOTDATA("XXB4",'xabang (2016)'!$A$3,"MA_HT","NKH","MA_QH","RSX")</f>
        <v>0</v>
      </c>
      <c r="M18" s="22">
        <f ca="1">+GETPIVOTDATA("XXB4",'xabang (2016)'!$A$3,"MA_HT","NKH","MA_QH","RPH")</f>
        <v>0</v>
      </c>
      <c r="N18" s="22">
        <f ca="1">+GETPIVOTDATA("XXB4",'xabang (2016)'!$A$3,"MA_HT","NKH","MA_QH","RDD")</f>
        <v>0</v>
      </c>
      <c r="O18" s="22">
        <f ca="1">+GETPIVOTDATA("XXB4",'xabang (2016)'!$A$3,"MA_HT","NKH","MA_QH","NTS")</f>
        <v>0</v>
      </c>
      <c r="P18" s="22">
        <f ca="1">+GETPIVOTDATA("XXB4",'xabang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+GETPIVOTDATA("XXB4",'xabang (2016)'!$A$3,"MA_HT","NKH","MA_QH","CQP")</f>
        <v>0</v>
      </c>
      <c r="T18" s="22">
        <f ca="1">+GETPIVOTDATA("XXB4",'xabang (2016)'!$A$3,"MA_HT","NKH","MA_QH","CAN")</f>
        <v>0</v>
      </c>
      <c r="U18" s="22">
        <f ca="1">+GETPIVOTDATA("XXB4",'xabang (2016)'!$A$3,"MA_HT","NKH","MA_QH","SKK")</f>
        <v>0</v>
      </c>
      <c r="V18" s="22">
        <f ca="1">+GETPIVOTDATA("XXB4",'xabang (2016)'!$A$3,"MA_HT","NKH","MA_QH","SKT")</f>
        <v>0</v>
      </c>
      <c r="W18" s="22">
        <f ca="1">+GETPIVOTDATA("XXB4",'xabang (2016)'!$A$3,"MA_HT","NKH","MA_QH","SKN")</f>
        <v>0</v>
      </c>
      <c r="X18" s="22">
        <f ca="1">+GETPIVOTDATA("XXB4",'xabang (2016)'!$A$3,"MA_HT","NKH","MA_QH","TMD")</f>
        <v>0</v>
      </c>
      <c r="Y18" s="22">
        <f ca="1">+GETPIVOTDATA("XXB4",'xabang (2016)'!$A$3,"MA_HT","NKH","MA_QH","SKC")</f>
        <v>0</v>
      </c>
      <c r="Z18" s="22">
        <f ca="1">+GETPIVOTDATA("XXB4",'xabang (2016)'!$A$3,"MA_HT","NKH","MA_QH","SKS")</f>
        <v>0</v>
      </c>
      <c r="AA18" s="52">
        <f ca="1" t="shared" si="4"/>
        <v>0</v>
      </c>
      <c r="AB18" s="22">
        <f ca="1">+GETPIVOTDATA("XXB4",'xabang (2016)'!$A$3,"MA_HT","NKH","MA_QH","DGT")</f>
        <v>0</v>
      </c>
      <c r="AC18" s="22">
        <f ca="1">+GETPIVOTDATA("XXB4",'xabang (2016)'!$A$3,"MA_HT","NKH","MA_QH","DTL")</f>
        <v>0</v>
      </c>
      <c r="AD18" s="22">
        <f ca="1">+GETPIVOTDATA("XXB4",'xabang (2016)'!$A$3,"MA_HT","NKH","MA_QH","DNL")</f>
        <v>0</v>
      </c>
      <c r="AE18" s="22">
        <f ca="1">+GETPIVOTDATA("XXB4",'xabang (2016)'!$A$3,"MA_HT","NKH","MA_QH","DBV")</f>
        <v>0</v>
      </c>
      <c r="AF18" s="22">
        <f ca="1">+GETPIVOTDATA("XXB4",'xabang (2016)'!$A$3,"MA_HT","NKH","MA_QH","DVH")</f>
        <v>0</v>
      </c>
      <c r="AG18" s="22">
        <f ca="1">+GETPIVOTDATA("XXB4",'xabang (2016)'!$A$3,"MA_HT","NKH","MA_QH","DYT")</f>
        <v>0</v>
      </c>
      <c r="AH18" s="22">
        <f ca="1">+GETPIVOTDATA("XXB4",'xabang (2016)'!$A$3,"MA_HT","NKH","MA_QH","DGD")</f>
        <v>0</v>
      </c>
      <c r="AI18" s="22">
        <f ca="1">+GETPIVOTDATA("XXB4",'xabang (2016)'!$A$3,"MA_HT","NKH","MA_QH","DTT")</f>
        <v>0</v>
      </c>
      <c r="AJ18" s="22">
        <f ca="1">+GETPIVOTDATA("XXB4",'xabang (2016)'!$A$3,"MA_HT","NKH","MA_QH","NCK")</f>
        <v>0</v>
      </c>
      <c r="AK18" s="22">
        <f ca="1">+GETPIVOTDATA("XXB4",'xabang (2016)'!$A$3,"MA_HT","NKH","MA_QH","DXH")</f>
        <v>0</v>
      </c>
      <c r="AL18" s="22">
        <f ca="1">+GETPIVOTDATA("XXB4",'xabang (2016)'!$A$3,"MA_HT","NKH","MA_QH","DCH")</f>
        <v>0</v>
      </c>
      <c r="AM18" s="22">
        <f ca="1">+GETPIVOTDATA("XXB4",'xabang (2016)'!$A$3,"MA_HT","NKH","MA_QH","DKG")</f>
        <v>0</v>
      </c>
      <c r="AN18" s="22">
        <f ca="1">+GETPIVOTDATA("XXB4",'xabang (2016)'!$A$3,"MA_HT","NKH","MA_QH","DDT")</f>
        <v>0</v>
      </c>
      <c r="AO18" s="22">
        <f ca="1">+GETPIVOTDATA("XXB4",'xabang (2016)'!$A$3,"MA_HT","NKH","MA_QH","DDL")</f>
        <v>0</v>
      </c>
      <c r="AP18" s="22">
        <f ca="1">+GETPIVOTDATA("XXB4",'xabang (2016)'!$A$3,"MA_HT","NKH","MA_QH","DRA")</f>
        <v>0</v>
      </c>
      <c r="AQ18" s="22">
        <f ca="1">+GETPIVOTDATA("XXB4",'xabang (2016)'!$A$3,"MA_HT","NKH","MA_QH","ONT")</f>
        <v>0</v>
      </c>
      <c r="AR18" s="22">
        <f ca="1">+GETPIVOTDATA("XXB4",'xabang (2016)'!$A$3,"MA_HT","NKH","MA_QH","ODT")</f>
        <v>0</v>
      </c>
      <c r="AS18" s="22">
        <f ca="1">+GETPIVOTDATA("XXB4",'xabang (2016)'!$A$3,"MA_HT","NKH","MA_QH","TSC")</f>
        <v>0</v>
      </c>
      <c r="AT18" s="22">
        <f ca="1">+GETPIVOTDATA("XXB4",'xabang (2016)'!$A$3,"MA_HT","NKH","MA_QH","DTS")</f>
        <v>0</v>
      </c>
      <c r="AU18" s="22">
        <f ca="1">+GETPIVOTDATA("XXB4",'xabang (2016)'!$A$3,"MA_HT","NKH","MA_QH","DNG")</f>
        <v>0</v>
      </c>
      <c r="AV18" s="22">
        <f ca="1">+GETPIVOTDATA("XXB4",'xabang (2016)'!$A$3,"MA_HT","NKH","MA_QH","TON")</f>
        <v>0</v>
      </c>
      <c r="AW18" s="22">
        <f ca="1">+GETPIVOTDATA("XXB4",'xabang (2016)'!$A$3,"MA_HT","NKH","MA_QH","NTD")</f>
        <v>0</v>
      </c>
      <c r="AX18" s="22">
        <f ca="1">+GETPIVOTDATA("XXB4",'xabang (2016)'!$A$3,"MA_HT","NKH","MA_QH","SKX")</f>
        <v>0</v>
      </c>
      <c r="AY18" s="22">
        <f ca="1">+GETPIVOTDATA("XXB4",'xabang (2016)'!$A$3,"MA_HT","NKH","MA_QH","DSH")</f>
        <v>0</v>
      </c>
      <c r="AZ18" s="22">
        <f ca="1">+GETPIVOTDATA("XXB4",'xabang (2016)'!$A$3,"MA_HT","NKH","MA_QH","DKV")</f>
        <v>0</v>
      </c>
      <c r="BA18" s="89">
        <f ca="1">+GETPIVOTDATA("XXB4",'xabang (2016)'!$A$3,"MA_HT","NKH","MA_QH","TIN")</f>
        <v>0</v>
      </c>
      <c r="BB18" s="50">
        <f ca="1">+GETPIVOTDATA("XXB4",'xabang (2016)'!$A$3,"MA_HT","NKH","MA_QH","SON")</f>
        <v>0</v>
      </c>
      <c r="BC18" s="50">
        <f ca="1">+GETPIVOTDATA("XXB4",'xabang (2016)'!$A$3,"MA_HT","NKH","MA_QH","MNC")</f>
        <v>0</v>
      </c>
      <c r="BD18" s="22">
        <f ca="1">+GETPIVOTDATA("XXB4",'xabang (2016)'!$A$3,"MA_HT","NKH","MA_QH","PNK")</f>
        <v>0</v>
      </c>
      <c r="BE18" s="71">
        <f ca="1">+GETPIVOTDATA("XXB4",'xabang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+GETPIVOTDATA("XXB4",'xabang (2016)'!$A$3,"MA_HT","CQP","MA_QH","LUC")</f>
        <v>0</v>
      </c>
      <c r="H20" s="22">
        <f ca="1">+GETPIVOTDATA("XXB4",'xabang (2016)'!$A$3,"MA_HT","CQP","MA_QH","LUK")</f>
        <v>0</v>
      </c>
      <c r="I20" s="22">
        <f ca="1">+GETPIVOTDATA("XXB4",'xabang (2016)'!$A$3,"MA_HT","CQP","MA_QH","LUN")</f>
        <v>0</v>
      </c>
      <c r="J20" s="22">
        <f ca="1">+GETPIVOTDATA("XXB4",'xabang (2016)'!$A$3,"MA_HT","CQP","MA_QH","HNK")</f>
        <v>0</v>
      </c>
      <c r="K20" s="22">
        <f ca="1">+GETPIVOTDATA("XXB4",'xabang (2016)'!$A$3,"MA_HT","CQP","MA_QH","CLN")</f>
        <v>0</v>
      </c>
      <c r="L20" s="22">
        <f ca="1">+GETPIVOTDATA("XXB4",'xabang (2016)'!$A$3,"MA_HT","CQP","MA_QH","RSX")</f>
        <v>0</v>
      </c>
      <c r="M20" s="22">
        <f ca="1">+GETPIVOTDATA("XXB4",'xabang (2016)'!$A$3,"MA_HT","CQP","MA_QH","RPH")</f>
        <v>0</v>
      </c>
      <c r="N20" s="22">
        <f ca="1">+GETPIVOTDATA("XXB4",'xabang (2016)'!$A$3,"MA_HT","CQP","MA_QH","RDD")</f>
        <v>0</v>
      </c>
      <c r="O20" s="22">
        <f ca="1">+GETPIVOTDATA("XXB4",'xabang (2016)'!$A$3,"MA_HT","CQP","MA_QH","NTS")</f>
        <v>0</v>
      </c>
      <c r="P20" s="22">
        <f ca="1">+GETPIVOTDATA("XXB4",'xabang (2016)'!$A$3,"MA_HT","CQP","MA_QH","LMU")</f>
        <v>0</v>
      </c>
      <c r="Q20" s="22">
        <f ca="1">+GETPIVOTDATA("XXB4",'xabang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+GETPIVOTDATA("XXB4",'xabang (2016)'!$A$3,"MA_HT","CQP","MA_QH","CAN")</f>
        <v>0</v>
      </c>
      <c r="U20" s="22">
        <f ca="1">+GETPIVOTDATA("XXB4",'xabang (2016)'!$A$3,"MA_HT","CQP","MA_QH","SKK")</f>
        <v>0</v>
      </c>
      <c r="V20" s="22">
        <f ca="1">+GETPIVOTDATA("XXB4",'xabang (2016)'!$A$3,"MA_HT","CQP","MA_QH","SKT")</f>
        <v>0</v>
      </c>
      <c r="W20" s="22">
        <f ca="1">+GETPIVOTDATA("XXB4",'xabang (2016)'!$A$3,"MA_HT","CQP","MA_QH","SKN")</f>
        <v>0</v>
      </c>
      <c r="X20" s="22">
        <f ca="1">+GETPIVOTDATA("XXB4",'xabang (2016)'!$A$3,"MA_HT","CQP","MA_QH","TMD")</f>
        <v>0</v>
      </c>
      <c r="Y20" s="22">
        <f ca="1">+GETPIVOTDATA("XXB4",'xabang (2016)'!$A$3,"MA_HT","CQP","MA_QH","SKC")</f>
        <v>0</v>
      </c>
      <c r="Z20" s="22">
        <f ca="1">+GETPIVOTDATA("XXB4",'xabang (2016)'!$A$3,"MA_HT","CQP","MA_QH","SKS")</f>
        <v>0</v>
      </c>
      <c r="AA20" s="52">
        <f ca="1" t="shared" ref="AA20:AA27" si="12">+SUM(AB20:AM20)</f>
        <v>0</v>
      </c>
      <c r="AB20" s="22">
        <f ca="1">+GETPIVOTDATA("XXB4",'xabang (2016)'!$A$3,"MA_HT","CQP","MA_QH","DGT")</f>
        <v>0</v>
      </c>
      <c r="AC20" s="22">
        <f ca="1">+GETPIVOTDATA("XXB4",'xabang (2016)'!$A$3,"MA_HT","CQP","MA_QH","DTL")</f>
        <v>0</v>
      </c>
      <c r="AD20" s="22">
        <f ca="1">+GETPIVOTDATA("XXB4",'xabang (2016)'!$A$3,"MA_HT","CQP","MA_QH","DNL")</f>
        <v>0</v>
      </c>
      <c r="AE20" s="22">
        <f ca="1">+GETPIVOTDATA("XXB4",'xabang (2016)'!$A$3,"MA_HT","CQP","MA_QH","DBV")</f>
        <v>0</v>
      </c>
      <c r="AF20" s="22">
        <f ca="1">+GETPIVOTDATA("XXB4",'xabang (2016)'!$A$3,"MA_HT","CQP","MA_QH","DVH")</f>
        <v>0</v>
      </c>
      <c r="AG20" s="22">
        <f ca="1">+GETPIVOTDATA("XXB4",'xabang (2016)'!$A$3,"MA_HT","CQP","MA_QH","DYT")</f>
        <v>0</v>
      </c>
      <c r="AH20" s="22">
        <f ca="1">+GETPIVOTDATA("XXB4",'xabang (2016)'!$A$3,"MA_HT","CQP","MA_QH","DGD")</f>
        <v>0</v>
      </c>
      <c r="AI20" s="22">
        <f ca="1">+GETPIVOTDATA("XXB4",'xabang (2016)'!$A$3,"MA_HT","CQP","MA_QH","DTT")</f>
        <v>0</v>
      </c>
      <c r="AJ20" s="22">
        <f ca="1">+GETPIVOTDATA("XXB4",'xabang (2016)'!$A$3,"MA_HT","CQP","MA_QH","NCK")</f>
        <v>0</v>
      </c>
      <c r="AK20" s="22">
        <f ca="1">+GETPIVOTDATA("XXB4",'xabang (2016)'!$A$3,"MA_HT","CQP","MA_QH","DXH")</f>
        <v>0</v>
      </c>
      <c r="AL20" s="22">
        <f ca="1">+GETPIVOTDATA("XXB4",'xabang (2016)'!$A$3,"MA_HT","CQP","MA_QH","DCH")</f>
        <v>0</v>
      </c>
      <c r="AM20" s="22">
        <f ca="1">+GETPIVOTDATA("XXB4",'xabang (2016)'!$A$3,"MA_HT","CQP","MA_QH","DKG")</f>
        <v>0</v>
      </c>
      <c r="AN20" s="22">
        <f ca="1">+GETPIVOTDATA("XXB4",'xabang (2016)'!$A$3,"MA_HT","CQP","MA_QH","DDT")</f>
        <v>0</v>
      </c>
      <c r="AO20" s="22">
        <f ca="1">+GETPIVOTDATA("XXB4",'xabang (2016)'!$A$3,"MA_HT","CQP","MA_QH","DDL")</f>
        <v>0</v>
      </c>
      <c r="AP20" s="22">
        <f ca="1">+GETPIVOTDATA("XXB4",'xabang (2016)'!$A$3,"MA_HT","CQP","MA_QH","DRA")</f>
        <v>0</v>
      </c>
      <c r="AQ20" s="22">
        <f ca="1">+GETPIVOTDATA("XXB4",'xabang (2016)'!$A$3,"MA_HT","CQP","MA_QH","ONT")</f>
        <v>0</v>
      </c>
      <c r="AR20" s="22">
        <f ca="1">+GETPIVOTDATA("XXB4",'xabang (2016)'!$A$3,"MA_HT","CQP","MA_QH","ODT")</f>
        <v>0</v>
      </c>
      <c r="AS20" s="22">
        <f ca="1">+GETPIVOTDATA("XXB4",'xabang (2016)'!$A$3,"MA_HT","CQP","MA_QH","TSC")</f>
        <v>0</v>
      </c>
      <c r="AT20" s="22">
        <f ca="1">+GETPIVOTDATA("XXB4",'xabang (2016)'!$A$3,"MA_HT","CQP","MA_QH","DTS")</f>
        <v>0</v>
      </c>
      <c r="AU20" s="22">
        <f ca="1">+GETPIVOTDATA("XXB4",'xabang (2016)'!$A$3,"MA_HT","CQP","MA_QH","DNG")</f>
        <v>0</v>
      </c>
      <c r="AV20" s="22">
        <f ca="1">+GETPIVOTDATA("XXB4",'xabang (2016)'!$A$3,"MA_HT","CQP","MA_QH","TON")</f>
        <v>0</v>
      </c>
      <c r="AW20" s="22">
        <f ca="1">+GETPIVOTDATA("XXB4",'xabang (2016)'!$A$3,"MA_HT","CQP","MA_QH","NTD")</f>
        <v>0</v>
      </c>
      <c r="AX20" s="22">
        <f ca="1">+GETPIVOTDATA("XXB4",'xabang (2016)'!$A$3,"MA_HT","CQP","MA_QH","SKX")</f>
        <v>0</v>
      </c>
      <c r="AY20" s="22">
        <f ca="1">+GETPIVOTDATA("XXB4",'xabang (2016)'!$A$3,"MA_HT","CQP","MA_QH","DSH")</f>
        <v>0</v>
      </c>
      <c r="AZ20" s="22">
        <f ca="1">+GETPIVOTDATA("XXB4",'xabang (2016)'!$A$3,"MA_HT","CQP","MA_QH","DKV")</f>
        <v>0</v>
      </c>
      <c r="BA20" s="89">
        <f ca="1">+GETPIVOTDATA("XXB4",'xabang (2016)'!$A$3,"MA_HT","CQP","MA_QH","TIN")</f>
        <v>0</v>
      </c>
      <c r="BB20" s="50">
        <f ca="1">+GETPIVOTDATA("XXB4",'xabang (2016)'!$A$3,"MA_HT","CQP","MA_QH","SON")</f>
        <v>0</v>
      </c>
      <c r="BC20" s="50">
        <f ca="1">+GETPIVOTDATA("XXB4",'xabang (2016)'!$A$3,"MA_HT","CQP","MA_QH","MNC")</f>
        <v>0</v>
      </c>
      <c r="BD20" s="22">
        <f ca="1">+GETPIVOTDATA("XXB4",'xabang (2016)'!$A$3,"MA_HT","CQP","MA_QH","PNK")</f>
        <v>0</v>
      </c>
      <c r="BE20" s="71">
        <f ca="1">+GETPIVOTDATA("XXB4",'xabang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+GETPIVOTDATA("XXB4",'xabang (2016)'!$A$3,"MA_HT","CAN","MA_QH","LUC")</f>
        <v>0</v>
      </c>
      <c r="H21" s="22">
        <f ca="1">+GETPIVOTDATA("XXB4",'xabang (2016)'!$A$3,"MA_HT","CAN","MA_QH","LUK")</f>
        <v>0</v>
      </c>
      <c r="I21" s="22">
        <f ca="1">+GETPIVOTDATA("XXB4",'xabang (2016)'!$A$3,"MA_HT","CAN","MA_QH","LUN")</f>
        <v>0</v>
      </c>
      <c r="J21" s="22">
        <f ca="1">+GETPIVOTDATA("XXB4",'xabang (2016)'!$A$3,"MA_HT","CAN","MA_QH","HNK")</f>
        <v>0</v>
      </c>
      <c r="K21" s="22">
        <f ca="1">+GETPIVOTDATA("XXB4",'xabang (2016)'!$A$3,"MA_HT","CAN","MA_QH","CLN")</f>
        <v>0</v>
      </c>
      <c r="L21" s="22">
        <f ca="1">+GETPIVOTDATA("XXB4",'xabang (2016)'!$A$3,"MA_HT","CAN","MA_QH","RSX")</f>
        <v>0</v>
      </c>
      <c r="M21" s="22">
        <f ca="1">+GETPIVOTDATA("XXB4",'xabang (2016)'!$A$3,"MA_HT","CAN","MA_QH","RPH")</f>
        <v>0</v>
      </c>
      <c r="N21" s="22">
        <f ca="1">+GETPIVOTDATA("XXB4",'xabang (2016)'!$A$3,"MA_HT","CAN","MA_QH","RDD")</f>
        <v>0</v>
      </c>
      <c r="O21" s="22">
        <f ca="1">+GETPIVOTDATA("XXB4",'xabang (2016)'!$A$3,"MA_HT","CAN","MA_QH","NTS")</f>
        <v>0</v>
      </c>
      <c r="P21" s="22">
        <f ca="1">+GETPIVOTDATA("XXB4",'xabang (2016)'!$A$3,"MA_HT","CAN","MA_QH","LMU")</f>
        <v>0</v>
      </c>
      <c r="Q21" s="22">
        <f ca="1">+GETPIVOTDATA("XXB4",'xabang (2016)'!$A$3,"MA_HT","CAN","MA_QH","NKH")</f>
        <v>0</v>
      </c>
      <c r="R21" s="42">
        <f ca="1">SUM(S21,U21:AA21,AN21:BD21)</f>
        <v>0</v>
      </c>
      <c r="S21" s="22">
        <f ca="1">+GETPIVOTDATA("XXB4",'xabang (2016)'!$A$3,"MA_HT","CAN","MA_QH","CQP")</f>
        <v>0</v>
      </c>
      <c r="T21" s="43" t="e">
        <f ca="1">$D21-$BF21</f>
        <v>#REF!</v>
      </c>
      <c r="U21" s="22">
        <f ca="1">+GETPIVOTDATA("XXB4",'xabang (2016)'!$A$3,"MA_HT","CAN","MA_QH","SKK")</f>
        <v>0</v>
      </c>
      <c r="V21" s="22">
        <f ca="1">+GETPIVOTDATA("XXB4",'xabang (2016)'!$A$3,"MA_HT","CAN","MA_QH","SKT")</f>
        <v>0</v>
      </c>
      <c r="W21" s="22">
        <f ca="1">+GETPIVOTDATA("XXB4",'xabang (2016)'!$A$3,"MA_HT","CAN","MA_QH","SKN")</f>
        <v>0</v>
      </c>
      <c r="X21" s="22">
        <f ca="1">+GETPIVOTDATA("XXB4",'xabang (2016)'!$A$3,"MA_HT","CAN","MA_QH","TMD")</f>
        <v>0</v>
      </c>
      <c r="Y21" s="22">
        <f ca="1">+GETPIVOTDATA("XXB4",'xabang (2016)'!$A$3,"MA_HT","CAN","MA_QH","SKC")</f>
        <v>0</v>
      </c>
      <c r="Z21" s="22">
        <f ca="1">+GETPIVOTDATA("XXB4",'xabang (2016)'!$A$3,"MA_HT","CAN","MA_QH","SKS")</f>
        <v>0</v>
      </c>
      <c r="AA21" s="52">
        <f ca="1" t="shared" si="12"/>
        <v>0</v>
      </c>
      <c r="AB21" s="22">
        <f ca="1">+GETPIVOTDATA("XXB4",'xabang (2016)'!$A$3,"MA_HT","CAN","MA_QH","DGT")</f>
        <v>0</v>
      </c>
      <c r="AC21" s="22">
        <f ca="1">+GETPIVOTDATA("XXB4",'xabang (2016)'!$A$3,"MA_HT","CAN","MA_QH","DTL")</f>
        <v>0</v>
      </c>
      <c r="AD21" s="22">
        <f ca="1">+GETPIVOTDATA("XXB4",'xabang (2016)'!$A$3,"MA_HT","CAN","MA_QH","DNL")</f>
        <v>0</v>
      </c>
      <c r="AE21" s="22">
        <f ca="1">+GETPIVOTDATA("XXB4",'xabang (2016)'!$A$3,"MA_HT","CAN","MA_QH","DBV")</f>
        <v>0</v>
      </c>
      <c r="AF21" s="22">
        <f ca="1">+GETPIVOTDATA("XXB4",'xabang (2016)'!$A$3,"MA_HT","CAN","MA_QH","DVH")</f>
        <v>0</v>
      </c>
      <c r="AG21" s="22">
        <f ca="1">+GETPIVOTDATA("XXB4",'xabang (2016)'!$A$3,"MA_HT","CAN","MA_QH","DYT")</f>
        <v>0</v>
      </c>
      <c r="AH21" s="22">
        <f ca="1">+GETPIVOTDATA("XXB4",'xabang (2016)'!$A$3,"MA_HT","CAN","MA_QH","DGD")</f>
        <v>0</v>
      </c>
      <c r="AI21" s="22">
        <f ca="1">+GETPIVOTDATA("XXB4",'xabang (2016)'!$A$3,"MA_HT","CAN","MA_QH","DTT")</f>
        <v>0</v>
      </c>
      <c r="AJ21" s="22">
        <f ca="1">+GETPIVOTDATA("XXB4",'xabang (2016)'!$A$3,"MA_HT","CAN","MA_QH","NCK")</f>
        <v>0</v>
      </c>
      <c r="AK21" s="22">
        <f ca="1">+GETPIVOTDATA("XXB4",'xabang (2016)'!$A$3,"MA_HT","CAN","MA_QH","DXH")</f>
        <v>0</v>
      </c>
      <c r="AL21" s="22">
        <f ca="1">+GETPIVOTDATA("XXB4",'xabang (2016)'!$A$3,"MA_HT","CAN","MA_QH","DCH")</f>
        <v>0</v>
      </c>
      <c r="AM21" s="22">
        <f ca="1">+GETPIVOTDATA("XXB4",'xabang (2016)'!$A$3,"MA_HT","CAN","MA_QH","DKG")</f>
        <v>0</v>
      </c>
      <c r="AN21" s="22">
        <f ca="1">+GETPIVOTDATA("XXB4",'xabang (2016)'!$A$3,"MA_HT","CAN","MA_QH","DDT")</f>
        <v>0</v>
      </c>
      <c r="AO21" s="22">
        <f ca="1">+GETPIVOTDATA("XXB4",'xabang (2016)'!$A$3,"MA_HT","CAN","MA_QH","DDL")</f>
        <v>0</v>
      </c>
      <c r="AP21" s="22">
        <f ca="1">+GETPIVOTDATA("XXB4",'xabang (2016)'!$A$3,"MA_HT","CAN","MA_QH","DRA")</f>
        <v>0</v>
      </c>
      <c r="AQ21" s="22">
        <f ca="1">+GETPIVOTDATA("XXB4",'xabang (2016)'!$A$3,"MA_HT","CAN","MA_QH","ONT")</f>
        <v>0</v>
      </c>
      <c r="AR21" s="22">
        <f ca="1">+GETPIVOTDATA("XXB4",'xabang (2016)'!$A$3,"MA_HT","CAN","MA_QH","ODT")</f>
        <v>0</v>
      </c>
      <c r="AS21" s="22">
        <f ca="1">+GETPIVOTDATA("XXB4",'xabang (2016)'!$A$3,"MA_HT","CAN","MA_QH","TSC")</f>
        <v>0</v>
      </c>
      <c r="AT21" s="22">
        <f ca="1">+GETPIVOTDATA("XXB4",'xabang (2016)'!$A$3,"MA_HT","CAN","MA_QH","DTS")</f>
        <v>0</v>
      </c>
      <c r="AU21" s="22">
        <f ca="1">+GETPIVOTDATA("XXB4",'xabang (2016)'!$A$3,"MA_HT","CAN","MA_QH","DNG")</f>
        <v>0</v>
      </c>
      <c r="AV21" s="22">
        <f ca="1">+GETPIVOTDATA("XXB4",'xabang (2016)'!$A$3,"MA_HT","CAN","MA_QH","TON")</f>
        <v>0</v>
      </c>
      <c r="AW21" s="22">
        <f ca="1">+GETPIVOTDATA("XXB4",'xabang (2016)'!$A$3,"MA_HT","CAN","MA_QH","NTD")</f>
        <v>0</v>
      </c>
      <c r="AX21" s="22">
        <f ca="1">+GETPIVOTDATA("XXB4",'xabang (2016)'!$A$3,"MA_HT","CAN","MA_QH","SKX")</f>
        <v>0</v>
      </c>
      <c r="AY21" s="22">
        <f ca="1">+GETPIVOTDATA("XXB4",'xabang (2016)'!$A$3,"MA_HT","CAN","MA_QH","DSH")</f>
        <v>0</v>
      </c>
      <c r="AZ21" s="22">
        <f ca="1">+GETPIVOTDATA("XXB4",'xabang (2016)'!$A$3,"MA_HT","CAN","MA_QH","DKV")</f>
        <v>0</v>
      </c>
      <c r="BA21" s="89">
        <f ca="1">+GETPIVOTDATA("XXB4",'xabang (2016)'!$A$3,"MA_HT","CAN","MA_QH","TIN")</f>
        <v>0</v>
      </c>
      <c r="BB21" s="50">
        <f ca="1">+GETPIVOTDATA("XXB4",'xabang (2016)'!$A$3,"MA_HT","CAN","MA_QH","SON")</f>
        <v>0</v>
      </c>
      <c r="BC21" s="50">
        <f ca="1">+GETPIVOTDATA("XXB4",'xabang (2016)'!$A$3,"MA_HT","CAN","MA_QH","MNC")</f>
        <v>0</v>
      </c>
      <c r="BD21" s="22">
        <f ca="1">+GETPIVOTDATA("XXB4",'xabang (2016)'!$A$3,"MA_HT","CAN","MA_QH","PNK")</f>
        <v>0</v>
      </c>
      <c r="BE21" s="71">
        <f ca="1">+GETPIVOTDATA("XXB4",'xabang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+GETPIVOTDATA("XXB4",'xabang (2016)'!$A$3,"MA_HT","SKK","MA_QH","LUC")</f>
        <v>0</v>
      </c>
      <c r="H22" s="22">
        <f ca="1">+GETPIVOTDATA("XXB4",'xabang (2016)'!$A$3,"MA_HT","SKK","MA_QH","LUK")</f>
        <v>0</v>
      </c>
      <c r="I22" s="22">
        <f ca="1">+GETPIVOTDATA("XXB4",'xabang (2016)'!$A$3,"MA_HT","SKK","MA_QH","LUN")</f>
        <v>0</v>
      </c>
      <c r="J22" s="22">
        <f ca="1">+GETPIVOTDATA("XXB4",'xabang (2016)'!$A$3,"MA_HT","SKK","MA_QH","HNK")</f>
        <v>0</v>
      </c>
      <c r="K22" s="22">
        <f ca="1">+GETPIVOTDATA("XXB4",'xabang (2016)'!$A$3,"MA_HT","SKK","MA_QH","CLN")</f>
        <v>0</v>
      </c>
      <c r="L22" s="22">
        <f ca="1">+GETPIVOTDATA("XXB4",'xabang (2016)'!$A$3,"MA_HT","SKK","MA_QH","RSX")</f>
        <v>0</v>
      </c>
      <c r="M22" s="22">
        <f ca="1">+GETPIVOTDATA("XXB4",'xabang (2016)'!$A$3,"MA_HT","SKK","MA_QH","RPH")</f>
        <v>0</v>
      </c>
      <c r="N22" s="22">
        <f ca="1">+GETPIVOTDATA("XXB4",'xabang (2016)'!$A$3,"MA_HT","SKK","MA_QH","RDD")</f>
        <v>0</v>
      </c>
      <c r="O22" s="22">
        <f ca="1">+GETPIVOTDATA("XXB4",'xabang (2016)'!$A$3,"MA_HT","SKK","MA_QH","NTS")</f>
        <v>0</v>
      </c>
      <c r="P22" s="22">
        <f ca="1">+GETPIVOTDATA("XXB4",'xabang (2016)'!$A$3,"MA_HT","SKK","MA_QH","LMU")</f>
        <v>0</v>
      </c>
      <c r="Q22" s="22">
        <f ca="1">+GETPIVOTDATA("XXB4",'xabang (2016)'!$A$3,"MA_HT","SKK","MA_QH","NKH")</f>
        <v>0</v>
      </c>
      <c r="R22" s="42">
        <f ca="1">SUM(S22:T22,V22:AA22,AN22:BD22)</f>
        <v>0</v>
      </c>
      <c r="S22" s="22">
        <f ca="1">+GETPIVOTDATA("XXB4",'xabang (2016)'!$A$3,"MA_HT","SKK","MA_QH","CQP")</f>
        <v>0</v>
      </c>
      <c r="T22" s="22">
        <f ca="1">+GETPIVOTDATA("XXB4",'xabang (2016)'!$A$3,"MA_HT","SKK","MA_QH","CAN")</f>
        <v>0</v>
      </c>
      <c r="U22" s="43" t="e">
        <f ca="1">$D22-$BF22</f>
        <v>#REF!</v>
      </c>
      <c r="V22" s="22">
        <f ca="1">+GETPIVOTDATA("XXB4",'xabang (2016)'!$A$3,"MA_HT","SKK","MA_QH","SKT")</f>
        <v>0</v>
      </c>
      <c r="W22" s="22">
        <f ca="1">+GETPIVOTDATA("XXB4",'xabang (2016)'!$A$3,"MA_HT","SKK","MA_QH","SKN")</f>
        <v>0</v>
      </c>
      <c r="X22" s="22">
        <f ca="1">+GETPIVOTDATA("XXB4",'xabang (2016)'!$A$3,"MA_HT","SKK","MA_QH","TMD")</f>
        <v>0</v>
      </c>
      <c r="Y22" s="22">
        <f ca="1">+GETPIVOTDATA("XXB4",'xabang (2016)'!$A$3,"MA_HT","SKK","MA_QH","SKC")</f>
        <v>0</v>
      </c>
      <c r="Z22" s="22">
        <f ca="1">+GETPIVOTDATA("XXB4",'xabang (2016)'!$A$3,"MA_HT","SKK","MA_QH","SKS")</f>
        <v>0</v>
      </c>
      <c r="AA22" s="52">
        <f ca="1" t="shared" si="12"/>
        <v>0</v>
      </c>
      <c r="AB22" s="22">
        <f ca="1">+GETPIVOTDATA("XXB4",'xabang (2016)'!$A$3,"MA_HT","SKK","MA_QH","DGT")</f>
        <v>0</v>
      </c>
      <c r="AC22" s="22">
        <f ca="1">+GETPIVOTDATA("XXB4",'xabang (2016)'!$A$3,"MA_HT","SKK","MA_QH","DTL")</f>
        <v>0</v>
      </c>
      <c r="AD22" s="22">
        <f ca="1">+GETPIVOTDATA("XXB4",'xabang (2016)'!$A$3,"MA_HT","SKK","MA_QH","DNL")</f>
        <v>0</v>
      </c>
      <c r="AE22" s="22">
        <f ca="1">+GETPIVOTDATA("XXB4",'xabang (2016)'!$A$3,"MA_HT","SKK","MA_QH","DBV")</f>
        <v>0</v>
      </c>
      <c r="AF22" s="22">
        <f ca="1">+GETPIVOTDATA("XXB4",'xabang (2016)'!$A$3,"MA_HT","SKK","MA_QH","DVH")</f>
        <v>0</v>
      </c>
      <c r="AG22" s="22">
        <f ca="1">+GETPIVOTDATA("XXB4",'xabang (2016)'!$A$3,"MA_HT","SKK","MA_QH","DYT")</f>
        <v>0</v>
      </c>
      <c r="AH22" s="22">
        <f ca="1">+GETPIVOTDATA("XXB4",'xabang (2016)'!$A$3,"MA_HT","SKK","MA_QH","DGD")</f>
        <v>0</v>
      </c>
      <c r="AI22" s="22">
        <f ca="1">+GETPIVOTDATA("XXB4",'xabang (2016)'!$A$3,"MA_HT","SKK","MA_QH","DTT")</f>
        <v>0</v>
      </c>
      <c r="AJ22" s="22">
        <f ca="1">+GETPIVOTDATA("XXB4",'xabang (2016)'!$A$3,"MA_HT","SKK","MA_QH","NCK")</f>
        <v>0</v>
      </c>
      <c r="AK22" s="22">
        <f ca="1">+GETPIVOTDATA("XXB4",'xabang (2016)'!$A$3,"MA_HT","SKK","MA_QH","DXH")</f>
        <v>0</v>
      </c>
      <c r="AL22" s="22">
        <f ca="1">+GETPIVOTDATA("XXB4",'xabang (2016)'!$A$3,"MA_HT","SKK","MA_QH","DCH")</f>
        <v>0</v>
      </c>
      <c r="AM22" s="22">
        <f ca="1">+GETPIVOTDATA("XXB4",'xabang (2016)'!$A$3,"MA_HT","SKK","MA_QH","DKG")</f>
        <v>0</v>
      </c>
      <c r="AN22" s="22">
        <f ca="1">+GETPIVOTDATA("XXB4",'xabang (2016)'!$A$3,"MA_HT","SKK","MA_QH","DDT")</f>
        <v>0</v>
      </c>
      <c r="AO22" s="22">
        <f ca="1">+GETPIVOTDATA("XXB4",'xabang (2016)'!$A$3,"MA_HT","SKK","MA_QH","DDL")</f>
        <v>0</v>
      </c>
      <c r="AP22" s="22">
        <f ca="1">+GETPIVOTDATA("XXB4",'xabang (2016)'!$A$3,"MA_HT","SKK","MA_QH","DRA")</f>
        <v>0</v>
      </c>
      <c r="AQ22" s="22">
        <f ca="1">+GETPIVOTDATA("XXB4",'xabang (2016)'!$A$3,"MA_HT","SKK","MA_QH","ONT")</f>
        <v>0</v>
      </c>
      <c r="AR22" s="22">
        <f ca="1">+GETPIVOTDATA("XXB4",'xabang (2016)'!$A$3,"MA_HT","SKK","MA_QH","ODT")</f>
        <v>0</v>
      </c>
      <c r="AS22" s="22">
        <f ca="1">+GETPIVOTDATA("XXB4",'xabang (2016)'!$A$3,"MA_HT","SKK","MA_QH","TSC")</f>
        <v>0</v>
      </c>
      <c r="AT22" s="22">
        <f ca="1">+GETPIVOTDATA("XXB4",'xabang (2016)'!$A$3,"MA_HT","SKK","MA_QH","DTS")</f>
        <v>0</v>
      </c>
      <c r="AU22" s="22">
        <f ca="1">+GETPIVOTDATA("XXB4",'xabang (2016)'!$A$3,"MA_HT","SKK","MA_QH","DNG")</f>
        <v>0</v>
      </c>
      <c r="AV22" s="22">
        <f ca="1">+GETPIVOTDATA("XXB4",'xabang (2016)'!$A$3,"MA_HT","SKK","MA_QH","TON")</f>
        <v>0</v>
      </c>
      <c r="AW22" s="22">
        <f ca="1">+GETPIVOTDATA("XXB4",'xabang (2016)'!$A$3,"MA_HT","SKK","MA_QH","NTD")</f>
        <v>0</v>
      </c>
      <c r="AX22" s="22">
        <f ca="1">+GETPIVOTDATA("XXB4",'xabang (2016)'!$A$3,"MA_HT","SKK","MA_QH","SKX")</f>
        <v>0</v>
      </c>
      <c r="AY22" s="22">
        <f ca="1">+GETPIVOTDATA("XXB4",'xabang (2016)'!$A$3,"MA_HT","SKK","MA_QH","DSH")</f>
        <v>0</v>
      </c>
      <c r="AZ22" s="22">
        <f ca="1">+GETPIVOTDATA("XXB4",'xabang (2016)'!$A$3,"MA_HT","SKK","MA_QH","DKV")</f>
        <v>0</v>
      </c>
      <c r="BA22" s="89">
        <f ca="1">+GETPIVOTDATA("XXB4",'xabang (2016)'!$A$3,"MA_HT","SKK","MA_QH","TIN")</f>
        <v>0</v>
      </c>
      <c r="BB22" s="50">
        <f ca="1">+GETPIVOTDATA("XXB4",'xabang (2016)'!$A$3,"MA_HT","SKK","MA_QH","SON")</f>
        <v>0</v>
      </c>
      <c r="BC22" s="50">
        <f ca="1">+GETPIVOTDATA("XXB4",'xabang (2016)'!$A$3,"MA_HT","SKK","MA_QH","MNC")</f>
        <v>0</v>
      </c>
      <c r="BD22" s="22">
        <f ca="1">+GETPIVOTDATA("XXB4",'xabang (2016)'!$A$3,"MA_HT","SKK","MA_QH","PNK")</f>
        <v>0</v>
      </c>
      <c r="BE22" s="71">
        <f ca="1">+GETPIVOTDATA("XXB4",'xabang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+GETPIVOTDATA("XXB4",'xabang (2016)'!$A$3,"MA_HT","SKT","MA_QH","LUC")</f>
        <v>0</v>
      </c>
      <c r="H23" s="22">
        <f ca="1">+GETPIVOTDATA("XXB4",'xabang (2016)'!$A$3,"MA_HT","SKT","MA_QH","LUK")</f>
        <v>0</v>
      </c>
      <c r="I23" s="22">
        <f ca="1">+GETPIVOTDATA("XXB4",'xabang (2016)'!$A$3,"MA_HT","SKT","MA_QH","LUN")</f>
        <v>0</v>
      </c>
      <c r="J23" s="22">
        <f ca="1">+GETPIVOTDATA("XXB4",'xabang (2016)'!$A$3,"MA_HT","SKT","MA_QH","HNK")</f>
        <v>0</v>
      </c>
      <c r="K23" s="22">
        <f ca="1">+GETPIVOTDATA("XXB4",'xabang (2016)'!$A$3,"MA_HT","SKT","MA_QH","CLN")</f>
        <v>0</v>
      </c>
      <c r="L23" s="22">
        <f ca="1">+GETPIVOTDATA("XXB4",'xabang (2016)'!$A$3,"MA_HT","SKT","MA_QH","RSX")</f>
        <v>0</v>
      </c>
      <c r="M23" s="22">
        <f ca="1">+GETPIVOTDATA("XXB4",'xabang (2016)'!$A$3,"MA_HT","SKT","MA_QH","RPH")</f>
        <v>0</v>
      </c>
      <c r="N23" s="22">
        <f ca="1">+GETPIVOTDATA("XXB4",'xabang (2016)'!$A$3,"MA_HT","SKT","MA_QH","RDD")</f>
        <v>0</v>
      </c>
      <c r="O23" s="22">
        <f ca="1">+GETPIVOTDATA("XXB4",'xabang (2016)'!$A$3,"MA_HT","SKT","MA_QH","NTS")</f>
        <v>0</v>
      </c>
      <c r="P23" s="22">
        <f ca="1">+GETPIVOTDATA("XXB4",'xabang (2016)'!$A$3,"MA_HT","SKT","MA_QH","LMU")</f>
        <v>0</v>
      </c>
      <c r="Q23" s="22">
        <f ca="1">+GETPIVOTDATA("XXB4",'xabang (2016)'!$A$3,"MA_HT","SKT","MA_QH","NKH")</f>
        <v>0</v>
      </c>
      <c r="R23" s="42">
        <f ca="1">SUM(S23:U23,W23:AA23,AN23:BD23)</f>
        <v>0</v>
      </c>
      <c r="S23" s="22">
        <f ca="1">+GETPIVOTDATA("XXB4",'xabang (2016)'!$A$3,"MA_HT","SKT","MA_QH","CQP")</f>
        <v>0</v>
      </c>
      <c r="T23" s="22">
        <f ca="1">+GETPIVOTDATA("XXB4",'xabang (2016)'!$A$3,"MA_HT","SKT","MA_QH","CAN")</f>
        <v>0</v>
      </c>
      <c r="U23" s="22">
        <f ca="1">+GETPIVOTDATA("XXB4",'xabang (2016)'!$A$3,"MA_HT","SKT","MA_QH","SKK")</f>
        <v>0</v>
      </c>
      <c r="V23" s="43" t="e">
        <f ca="1">$D23-$BF23</f>
        <v>#REF!</v>
      </c>
      <c r="W23" s="22">
        <f ca="1">+GETPIVOTDATA("XXB4",'xabang (2016)'!$A$3,"MA_HT","SKT","MA_QH","SKN")</f>
        <v>0</v>
      </c>
      <c r="X23" s="22">
        <f ca="1">+GETPIVOTDATA("XXB4",'xabang (2016)'!$A$3,"MA_HT","SKT","MA_QH","TMD")</f>
        <v>0</v>
      </c>
      <c r="Y23" s="22">
        <f ca="1">+GETPIVOTDATA("XXB4",'xabang (2016)'!$A$3,"MA_HT","SKT","MA_QH","SKC")</f>
        <v>0</v>
      </c>
      <c r="Z23" s="22">
        <f ca="1">+GETPIVOTDATA("XXB4",'xabang (2016)'!$A$3,"MA_HT","SKT","MA_QH","SKS")</f>
        <v>0</v>
      </c>
      <c r="AA23" s="52">
        <f ca="1" t="shared" si="12"/>
        <v>0</v>
      </c>
      <c r="AB23" s="22">
        <f ca="1">+GETPIVOTDATA("XXB4",'xabang (2016)'!$A$3,"MA_HT","SKT","MA_QH","DGT")</f>
        <v>0</v>
      </c>
      <c r="AC23" s="22">
        <f ca="1">+GETPIVOTDATA("XXB4",'xabang (2016)'!$A$3,"MA_HT","SKT","MA_QH","DTL")</f>
        <v>0</v>
      </c>
      <c r="AD23" s="22">
        <f ca="1">+GETPIVOTDATA("XXB4",'xabang (2016)'!$A$3,"MA_HT","SKT","MA_QH","DNL")</f>
        <v>0</v>
      </c>
      <c r="AE23" s="22">
        <f ca="1">+GETPIVOTDATA("XXB4",'xabang (2016)'!$A$3,"MA_HT","SKT","MA_QH","DBV")</f>
        <v>0</v>
      </c>
      <c r="AF23" s="22">
        <f ca="1">+GETPIVOTDATA("XXB4",'xabang (2016)'!$A$3,"MA_HT","SKT","MA_QH","DVH")</f>
        <v>0</v>
      </c>
      <c r="AG23" s="22">
        <f ca="1">+GETPIVOTDATA("XXB4",'xabang (2016)'!$A$3,"MA_HT","SKT","MA_QH","DYT")</f>
        <v>0</v>
      </c>
      <c r="AH23" s="22">
        <f ca="1">+GETPIVOTDATA("XXB4",'xabang (2016)'!$A$3,"MA_HT","SKT","MA_QH","DGD")</f>
        <v>0</v>
      </c>
      <c r="AI23" s="22">
        <f ca="1">+GETPIVOTDATA("XXB4",'xabang (2016)'!$A$3,"MA_HT","SKT","MA_QH","DTT")</f>
        <v>0</v>
      </c>
      <c r="AJ23" s="22">
        <f ca="1">+GETPIVOTDATA("XXB4",'xabang (2016)'!$A$3,"MA_HT","SKT","MA_QH","NCK")</f>
        <v>0</v>
      </c>
      <c r="AK23" s="22">
        <f ca="1">+GETPIVOTDATA("XXB4",'xabang (2016)'!$A$3,"MA_HT","SKT","MA_QH","DXH")</f>
        <v>0</v>
      </c>
      <c r="AL23" s="22">
        <f ca="1">+GETPIVOTDATA("XXB4",'xabang (2016)'!$A$3,"MA_HT","SKT","MA_QH","DCH")</f>
        <v>0</v>
      </c>
      <c r="AM23" s="22">
        <f ca="1">+GETPIVOTDATA("XXB4",'xabang (2016)'!$A$3,"MA_HT","SKT","MA_QH","DKG")</f>
        <v>0</v>
      </c>
      <c r="AN23" s="22">
        <f ca="1">+GETPIVOTDATA("XXB4",'xabang (2016)'!$A$3,"MA_HT","SKT","MA_QH","DDT")</f>
        <v>0</v>
      </c>
      <c r="AO23" s="22">
        <f ca="1">+GETPIVOTDATA("XXB4",'xabang (2016)'!$A$3,"MA_HT","SKT","MA_QH","DDL")</f>
        <v>0</v>
      </c>
      <c r="AP23" s="22">
        <f ca="1">+GETPIVOTDATA("XXB4",'xabang (2016)'!$A$3,"MA_HT","SKT","MA_QH","DRA")</f>
        <v>0</v>
      </c>
      <c r="AQ23" s="22">
        <f ca="1">+GETPIVOTDATA("XXB4",'xabang (2016)'!$A$3,"MA_HT","SKT","MA_QH","ONT")</f>
        <v>0</v>
      </c>
      <c r="AR23" s="22">
        <f ca="1">+GETPIVOTDATA("XXB4",'xabang (2016)'!$A$3,"MA_HT","SKT","MA_QH","ODT")</f>
        <v>0</v>
      </c>
      <c r="AS23" s="22">
        <f ca="1">+GETPIVOTDATA("XXB4",'xabang (2016)'!$A$3,"MA_HT","SKT","MA_QH","TSC")</f>
        <v>0</v>
      </c>
      <c r="AT23" s="22">
        <f ca="1">+GETPIVOTDATA("XXB4",'xabang (2016)'!$A$3,"MA_HT","SKT","MA_QH","DTS")</f>
        <v>0</v>
      </c>
      <c r="AU23" s="22">
        <f ca="1">+GETPIVOTDATA("XXB4",'xabang (2016)'!$A$3,"MA_HT","SKT","MA_QH","DNG")</f>
        <v>0</v>
      </c>
      <c r="AV23" s="22">
        <f ca="1">+GETPIVOTDATA("XXB4",'xabang (2016)'!$A$3,"MA_HT","SKT","MA_QH","TON")</f>
        <v>0</v>
      </c>
      <c r="AW23" s="22">
        <f ca="1">+GETPIVOTDATA("XXB4",'xabang (2016)'!$A$3,"MA_HT","SKT","MA_QH","NTD")</f>
        <v>0</v>
      </c>
      <c r="AX23" s="22">
        <f ca="1">+GETPIVOTDATA("XXB4",'xabang (2016)'!$A$3,"MA_HT","SKT","MA_QH","SKX")</f>
        <v>0</v>
      </c>
      <c r="AY23" s="22">
        <f ca="1">+GETPIVOTDATA("XXB4",'xabang (2016)'!$A$3,"MA_HT","SKT","MA_QH","DSH")</f>
        <v>0</v>
      </c>
      <c r="AZ23" s="22">
        <f ca="1">+GETPIVOTDATA("XXB4",'xabang (2016)'!$A$3,"MA_HT","SKT","MA_QH","DKV")</f>
        <v>0</v>
      </c>
      <c r="BA23" s="89">
        <f ca="1">+GETPIVOTDATA("XXB4",'xabang (2016)'!$A$3,"MA_HT","SKT","MA_QH","TIN")</f>
        <v>0</v>
      </c>
      <c r="BB23" s="50">
        <f ca="1">+GETPIVOTDATA("XXB4",'xabang (2016)'!$A$3,"MA_HT","SKT","MA_QH","SON")</f>
        <v>0</v>
      </c>
      <c r="BC23" s="50">
        <f ca="1">+GETPIVOTDATA("XXB4",'xabang (2016)'!$A$3,"MA_HT","SKT","MA_QH","MNC")</f>
        <v>0</v>
      </c>
      <c r="BD23" s="22">
        <f ca="1">+GETPIVOTDATA("XXB4",'xabang (2016)'!$A$3,"MA_HT","SKT","MA_QH","PNK")</f>
        <v>0</v>
      </c>
      <c r="BE23" s="71">
        <f ca="1">+GETPIVOTDATA("XXB4",'xabang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+GETPIVOTDATA("XXB4",'xabang (2016)'!$A$3,"MA_HT","SKN","MA_QH","LUC")</f>
        <v>0</v>
      </c>
      <c r="H24" s="22">
        <f ca="1">+GETPIVOTDATA("XXB4",'xabang (2016)'!$A$3,"MA_HT","SKN","MA_QH","LUK")</f>
        <v>0</v>
      </c>
      <c r="I24" s="22">
        <f ca="1">+GETPIVOTDATA("XXB4",'xabang (2016)'!$A$3,"MA_HT","SKN","MA_QH","LUN")</f>
        <v>0</v>
      </c>
      <c r="J24" s="22">
        <f ca="1">+GETPIVOTDATA("XXB4",'xabang (2016)'!$A$3,"MA_HT","SKN","MA_QH","HNK")</f>
        <v>0</v>
      </c>
      <c r="K24" s="22">
        <f ca="1">+GETPIVOTDATA("XXB4",'xabang (2016)'!$A$3,"MA_HT","SKN","MA_QH","CLN")</f>
        <v>0</v>
      </c>
      <c r="L24" s="22">
        <f ca="1">+GETPIVOTDATA("XXB4",'xabang (2016)'!$A$3,"MA_HT","SKN","MA_QH","RSX")</f>
        <v>0</v>
      </c>
      <c r="M24" s="22">
        <f ca="1">+GETPIVOTDATA("XXB4",'xabang (2016)'!$A$3,"MA_HT","SKN","MA_QH","RPH")</f>
        <v>0</v>
      </c>
      <c r="N24" s="22">
        <f ca="1">+GETPIVOTDATA("XXB4",'xabang (2016)'!$A$3,"MA_HT","SKN","MA_QH","RDD")</f>
        <v>0</v>
      </c>
      <c r="O24" s="22">
        <f ca="1">+GETPIVOTDATA("XXB4",'xabang (2016)'!$A$3,"MA_HT","SKN","MA_QH","NTS")</f>
        <v>0</v>
      </c>
      <c r="P24" s="22">
        <f ca="1">+GETPIVOTDATA("XXB4",'xabang (2016)'!$A$3,"MA_HT","SKN","MA_QH","LMU")</f>
        <v>0</v>
      </c>
      <c r="Q24" s="22">
        <f ca="1">+GETPIVOTDATA("XXB4",'xabang (2016)'!$A$3,"MA_HT","SKN","MA_QH","NKH")</f>
        <v>0</v>
      </c>
      <c r="R24" s="42">
        <f ca="1">SUM(S24:V24,X24:AA24,AN24:BD24)</f>
        <v>0</v>
      </c>
      <c r="S24" s="22">
        <f ca="1">+GETPIVOTDATA("XXB4",'xabang (2016)'!$A$3,"MA_HT","SKN","MA_QH","CQP")</f>
        <v>0</v>
      </c>
      <c r="T24" s="22">
        <f ca="1">+GETPIVOTDATA("XXB4",'xabang (2016)'!$A$3,"MA_HT","SKN","MA_QH","CAN")</f>
        <v>0</v>
      </c>
      <c r="U24" s="22">
        <f ca="1">+GETPIVOTDATA("XXB4",'xabang (2016)'!$A$3,"MA_HT","SKN","MA_QH","SKK")</f>
        <v>0</v>
      </c>
      <c r="V24" s="22">
        <f ca="1">+GETPIVOTDATA("XXB4",'xabang (2016)'!$A$3,"MA_HT","SKN","MA_QH","SKT")</f>
        <v>0</v>
      </c>
      <c r="W24" s="43" t="e">
        <f ca="1">$D24-$BF24</f>
        <v>#REF!</v>
      </c>
      <c r="X24" s="22">
        <f ca="1">+GETPIVOTDATA("XXB4",'xabang (2016)'!$A$3,"MA_HT","SKN","MA_QH","TMD")</f>
        <v>0</v>
      </c>
      <c r="Y24" s="22">
        <f ca="1">+GETPIVOTDATA("XXB4",'xabang (2016)'!$A$3,"MA_HT","SKN","MA_QH","SKC")</f>
        <v>0</v>
      </c>
      <c r="Z24" s="22">
        <f ca="1">+GETPIVOTDATA("XXB4",'xabang (2016)'!$A$3,"MA_HT","SKN","MA_QH","SKS")</f>
        <v>0</v>
      </c>
      <c r="AA24" s="52">
        <f ca="1" t="shared" si="12"/>
        <v>0</v>
      </c>
      <c r="AB24" s="22">
        <f ca="1">+GETPIVOTDATA("XXB4",'xabang (2016)'!$A$3,"MA_HT","SKN","MA_QH","DGT")</f>
        <v>0</v>
      </c>
      <c r="AC24" s="22">
        <f ca="1">+GETPIVOTDATA("XXB4",'xabang (2016)'!$A$3,"MA_HT","SKN","MA_QH","DTL")</f>
        <v>0</v>
      </c>
      <c r="AD24" s="22">
        <f ca="1">+GETPIVOTDATA("XXB4",'xabang (2016)'!$A$3,"MA_HT","SKN","MA_QH","DNL")</f>
        <v>0</v>
      </c>
      <c r="AE24" s="22">
        <f ca="1">+GETPIVOTDATA("XXB4",'xabang (2016)'!$A$3,"MA_HT","SKN","MA_QH","DBV")</f>
        <v>0</v>
      </c>
      <c r="AF24" s="22">
        <f ca="1">+GETPIVOTDATA("XXB4",'xabang (2016)'!$A$3,"MA_HT","SKN","MA_QH","DVH")</f>
        <v>0</v>
      </c>
      <c r="AG24" s="22">
        <f ca="1">+GETPIVOTDATA("XXB4",'xabang (2016)'!$A$3,"MA_HT","SKN","MA_QH","DYT")</f>
        <v>0</v>
      </c>
      <c r="AH24" s="22">
        <f ca="1">+GETPIVOTDATA("XXB4",'xabang (2016)'!$A$3,"MA_HT","SKN","MA_QH","DGD")</f>
        <v>0</v>
      </c>
      <c r="AI24" s="22">
        <f ca="1">+GETPIVOTDATA("XXB4",'xabang (2016)'!$A$3,"MA_HT","SKN","MA_QH","DTT")</f>
        <v>0</v>
      </c>
      <c r="AJ24" s="22">
        <f ca="1">+GETPIVOTDATA("XXB4",'xabang (2016)'!$A$3,"MA_HT","SKN","MA_QH","NCK")</f>
        <v>0</v>
      </c>
      <c r="AK24" s="22">
        <f ca="1">+GETPIVOTDATA("XXB4",'xabang (2016)'!$A$3,"MA_HT","SKN","MA_QH","DXH")</f>
        <v>0</v>
      </c>
      <c r="AL24" s="22">
        <f ca="1">+GETPIVOTDATA("XXB4",'xabang (2016)'!$A$3,"MA_HT","SKN","MA_QH","DCH")</f>
        <v>0</v>
      </c>
      <c r="AM24" s="22">
        <f ca="1">+GETPIVOTDATA("XXB4",'xabang (2016)'!$A$3,"MA_HT","SKN","MA_QH","DKG")</f>
        <v>0</v>
      </c>
      <c r="AN24" s="22">
        <f ca="1">+GETPIVOTDATA("XXB4",'xabang (2016)'!$A$3,"MA_HT","SKN","MA_QH","DDT")</f>
        <v>0</v>
      </c>
      <c r="AO24" s="22">
        <f ca="1">+GETPIVOTDATA("XXB4",'xabang (2016)'!$A$3,"MA_HT","SKN","MA_QH","DDL")</f>
        <v>0</v>
      </c>
      <c r="AP24" s="22">
        <f ca="1">+GETPIVOTDATA("XXB4",'xabang (2016)'!$A$3,"MA_HT","SKN","MA_QH","DRA")</f>
        <v>0</v>
      </c>
      <c r="AQ24" s="22">
        <f ca="1">+GETPIVOTDATA("XXB4",'xabang (2016)'!$A$3,"MA_HT","SKN","MA_QH","ONT")</f>
        <v>0</v>
      </c>
      <c r="AR24" s="22">
        <f ca="1">+GETPIVOTDATA("XXB4",'xabang (2016)'!$A$3,"MA_HT","SKN","MA_QH","ODT")</f>
        <v>0</v>
      </c>
      <c r="AS24" s="22">
        <f ca="1">+GETPIVOTDATA("XXB4",'xabang (2016)'!$A$3,"MA_HT","SKN","MA_QH","TSC")</f>
        <v>0</v>
      </c>
      <c r="AT24" s="22">
        <f ca="1">+GETPIVOTDATA("XXB4",'xabang (2016)'!$A$3,"MA_HT","SKN","MA_QH","DTS")</f>
        <v>0</v>
      </c>
      <c r="AU24" s="22">
        <f ca="1">+GETPIVOTDATA("XXB4",'xabang (2016)'!$A$3,"MA_HT","SKN","MA_QH","DNG")</f>
        <v>0</v>
      </c>
      <c r="AV24" s="22">
        <f ca="1">+GETPIVOTDATA("XXB4",'xabang (2016)'!$A$3,"MA_HT","SKN","MA_QH","TON")</f>
        <v>0</v>
      </c>
      <c r="AW24" s="22">
        <f ca="1">+GETPIVOTDATA("XXB4",'xabang (2016)'!$A$3,"MA_HT","SKN","MA_QH","NTD")</f>
        <v>0</v>
      </c>
      <c r="AX24" s="22">
        <f ca="1">+GETPIVOTDATA("XXB4",'xabang (2016)'!$A$3,"MA_HT","SKN","MA_QH","SKX")</f>
        <v>0</v>
      </c>
      <c r="AY24" s="22">
        <f ca="1">+GETPIVOTDATA("XXB4",'xabang (2016)'!$A$3,"MA_HT","SKN","MA_QH","DSH")</f>
        <v>0</v>
      </c>
      <c r="AZ24" s="22">
        <f ca="1">+GETPIVOTDATA("XXB4",'xabang (2016)'!$A$3,"MA_HT","SKN","MA_QH","DKV")</f>
        <v>0</v>
      </c>
      <c r="BA24" s="89">
        <f ca="1">+GETPIVOTDATA("XXB4",'xabang (2016)'!$A$3,"MA_HT","SKN","MA_QH","TIN")</f>
        <v>0</v>
      </c>
      <c r="BB24" s="50">
        <f ca="1">+GETPIVOTDATA("XXB4",'xabang (2016)'!$A$3,"MA_HT","SKN","MA_QH","SON")</f>
        <v>0</v>
      </c>
      <c r="BC24" s="50">
        <f ca="1">+GETPIVOTDATA("XXB4",'xabang (2016)'!$A$3,"MA_HT","SKN","MA_QH","MNC")</f>
        <v>0</v>
      </c>
      <c r="BD24" s="22">
        <f ca="1">+GETPIVOTDATA("XXB4",'xabang (2016)'!$A$3,"MA_HT","SKN","MA_QH","PNK")</f>
        <v>0</v>
      </c>
      <c r="BE24" s="71">
        <f ca="1">+GETPIVOTDATA("XXB4",'xabang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+GETPIVOTDATA("XXB4",'xabang (2016)'!$A$3,"MA_HT","TMD","MA_QH","LUC")</f>
        <v>0</v>
      </c>
      <c r="H25" s="22">
        <f ca="1">+GETPIVOTDATA("XXB4",'xabang (2016)'!$A$3,"MA_HT","TMD","MA_QH","LUK")</f>
        <v>0</v>
      </c>
      <c r="I25" s="22">
        <f ca="1">+GETPIVOTDATA("XXB4",'xabang (2016)'!$A$3,"MA_HT","TMD","MA_QH","LUN")</f>
        <v>0</v>
      </c>
      <c r="J25" s="22">
        <f ca="1">+GETPIVOTDATA("XXB4",'xabang (2016)'!$A$3,"MA_HT","TMD","MA_QH","HNK")</f>
        <v>0</v>
      </c>
      <c r="K25" s="22">
        <f ca="1">+GETPIVOTDATA("XXB4",'xabang (2016)'!$A$3,"MA_HT","TMD","MA_QH","CLN")</f>
        <v>0</v>
      </c>
      <c r="L25" s="22">
        <f ca="1">+GETPIVOTDATA("XXB4",'xabang (2016)'!$A$3,"MA_HT","TMD","MA_QH","RSX")</f>
        <v>0</v>
      </c>
      <c r="M25" s="22">
        <f ca="1">+GETPIVOTDATA("XXB4",'xabang (2016)'!$A$3,"MA_HT","TMD","MA_QH","RPH")</f>
        <v>0</v>
      </c>
      <c r="N25" s="22">
        <f ca="1">+GETPIVOTDATA("XXB4",'xabang (2016)'!$A$3,"MA_HT","TMD","MA_QH","RDD")</f>
        <v>0</v>
      </c>
      <c r="O25" s="22">
        <f ca="1">+GETPIVOTDATA("XXB4",'xabang (2016)'!$A$3,"MA_HT","TMD","MA_QH","NTS")</f>
        <v>0</v>
      </c>
      <c r="P25" s="22">
        <f ca="1">+GETPIVOTDATA("XXB4",'xabang (2016)'!$A$3,"MA_HT","TMD","MA_QH","LMU")</f>
        <v>0</v>
      </c>
      <c r="Q25" s="22">
        <f ca="1">+GETPIVOTDATA("XXB4",'xabang (2016)'!$A$3,"MA_HT","TMD","MA_QH","NKH")</f>
        <v>0</v>
      </c>
      <c r="R25" s="42">
        <f ca="1">SUM(S25:W25,Y25:AA25,AN25:BD25)</f>
        <v>0</v>
      </c>
      <c r="S25" s="22">
        <f ca="1">+GETPIVOTDATA("XXB4",'xabang (2016)'!$A$3,"MA_HT","TMD","MA_QH","CQP")</f>
        <v>0</v>
      </c>
      <c r="T25" s="22">
        <f ca="1">+GETPIVOTDATA("XXB4",'xabang (2016)'!$A$3,"MA_HT","TMD","MA_QH","CAN")</f>
        <v>0</v>
      </c>
      <c r="U25" s="22">
        <f ca="1">+GETPIVOTDATA("XXB4",'xabang (2016)'!$A$3,"MA_HT","TMD","MA_QH","SKK")</f>
        <v>0</v>
      </c>
      <c r="V25" s="22">
        <f ca="1">+GETPIVOTDATA("XXB4",'xabang (2016)'!$A$3,"MA_HT","TMD","MA_QH","SKT")</f>
        <v>0</v>
      </c>
      <c r="W25" s="22">
        <f ca="1">+GETPIVOTDATA("XXB4",'xabang (2016)'!$A$3,"MA_HT","TMD","MA_QH","SKN")</f>
        <v>0</v>
      </c>
      <c r="X25" s="43" t="e">
        <f ca="1">$D25-$BF25</f>
        <v>#REF!</v>
      </c>
      <c r="Y25" s="22">
        <f ca="1">+GETPIVOTDATA("XXB4",'xabang (2016)'!$A$3,"MA_HT","TMD","MA_QH","SKC")</f>
        <v>0</v>
      </c>
      <c r="Z25" s="22">
        <f ca="1">+GETPIVOTDATA("XXB4",'xabang (2016)'!$A$3,"MA_HT","TMD","MA_QH","SKS")</f>
        <v>0</v>
      </c>
      <c r="AA25" s="52">
        <f ca="1" t="shared" si="12"/>
        <v>0</v>
      </c>
      <c r="AB25" s="22">
        <f ca="1">+GETPIVOTDATA("XXB4",'xabang (2016)'!$A$3,"MA_HT","TMD","MA_QH","DGT")</f>
        <v>0</v>
      </c>
      <c r="AC25" s="22">
        <f ca="1">+GETPIVOTDATA("XXB4",'xabang (2016)'!$A$3,"MA_HT","TMD","MA_QH","DTL")</f>
        <v>0</v>
      </c>
      <c r="AD25" s="22">
        <f ca="1">+GETPIVOTDATA("XXB4",'xabang (2016)'!$A$3,"MA_HT","TMD","MA_QH","DNL")</f>
        <v>0</v>
      </c>
      <c r="AE25" s="22">
        <f ca="1">+GETPIVOTDATA("XXB4",'xabang (2016)'!$A$3,"MA_HT","TMD","MA_QH","DBV")</f>
        <v>0</v>
      </c>
      <c r="AF25" s="22">
        <f ca="1">+GETPIVOTDATA("XXB4",'xabang (2016)'!$A$3,"MA_HT","TMD","MA_QH","DVH")</f>
        <v>0</v>
      </c>
      <c r="AG25" s="22">
        <f ca="1">+GETPIVOTDATA("XXB4",'xabang (2016)'!$A$3,"MA_HT","TMD","MA_QH","DYT")</f>
        <v>0</v>
      </c>
      <c r="AH25" s="22">
        <f ca="1">+GETPIVOTDATA("XXB4",'xabang (2016)'!$A$3,"MA_HT","TMD","MA_QH","DGD")</f>
        <v>0</v>
      </c>
      <c r="AI25" s="22">
        <f ca="1">+GETPIVOTDATA("XXB4",'xabang (2016)'!$A$3,"MA_HT","TMD","MA_QH","DTT")</f>
        <v>0</v>
      </c>
      <c r="AJ25" s="22">
        <f ca="1">+GETPIVOTDATA("XXB4",'xabang (2016)'!$A$3,"MA_HT","TMD","MA_QH","NCK")</f>
        <v>0</v>
      </c>
      <c r="AK25" s="22">
        <f ca="1">+GETPIVOTDATA("XXB4",'xabang (2016)'!$A$3,"MA_HT","TMD","MA_QH","DXH")</f>
        <v>0</v>
      </c>
      <c r="AL25" s="22">
        <f ca="1">+GETPIVOTDATA("XXB4",'xabang (2016)'!$A$3,"MA_HT","TMD","MA_QH","DCH")</f>
        <v>0</v>
      </c>
      <c r="AM25" s="22">
        <f ca="1">+GETPIVOTDATA("XXB4",'xabang (2016)'!$A$3,"MA_HT","TMD","MA_QH","DKG")</f>
        <v>0</v>
      </c>
      <c r="AN25" s="22">
        <f ca="1">+GETPIVOTDATA("XXB4",'xabang (2016)'!$A$3,"MA_HT","TMD","MA_QH","DDT")</f>
        <v>0</v>
      </c>
      <c r="AO25" s="22">
        <f ca="1">+GETPIVOTDATA("XXB4",'xabang (2016)'!$A$3,"MA_HT","TMD","MA_QH","DDL")</f>
        <v>0</v>
      </c>
      <c r="AP25" s="22">
        <f ca="1">+GETPIVOTDATA("XXB4",'xabang (2016)'!$A$3,"MA_HT","TMD","MA_QH","DRA")</f>
        <v>0</v>
      </c>
      <c r="AQ25" s="22">
        <f ca="1">+GETPIVOTDATA("XXB4",'xabang (2016)'!$A$3,"MA_HT","TMD","MA_QH","ONT")</f>
        <v>0</v>
      </c>
      <c r="AR25" s="22">
        <f ca="1">+GETPIVOTDATA("XXB4",'xabang (2016)'!$A$3,"MA_HT","TMD","MA_QH","ODT")</f>
        <v>0</v>
      </c>
      <c r="AS25" s="22">
        <f ca="1">+GETPIVOTDATA("XXB4",'xabang (2016)'!$A$3,"MA_HT","TMD","MA_QH","TSC")</f>
        <v>0</v>
      </c>
      <c r="AT25" s="22">
        <f ca="1">+GETPIVOTDATA("XXB4",'xabang (2016)'!$A$3,"MA_HT","TMD","MA_QH","DTS")</f>
        <v>0</v>
      </c>
      <c r="AU25" s="22">
        <f ca="1">+GETPIVOTDATA("XXB4",'xabang (2016)'!$A$3,"MA_HT","TMD","MA_QH","DNG")</f>
        <v>0</v>
      </c>
      <c r="AV25" s="22">
        <f ca="1">+GETPIVOTDATA("XXB4",'xabang (2016)'!$A$3,"MA_HT","TMD","MA_QH","TON")</f>
        <v>0</v>
      </c>
      <c r="AW25" s="22">
        <f ca="1">+GETPIVOTDATA("XXB4",'xabang (2016)'!$A$3,"MA_HT","TMD","MA_QH","NTD")</f>
        <v>0</v>
      </c>
      <c r="AX25" s="22">
        <f ca="1">+GETPIVOTDATA("XXB4",'xabang (2016)'!$A$3,"MA_HT","TMD","MA_QH","SKX")</f>
        <v>0</v>
      </c>
      <c r="AY25" s="22">
        <f ca="1">+GETPIVOTDATA("XXB4",'xabang (2016)'!$A$3,"MA_HT","TMD","MA_QH","DSH")</f>
        <v>0</v>
      </c>
      <c r="AZ25" s="22">
        <f ca="1">+GETPIVOTDATA("XXB4",'xabang (2016)'!$A$3,"MA_HT","TMD","MA_QH","DKV")</f>
        <v>0</v>
      </c>
      <c r="BA25" s="89">
        <f ca="1">+GETPIVOTDATA("XXB4",'xabang (2016)'!$A$3,"MA_HT","TMD","MA_QH","TIN")</f>
        <v>0</v>
      </c>
      <c r="BB25" s="50">
        <f ca="1">+GETPIVOTDATA("XXB4",'xabang (2016)'!$A$3,"MA_HT","TMD","MA_QH","SON")</f>
        <v>0</v>
      </c>
      <c r="BC25" s="50">
        <f ca="1">+GETPIVOTDATA("XXB4",'xabang (2016)'!$A$3,"MA_HT","TMD","MA_QH","MNC")</f>
        <v>0</v>
      </c>
      <c r="BD25" s="22">
        <f ca="1">+GETPIVOTDATA("XXB4",'xabang (2016)'!$A$3,"MA_HT","TMD","MA_QH","PNK")</f>
        <v>0</v>
      </c>
      <c r="BE25" s="71">
        <f ca="1">+GETPIVOTDATA("XXB4",'xabang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+GETPIVOTDATA("XXB4",'xabang (2016)'!$A$3,"MA_HT","SKC","MA_QH","LUC")</f>
        <v>0</v>
      </c>
      <c r="H26" s="22">
        <f ca="1">+GETPIVOTDATA("XXB4",'xabang (2016)'!$A$3,"MA_HT","SKC","MA_QH","LUK")</f>
        <v>0</v>
      </c>
      <c r="I26" s="22">
        <f ca="1">+GETPIVOTDATA("XXB4",'xabang (2016)'!$A$3,"MA_HT","SKC","MA_QH","LUN")</f>
        <v>0</v>
      </c>
      <c r="J26" s="22">
        <f ca="1">+GETPIVOTDATA("XXB4",'xabang (2016)'!$A$3,"MA_HT","SKC","MA_QH","HNK")</f>
        <v>0</v>
      </c>
      <c r="K26" s="22">
        <f ca="1">+GETPIVOTDATA("XXB4",'xabang (2016)'!$A$3,"MA_HT","SKC","MA_QH","CLN")</f>
        <v>0</v>
      </c>
      <c r="L26" s="22">
        <f ca="1">+GETPIVOTDATA("XXB4",'xabang (2016)'!$A$3,"MA_HT","SKC","MA_QH","RSX")</f>
        <v>0</v>
      </c>
      <c r="M26" s="22">
        <f ca="1">+GETPIVOTDATA("XXB4",'xabang (2016)'!$A$3,"MA_HT","SKC","MA_QH","RPH")</f>
        <v>0</v>
      </c>
      <c r="N26" s="22">
        <f ca="1">+GETPIVOTDATA("XXB4",'xabang (2016)'!$A$3,"MA_HT","SKC","MA_QH","RDD")</f>
        <v>0</v>
      </c>
      <c r="O26" s="22">
        <f ca="1">+GETPIVOTDATA("XXB4",'xabang (2016)'!$A$3,"MA_HT","SKC","MA_QH","NTS")</f>
        <v>0</v>
      </c>
      <c r="P26" s="22">
        <f ca="1">+GETPIVOTDATA("XXB4",'xabang (2016)'!$A$3,"MA_HT","SKC","MA_QH","LMU")</f>
        <v>0</v>
      </c>
      <c r="Q26" s="22">
        <f ca="1">+GETPIVOTDATA("XXB4",'xabang (2016)'!$A$3,"MA_HT","SKC","MA_QH","NKH")</f>
        <v>0</v>
      </c>
      <c r="R26" s="42">
        <f ca="1">SUM(S26:X26,Z26,AN26:BD26)</f>
        <v>0</v>
      </c>
      <c r="S26" s="22">
        <f ca="1">+GETPIVOTDATA("XXB4",'xabang (2016)'!$A$3,"MA_HT","SKC","MA_QH","CQP")</f>
        <v>0</v>
      </c>
      <c r="T26" s="22">
        <f ca="1">+GETPIVOTDATA("XXB4",'xabang (2016)'!$A$3,"MA_HT","SKC","MA_QH","CAN")</f>
        <v>0</v>
      </c>
      <c r="U26" s="22">
        <f ca="1">+GETPIVOTDATA("XXB4",'xabang (2016)'!$A$3,"MA_HT","SKC","MA_QH","SKK")</f>
        <v>0</v>
      </c>
      <c r="V26" s="22">
        <f ca="1">+GETPIVOTDATA("XXB4",'xabang (2016)'!$A$3,"MA_HT","SKC","MA_QH","SKT")</f>
        <v>0</v>
      </c>
      <c r="W26" s="22">
        <f ca="1">+GETPIVOTDATA("XXB4",'xabang (2016)'!$A$3,"MA_HT","SKC","MA_QH","SKN")</f>
        <v>0</v>
      </c>
      <c r="X26" s="22">
        <f ca="1">+GETPIVOTDATA("XXB4",'xabang (2016)'!$A$3,"MA_HT","SKC","MA_QH","TMD")</f>
        <v>0</v>
      </c>
      <c r="Y26" s="43" t="e">
        <f ca="1">$D26-$BF26</f>
        <v>#REF!</v>
      </c>
      <c r="Z26" s="22">
        <f ca="1">+GETPIVOTDATA("XXB4",'xabang (2016)'!$A$3,"MA_HT","SKC","MA_QH","SKS")</f>
        <v>0</v>
      </c>
      <c r="AA26" s="52">
        <f ca="1" t="shared" si="12"/>
        <v>0</v>
      </c>
      <c r="AB26" s="22">
        <f ca="1">+GETPIVOTDATA("XXB4",'xabang (2016)'!$A$3,"MA_HT","SKC","MA_QH","DGT")</f>
        <v>0</v>
      </c>
      <c r="AC26" s="22">
        <f ca="1">+GETPIVOTDATA("XXB4",'xabang (2016)'!$A$3,"MA_HT","SKC","MA_QH","DTL")</f>
        <v>0</v>
      </c>
      <c r="AD26" s="22">
        <f ca="1">+GETPIVOTDATA("XXB4",'xabang (2016)'!$A$3,"MA_HT","SKC","MA_QH","DNL")</f>
        <v>0</v>
      </c>
      <c r="AE26" s="22">
        <f ca="1">+GETPIVOTDATA("XXB4",'xabang (2016)'!$A$3,"MA_HT","SKC","MA_QH","DBV")</f>
        <v>0</v>
      </c>
      <c r="AF26" s="22">
        <f ca="1">+GETPIVOTDATA("XXB4",'xabang (2016)'!$A$3,"MA_HT","SKC","MA_QH","DVH")</f>
        <v>0</v>
      </c>
      <c r="AG26" s="22">
        <f ca="1">+GETPIVOTDATA("XXB4",'xabang (2016)'!$A$3,"MA_HT","SKC","MA_QH","DYT")</f>
        <v>0</v>
      </c>
      <c r="AH26" s="22">
        <f ca="1">+GETPIVOTDATA("XXB4",'xabang (2016)'!$A$3,"MA_HT","SKC","MA_QH","DGD")</f>
        <v>0</v>
      </c>
      <c r="AI26" s="22">
        <f ca="1">+GETPIVOTDATA("XXB4",'xabang (2016)'!$A$3,"MA_HT","SKC","MA_QH","DTT")</f>
        <v>0</v>
      </c>
      <c r="AJ26" s="22">
        <f ca="1">+GETPIVOTDATA("XXB4",'xabang (2016)'!$A$3,"MA_HT","SKC","MA_QH","NCK")</f>
        <v>0</v>
      </c>
      <c r="AK26" s="22">
        <f ca="1">+GETPIVOTDATA("XXB4",'xabang (2016)'!$A$3,"MA_HT","SKC","MA_QH","DXH")</f>
        <v>0</v>
      </c>
      <c r="AL26" s="22">
        <f ca="1">+GETPIVOTDATA("XXB4",'xabang (2016)'!$A$3,"MA_HT","SKC","MA_QH","DCH")</f>
        <v>0</v>
      </c>
      <c r="AM26" s="22">
        <f ca="1">+GETPIVOTDATA("XXB4",'xabang (2016)'!$A$3,"MA_HT","SKC","MA_QH","DKG")</f>
        <v>0</v>
      </c>
      <c r="AN26" s="22">
        <f ca="1">+GETPIVOTDATA("XXB4",'xabang (2016)'!$A$3,"MA_HT","SKC","MA_QH","DDT")</f>
        <v>0</v>
      </c>
      <c r="AO26" s="22">
        <f ca="1">+GETPIVOTDATA("XXB4",'xabang (2016)'!$A$3,"MA_HT","SKC","MA_QH","DDL")</f>
        <v>0</v>
      </c>
      <c r="AP26" s="22">
        <f ca="1">+GETPIVOTDATA("XXB4",'xabang (2016)'!$A$3,"MA_HT","SKC","MA_QH","DRA")</f>
        <v>0</v>
      </c>
      <c r="AQ26" s="22">
        <f ca="1">+GETPIVOTDATA("XXB4",'xabang (2016)'!$A$3,"MA_HT","SKC","MA_QH","ONT")</f>
        <v>0</v>
      </c>
      <c r="AR26" s="22">
        <f ca="1">+GETPIVOTDATA("XXB4",'xabang (2016)'!$A$3,"MA_HT","SKC","MA_QH","ODT")</f>
        <v>0</v>
      </c>
      <c r="AS26" s="22">
        <f ca="1">+GETPIVOTDATA("XXB4",'xabang (2016)'!$A$3,"MA_HT","SKC","MA_QH","TSC")</f>
        <v>0</v>
      </c>
      <c r="AT26" s="22">
        <f ca="1">+GETPIVOTDATA("XXB4",'xabang (2016)'!$A$3,"MA_HT","SKC","MA_QH","DTS")</f>
        <v>0</v>
      </c>
      <c r="AU26" s="22">
        <f ca="1">+GETPIVOTDATA("XXB4",'xabang (2016)'!$A$3,"MA_HT","SKC","MA_QH","DNG")</f>
        <v>0</v>
      </c>
      <c r="AV26" s="22">
        <f ca="1">+GETPIVOTDATA("XXB4",'xabang (2016)'!$A$3,"MA_HT","SKC","MA_QH","TON")</f>
        <v>0</v>
      </c>
      <c r="AW26" s="22">
        <f ca="1">+GETPIVOTDATA("XXB4",'xabang (2016)'!$A$3,"MA_HT","SKC","MA_QH","NTD")</f>
        <v>0</v>
      </c>
      <c r="AX26" s="22">
        <f ca="1">+GETPIVOTDATA("XXB4",'xabang (2016)'!$A$3,"MA_HT","SKC","MA_QH","SKX")</f>
        <v>0</v>
      </c>
      <c r="AY26" s="22">
        <f ca="1">+GETPIVOTDATA("XXB4",'xabang (2016)'!$A$3,"MA_HT","SKC","MA_QH","DSH")</f>
        <v>0</v>
      </c>
      <c r="AZ26" s="22">
        <f ca="1">+GETPIVOTDATA("XXB4",'xabang (2016)'!$A$3,"MA_HT","SKC","MA_QH","DKV")</f>
        <v>0</v>
      </c>
      <c r="BA26" s="89">
        <f ca="1">+GETPIVOTDATA("XXB4",'xabang (2016)'!$A$3,"MA_HT","SKC","MA_QH","TIN")</f>
        <v>0</v>
      </c>
      <c r="BB26" s="50">
        <f ca="1">+GETPIVOTDATA("XXB4",'xabang (2016)'!$A$3,"MA_HT","SKC","MA_QH","SON")</f>
        <v>0</v>
      </c>
      <c r="BC26" s="50">
        <f ca="1">+GETPIVOTDATA("XXB4",'xabang (2016)'!$A$3,"MA_HT","SKC","MA_QH","MNC")</f>
        <v>0</v>
      </c>
      <c r="BD26" s="22">
        <f ca="1">+GETPIVOTDATA("XXB4",'xabang (2016)'!$A$3,"MA_HT","SKC","MA_QH","PNK")</f>
        <v>0</v>
      </c>
      <c r="BE26" s="71">
        <f ca="1">+GETPIVOTDATA("XXB4",'xabang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+GETPIVOTDATA("XXB4",'xabang (2016)'!$A$3,"MA_HT","SKS","MA_QH","LUC")</f>
        <v>0</v>
      </c>
      <c r="H27" s="22">
        <f ca="1">+GETPIVOTDATA("XXB4",'xabang (2016)'!$A$3,"MA_HT","SKS","MA_QH","LUK")</f>
        <v>0</v>
      </c>
      <c r="I27" s="22">
        <f ca="1">+GETPIVOTDATA("XXB4",'xabang (2016)'!$A$3,"MA_HT","SKS","MA_QH","LUN")</f>
        <v>0</v>
      </c>
      <c r="J27" s="22">
        <f ca="1">+GETPIVOTDATA("XXB4",'xabang (2016)'!$A$3,"MA_HT","SKS","MA_QH","HNK")</f>
        <v>0</v>
      </c>
      <c r="K27" s="22">
        <f ca="1">+GETPIVOTDATA("XXB4",'xabang (2016)'!$A$3,"MA_HT","SKS","MA_QH","CLN")</f>
        <v>0</v>
      </c>
      <c r="L27" s="22">
        <f ca="1">+GETPIVOTDATA("XXB4",'xabang (2016)'!$A$3,"MA_HT","SKS","MA_QH","RSX")</f>
        <v>0</v>
      </c>
      <c r="M27" s="22">
        <f ca="1">+GETPIVOTDATA("XXB4",'xabang (2016)'!$A$3,"MA_HT","SKS","MA_QH","RPH")</f>
        <v>0</v>
      </c>
      <c r="N27" s="22">
        <f ca="1">+GETPIVOTDATA("XXB4",'xabang (2016)'!$A$3,"MA_HT","SKS","MA_QH","RDD")</f>
        <v>0</v>
      </c>
      <c r="O27" s="22">
        <f ca="1">+GETPIVOTDATA("XXB4",'xabang (2016)'!$A$3,"MA_HT","SKS","MA_QH","NTS")</f>
        <v>0</v>
      </c>
      <c r="P27" s="22">
        <f ca="1">+GETPIVOTDATA("XXB4",'xabang (2016)'!$A$3,"MA_HT","SKS","MA_QH","LMU")</f>
        <v>0</v>
      </c>
      <c r="Q27" s="22">
        <f ca="1">+GETPIVOTDATA("XXB4",'xabang (2016)'!$A$3,"MA_HT","SKS","MA_QH","NKH")</f>
        <v>0</v>
      </c>
      <c r="R27" s="42">
        <f ca="1">SUM(S27:Y27,AA27,AN27:BD27)</f>
        <v>0</v>
      </c>
      <c r="S27" s="22">
        <f ca="1">+GETPIVOTDATA("XXB4",'xabang (2016)'!$A$3,"MA_HT","SKS","MA_QH","CQP")</f>
        <v>0</v>
      </c>
      <c r="T27" s="22">
        <f ca="1">+GETPIVOTDATA("XXB4",'xabang (2016)'!$A$3,"MA_HT","SKS","MA_QH","CAN")</f>
        <v>0</v>
      </c>
      <c r="U27" s="22">
        <f ca="1">+GETPIVOTDATA("XXB4",'xabang (2016)'!$A$3,"MA_HT","SKS","MA_QH","SKK")</f>
        <v>0</v>
      </c>
      <c r="V27" s="22">
        <f ca="1">+GETPIVOTDATA("XXB4",'xabang (2016)'!$A$3,"MA_HT","SKS","MA_QH","SKT")</f>
        <v>0</v>
      </c>
      <c r="W27" s="22">
        <f ca="1">+GETPIVOTDATA("XXB4",'xabang (2016)'!$A$3,"MA_HT","SKS","MA_QH","SKN")</f>
        <v>0</v>
      </c>
      <c r="X27" s="22">
        <f ca="1">+GETPIVOTDATA("XXB4",'xabang (2016)'!$A$3,"MA_HT","SKS","MA_QH","TMD")</f>
        <v>0</v>
      </c>
      <c r="Y27" s="22">
        <f ca="1">+GETPIVOTDATA("XXB4",'xabang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+GETPIVOTDATA("XXB4",'xabang (2016)'!$A$3,"MA_HT","SKS","MA_QH","DGT")</f>
        <v>0</v>
      </c>
      <c r="AC27" s="22">
        <f ca="1">+GETPIVOTDATA("XXB4",'xabang (2016)'!$A$3,"MA_HT","SKS","MA_QH","DTL")</f>
        <v>0</v>
      </c>
      <c r="AD27" s="22">
        <f ca="1">+GETPIVOTDATA("XXB4",'xabang (2016)'!$A$3,"MA_HT","SKS","MA_QH","DNL")</f>
        <v>0</v>
      </c>
      <c r="AE27" s="22">
        <f ca="1">+GETPIVOTDATA("XXB4",'xabang (2016)'!$A$3,"MA_HT","SKS","MA_QH","DBV")</f>
        <v>0</v>
      </c>
      <c r="AF27" s="22">
        <f ca="1">+GETPIVOTDATA("XXB4",'xabang (2016)'!$A$3,"MA_HT","SKS","MA_QH","DVH")</f>
        <v>0</v>
      </c>
      <c r="AG27" s="22">
        <f ca="1">+GETPIVOTDATA("XXB4",'xabang (2016)'!$A$3,"MA_HT","SKS","MA_QH","DYT")</f>
        <v>0</v>
      </c>
      <c r="AH27" s="22">
        <f ca="1">+GETPIVOTDATA("XXB4",'xabang (2016)'!$A$3,"MA_HT","SKS","MA_QH","DGD")</f>
        <v>0</v>
      </c>
      <c r="AI27" s="22">
        <f ca="1">+GETPIVOTDATA("XXB4",'xabang (2016)'!$A$3,"MA_HT","SKS","MA_QH","DTT")</f>
        <v>0</v>
      </c>
      <c r="AJ27" s="22">
        <f ca="1">+GETPIVOTDATA("XXB4",'xabang (2016)'!$A$3,"MA_HT","SKS","MA_QH","NCK")</f>
        <v>0</v>
      </c>
      <c r="AK27" s="22">
        <f ca="1">+GETPIVOTDATA("XXB4",'xabang (2016)'!$A$3,"MA_HT","SKS","MA_QH","DXH")</f>
        <v>0</v>
      </c>
      <c r="AL27" s="22">
        <f ca="1">+GETPIVOTDATA("XXB4",'xabang (2016)'!$A$3,"MA_HT","SKS","MA_QH","DCH")</f>
        <v>0</v>
      </c>
      <c r="AM27" s="22">
        <f ca="1">+GETPIVOTDATA("XXB4",'xabang (2016)'!$A$3,"MA_HT","SKS","MA_QH","DKG")</f>
        <v>0</v>
      </c>
      <c r="AN27" s="22">
        <f ca="1">+GETPIVOTDATA("XXB4",'xabang (2016)'!$A$3,"MA_HT","SKS","MA_QH","DDT")</f>
        <v>0</v>
      </c>
      <c r="AO27" s="22">
        <f ca="1">+GETPIVOTDATA("XXB4",'xabang (2016)'!$A$3,"MA_HT","SKS","MA_QH","DDL")</f>
        <v>0</v>
      </c>
      <c r="AP27" s="22">
        <f ca="1">+GETPIVOTDATA("XXB4",'xabang (2016)'!$A$3,"MA_HT","SKS","MA_QH","DRA")</f>
        <v>0</v>
      </c>
      <c r="AQ27" s="22">
        <f ca="1">+GETPIVOTDATA("XXB4",'xabang (2016)'!$A$3,"MA_HT","SKS","MA_QH","ONT")</f>
        <v>0</v>
      </c>
      <c r="AR27" s="22">
        <f ca="1">+GETPIVOTDATA("XXB4",'xabang (2016)'!$A$3,"MA_HT","SKS","MA_QH","ODT")</f>
        <v>0</v>
      </c>
      <c r="AS27" s="22">
        <f ca="1">+GETPIVOTDATA("XXB4",'xabang (2016)'!$A$3,"MA_HT","SKS","MA_QH","TSC")</f>
        <v>0</v>
      </c>
      <c r="AT27" s="22">
        <f ca="1">+GETPIVOTDATA("XXB4",'xabang (2016)'!$A$3,"MA_HT","SKS","MA_QH","DTS")</f>
        <v>0</v>
      </c>
      <c r="AU27" s="22">
        <f ca="1">+GETPIVOTDATA("XXB4",'xabang (2016)'!$A$3,"MA_HT","SKS","MA_QH","DNG")</f>
        <v>0</v>
      </c>
      <c r="AV27" s="22">
        <f ca="1">+GETPIVOTDATA("XXB4",'xabang (2016)'!$A$3,"MA_HT","SKS","MA_QH","TON")</f>
        <v>0</v>
      </c>
      <c r="AW27" s="22">
        <f ca="1">+GETPIVOTDATA("XXB4",'xabang (2016)'!$A$3,"MA_HT","SKS","MA_QH","NTD")</f>
        <v>0</v>
      </c>
      <c r="AX27" s="22">
        <f ca="1">+GETPIVOTDATA("XXB4",'xabang (2016)'!$A$3,"MA_HT","SKS","MA_QH","SKX")</f>
        <v>0</v>
      </c>
      <c r="AY27" s="22">
        <f ca="1">+GETPIVOTDATA("XXB4",'xabang (2016)'!$A$3,"MA_HT","SKS","MA_QH","DSH")</f>
        <v>0</v>
      </c>
      <c r="AZ27" s="22">
        <f ca="1">+GETPIVOTDATA("XXB4",'xabang (2016)'!$A$3,"MA_HT","SKS","MA_QH","DKV")</f>
        <v>0</v>
      </c>
      <c r="BA27" s="89">
        <f ca="1">+GETPIVOTDATA("XXB4",'xabang (2016)'!$A$3,"MA_HT","SKS","MA_QH","TIN")</f>
        <v>0</v>
      </c>
      <c r="BB27" s="50">
        <f ca="1">+GETPIVOTDATA("XXB4",'xabang (2016)'!$A$3,"MA_HT","SKS","MA_QH","SON")</f>
        <v>0</v>
      </c>
      <c r="BC27" s="50">
        <f ca="1">+GETPIVOTDATA("XXB4",'xabang (2016)'!$A$3,"MA_HT","SKS","MA_QH","MNC")</f>
        <v>0</v>
      </c>
      <c r="BD27" s="22">
        <f ca="1">+GETPIVOTDATA("XXB4",'xabang (2016)'!$A$3,"MA_HT","SKS","MA_QH","PNK")</f>
        <v>0</v>
      </c>
      <c r="BE27" s="71">
        <f ca="1">+GETPIVOTDATA("XXB4",'xabang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+GETPIVOTDATA("XXB4",'xabang (2016)'!$A$3,"MA_HT","DGT","MA_QH","LUC")</f>
        <v>0</v>
      </c>
      <c r="H29" s="50">
        <f ca="1">+GETPIVOTDATA("XXB4",'xabang (2016)'!$A$3,"MA_HT","DGT","MA_QH","LUK")</f>
        <v>0</v>
      </c>
      <c r="I29" s="50">
        <f ca="1">+GETPIVOTDATA("XXB4",'xabang (2016)'!$A$3,"MA_HT","DGT","MA_QH","LUN")</f>
        <v>0</v>
      </c>
      <c r="J29" s="50">
        <f ca="1">+GETPIVOTDATA("XXB4",'xabang (2016)'!$A$3,"MA_HT","DGT","MA_QH","HNK")</f>
        <v>0</v>
      </c>
      <c r="K29" s="50">
        <f ca="1">+GETPIVOTDATA("XXB4",'xabang (2016)'!$A$3,"MA_HT","DGT","MA_QH","CLN")</f>
        <v>0</v>
      </c>
      <c r="L29" s="50">
        <f ca="1">+GETPIVOTDATA("XXB4",'xabang (2016)'!$A$3,"MA_HT","DGT","MA_QH","RSX")</f>
        <v>0</v>
      </c>
      <c r="M29" s="50">
        <f ca="1">+GETPIVOTDATA("XXB4",'xabang (2016)'!$A$3,"MA_HT","DGT","MA_QH","RPH")</f>
        <v>0</v>
      </c>
      <c r="N29" s="50">
        <f ca="1">+GETPIVOTDATA("XXB4",'xabang (2016)'!$A$3,"MA_HT","DGT","MA_QH","RDD")</f>
        <v>0</v>
      </c>
      <c r="O29" s="50">
        <f ca="1">+GETPIVOTDATA("XXB4",'xabang (2016)'!$A$3,"MA_HT","DGT","MA_QH","NTS")</f>
        <v>0</v>
      </c>
      <c r="P29" s="50">
        <f ca="1">+GETPIVOTDATA("XXB4",'xabang (2016)'!$A$3,"MA_HT","DGT","MA_QH","LMU")</f>
        <v>0</v>
      </c>
      <c r="Q29" s="50">
        <f ca="1">+GETPIVOTDATA("XXB4",'xabang (2016)'!$A$3,"MA_HT","DGT","MA_QH","NKH")</f>
        <v>0</v>
      </c>
      <c r="R29" s="48">
        <f ca="1">SUM(S29:AA29,AN29:BD29)</f>
        <v>0</v>
      </c>
      <c r="S29" s="50">
        <f ca="1">+GETPIVOTDATA("XXB4",'xabang (2016)'!$A$3,"MA_HT","DGT","MA_QH","CQP")</f>
        <v>0</v>
      </c>
      <c r="T29" s="50">
        <f ca="1">+GETPIVOTDATA("XXB4",'xabang (2016)'!$A$3,"MA_HT","DGT","MA_QH","CAN")</f>
        <v>0</v>
      </c>
      <c r="U29" s="50">
        <f ca="1">+GETPIVOTDATA("XXB4",'xabang (2016)'!$A$3,"MA_HT","DGT","MA_QH","SKK")</f>
        <v>0</v>
      </c>
      <c r="V29" s="50">
        <f ca="1">+GETPIVOTDATA("XXB4",'xabang (2016)'!$A$3,"MA_HT","DGT","MA_QH","SKT")</f>
        <v>0</v>
      </c>
      <c r="W29" s="50">
        <f ca="1">+GETPIVOTDATA("XXB4",'xabang (2016)'!$A$3,"MA_HT","DGT","MA_QH","SKN")</f>
        <v>0</v>
      </c>
      <c r="X29" s="50">
        <f ca="1">+GETPIVOTDATA("XXB4",'xabang (2016)'!$A$3,"MA_HT","DGT","MA_QH","TMD")</f>
        <v>0</v>
      </c>
      <c r="Y29" s="50">
        <f ca="1">+GETPIVOTDATA("XXB4",'xabang (2016)'!$A$3,"MA_HT","DGT","MA_QH","SKC")</f>
        <v>0</v>
      </c>
      <c r="Z29" s="50">
        <f ca="1">+GETPIVOTDATA("XXB4",'xabang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+GETPIVOTDATA("XXB4",'xabang (2016)'!$A$3,"MA_HT","DGT","MA_QH","DTL")</f>
        <v>0</v>
      </c>
      <c r="AD29" s="50">
        <f ca="1">+GETPIVOTDATA("XXB4",'xabang (2016)'!$A$3,"MA_HT","DGT","MA_QH","DNL")</f>
        <v>0</v>
      </c>
      <c r="AE29" s="50">
        <f ca="1">+GETPIVOTDATA("XXB4",'xabang (2016)'!$A$3,"MA_HT","DGT","MA_QH","DBV")</f>
        <v>0</v>
      </c>
      <c r="AF29" s="50">
        <f ca="1">+GETPIVOTDATA("XXB4",'xabang (2016)'!$A$3,"MA_HT","DGT","MA_QH","DVH")</f>
        <v>0</v>
      </c>
      <c r="AG29" s="50">
        <f ca="1">+GETPIVOTDATA("XXB4",'xabang (2016)'!$A$3,"MA_HT","DGT","MA_QH","DYT")</f>
        <v>0</v>
      </c>
      <c r="AH29" s="50">
        <f ca="1">+GETPIVOTDATA("XXB4",'xabang (2016)'!$A$3,"MA_HT","DGT","MA_QH","DGD")</f>
        <v>0</v>
      </c>
      <c r="AI29" s="50">
        <f ca="1">+GETPIVOTDATA("XXB4",'xabang (2016)'!$A$3,"MA_HT","DGT","MA_QH","DTT")</f>
        <v>0</v>
      </c>
      <c r="AJ29" s="50">
        <f ca="1">+GETPIVOTDATA("XXB4",'xabang (2016)'!$A$3,"MA_HT","DGT","MA_QH","NCK")</f>
        <v>0</v>
      </c>
      <c r="AK29" s="50">
        <f ca="1">+GETPIVOTDATA("XXB4",'xabang (2016)'!$A$3,"MA_HT","DGT","MA_QH","DXH")</f>
        <v>0</v>
      </c>
      <c r="AL29" s="50">
        <f ca="1">+GETPIVOTDATA("XXB4",'xabang (2016)'!$A$3,"MA_HT","DGT","MA_QH","DCH")</f>
        <v>0</v>
      </c>
      <c r="AM29" s="50">
        <f ca="1">+GETPIVOTDATA("XXB4",'xabang (2016)'!$A$3,"MA_HT","DGT","MA_QH","DKG")</f>
        <v>0</v>
      </c>
      <c r="AN29" s="50">
        <f ca="1">+GETPIVOTDATA("XXB4",'xabang (2016)'!$A$3,"MA_HT","DGT","MA_QH","DDT")</f>
        <v>0</v>
      </c>
      <c r="AO29" s="50">
        <f ca="1">+GETPIVOTDATA("XXB4",'xabang (2016)'!$A$3,"MA_HT","DGT","MA_QH","DDL")</f>
        <v>0</v>
      </c>
      <c r="AP29" s="50">
        <f ca="1">+GETPIVOTDATA("XXB4",'xabang (2016)'!$A$3,"MA_HT","DGT","MA_QH","DRA")</f>
        <v>0</v>
      </c>
      <c r="AQ29" s="50">
        <f ca="1">+GETPIVOTDATA("XXB4",'xabang (2016)'!$A$3,"MA_HT","DGT","MA_QH","ONT")</f>
        <v>0</v>
      </c>
      <c r="AR29" s="50">
        <f ca="1">+GETPIVOTDATA("XXB4",'xabang (2016)'!$A$3,"MA_HT","DGT","MA_QH","ODT")</f>
        <v>0</v>
      </c>
      <c r="AS29" s="50">
        <f ca="1">+GETPIVOTDATA("XXB4",'xabang (2016)'!$A$3,"MA_HT","DGT","MA_QH","TSC")</f>
        <v>0</v>
      </c>
      <c r="AT29" s="50">
        <f ca="1">+GETPIVOTDATA("XXB4",'xabang (2016)'!$A$3,"MA_HT","DGT","MA_QH","DTS")</f>
        <v>0</v>
      </c>
      <c r="AU29" s="50">
        <f ca="1">+GETPIVOTDATA("XXB4",'xabang (2016)'!$A$3,"MA_HT","DGT","MA_QH","DNG")</f>
        <v>0</v>
      </c>
      <c r="AV29" s="50">
        <f ca="1">+GETPIVOTDATA("XXB4",'xabang (2016)'!$A$3,"MA_HT","DGT","MA_QH","TON")</f>
        <v>0</v>
      </c>
      <c r="AW29" s="50">
        <f ca="1">+GETPIVOTDATA("XXB4",'xabang (2016)'!$A$3,"MA_HT","DGT","MA_QH","NTD")</f>
        <v>0</v>
      </c>
      <c r="AX29" s="50">
        <f ca="1">+GETPIVOTDATA("XXB4",'xabang (2016)'!$A$3,"MA_HT","DGT","MA_QH","SKX")</f>
        <v>0</v>
      </c>
      <c r="AY29" s="50">
        <f ca="1">+GETPIVOTDATA("XXB4",'xabang (2016)'!$A$3,"MA_HT","DGT","MA_QH","DSH")</f>
        <v>0</v>
      </c>
      <c r="AZ29" s="50">
        <f ca="1">+GETPIVOTDATA("XXB4",'xabang (2016)'!$A$3,"MA_HT","DGT","MA_QH","DKV")</f>
        <v>0</v>
      </c>
      <c r="BA29" s="88">
        <f ca="1">+GETPIVOTDATA("XXB4",'xabang (2016)'!$A$3,"MA_HT","DGT","MA_QH","TIN")</f>
        <v>0</v>
      </c>
      <c r="BB29" s="50">
        <f ca="1">+GETPIVOTDATA("XXB4",'xabang (2016)'!$A$3,"MA_HT","DGT","MA_QH","SON")</f>
        <v>0</v>
      </c>
      <c r="BC29" s="50">
        <f ca="1">+GETPIVOTDATA("XXB4",'xabang (2016)'!$A$3,"MA_HT","DGT","MA_QH","MNC")</f>
        <v>0</v>
      </c>
      <c r="BD29" s="50">
        <f ca="1">+GETPIVOTDATA("XXB4",'xabang (2016)'!$A$3,"MA_HT","DGT","MA_QH","PNK")</f>
        <v>0</v>
      </c>
      <c r="BE29" s="80">
        <f ca="1">+GETPIVOTDATA("XXB4",'xabang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+GETPIVOTDATA("XXB4",'xabang (2016)'!$A$3,"MA_HT","DTL","MA_QH","LUC")</f>
        <v>0</v>
      </c>
      <c r="H30" s="50">
        <f ca="1">+GETPIVOTDATA("XXB4",'xabang (2016)'!$A$3,"MA_HT","DTL","MA_QH","LUK")</f>
        <v>0</v>
      </c>
      <c r="I30" s="50">
        <f ca="1">+GETPIVOTDATA("XXB4",'xabang (2016)'!$A$3,"MA_HT","DTL","MA_QH","LUN")</f>
        <v>0</v>
      </c>
      <c r="J30" s="50">
        <f ca="1">+GETPIVOTDATA("XXB4",'xabang (2016)'!$A$3,"MA_HT","DTL","MA_QH","HNK")</f>
        <v>0</v>
      </c>
      <c r="K30" s="50">
        <f ca="1">+GETPIVOTDATA("XXB4",'xabang (2016)'!$A$3,"MA_HT","DTL","MA_QH","CLN")</f>
        <v>0</v>
      </c>
      <c r="L30" s="50">
        <f ca="1">+GETPIVOTDATA("XXB4",'xabang (2016)'!$A$3,"MA_HT","DTL","MA_QH","RSX")</f>
        <v>0</v>
      </c>
      <c r="M30" s="50">
        <f ca="1">+GETPIVOTDATA("XXB4",'xabang (2016)'!$A$3,"MA_HT","DTL","MA_QH","RPH")</f>
        <v>0</v>
      </c>
      <c r="N30" s="50">
        <f ca="1">+GETPIVOTDATA("XXB4",'xabang (2016)'!$A$3,"MA_HT","DTL","MA_QH","RDD")</f>
        <v>0</v>
      </c>
      <c r="O30" s="50">
        <f ca="1">+GETPIVOTDATA("XXB4",'xabang (2016)'!$A$3,"MA_HT","DTL","MA_QH","NTS")</f>
        <v>0</v>
      </c>
      <c r="P30" s="50">
        <f ca="1">+GETPIVOTDATA("XXB4",'xabang (2016)'!$A$3,"MA_HT","DTL","MA_QH","LMU")</f>
        <v>0</v>
      </c>
      <c r="Q30" s="50">
        <f ca="1">+GETPIVOTDATA("XXB4",'xabang (2016)'!$A$3,"MA_HT","DTL","MA_QH","NKH")</f>
        <v>0</v>
      </c>
      <c r="R30" s="48">
        <f ca="1" t="shared" ref="R30:R40" si="20">SUM(S30:AA30,AN30:BD30)</f>
        <v>0</v>
      </c>
      <c r="S30" s="50">
        <f ca="1">+GETPIVOTDATA("XXB4",'xabang (2016)'!$A$3,"MA_HT","DTL","MA_QH","CQP")</f>
        <v>0</v>
      </c>
      <c r="T30" s="50">
        <f ca="1">+GETPIVOTDATA("XXB4",'xabang (2016)'!$A$3,"MA_HT","DTL","MA_QH","CAN")</f>
        <v>0</v>
      </c>
      <c r="U30" s="50">
        <f ca="1">+GETPIVOTDATA("XXB4",'xabang (2016)'!$A$3,"MA_HT","DTL","MA_QH","SKK")</f>
        <v>0</v>
      </c>
      <c r="V30" s="50">
        <f ca="1">+GETPIVOTDATA("XXB4",'xabang (2016)'!$A$3,"MA_HT","DTL","MA_QH","SKT")</f>
        <v>0</v>
      </c>
      <c r="W30" s="50">
        <f ca="1">+GETPIVOTDATA("XXB4",'xabang (2016)'!$A$3,"MA_HT","DTL","MA_QH","SKN")</f>
        <v>0</v>
      </c>
      <c r="X30" s="50">
        <f ca="1">+GETPIVOTDATA("XXB4",'xabang (2016)'!$A$3,"MA_HT","DTL","MA_QH","TMD")</f>
        <v>0</v>
      </c>
      <c r="Y30" s="50">
        <f ca="1">+GETPIVOTDATA("XXB4",'xabang (2016)'!$A$3,"MA_HT","DTL","MA_QH","SKC")</f>
        <v>0</v>
      </c>
      <c r="Z30" s="50">
        <f ca="1">+GETPIVOTDATA("XXB4",'xabang (2016)'!$A$3,"MA_HT","DTL","MA_QH","SKS")</f>
        <v>0</v>
      </c>
      <c r="AA30" s="52">
        <f ca="1">+SUM(AB30,AD30:AM30)</f>
        <v>0</v>
      </c>
      <c r="AB30" s="50">
        <f ca="1">+GETPIVOTDATA("XXB4",'xabang (2016)'!$A$3,"MA_HT","DTL","MA_QH","DGT")</f>
        <v>0</v>
      </c>
      <c r="AC30" s="49" t="e">
        <f ca="1">$D30-$BF30</f>
        <v>#REF!</v>
      </c>
      <c r="AD30" s="50">
        <f ca="1">+GETPIVOTDATA("XXB4",'xabang (2016)'!$A$3,"MA_HT","DTL","MA_QH","DNL")</f>
        <v>0</v>
      </c>
      <c r="AE30" s="50">
        <f ca="1">+GETPIVOTDATA("XXB4",'xabang (2016)'!$A$3,"MA_HT","DTL","MA_QH","DBV")</f>
        <v>0</v>
      </c>
      <c r="AF30" s="50">
        <f ca="1">+GETPIVOTDATA("XXB4",'xabang (2016)'!$A$3,"MA_HT","DTL","MA_QH","DVH")</f>
        <v>0</v>
      </c>
      <c r="AG30" s="50">
        <f ca="1">+GETPIVOTDATA("XXB4",'xabang (2016)'!$A$3,"MA_HT","DTL","MA_QH","DYT")</f>
        <v>0</v>
      </c>
      <c r="AH30" s="50">
        <f ca="1">+GETPIVOTDATA("XXB4",'xabang (2016)'!$A$3,"MA_HT","DTL","MA_QH","DGD")</f>
        <v>0</v>
      </c>
      <c r="AI30" s="50">
        <f ca="1">+GETPIVOTDATA("XXB4",'xabang (2016)'!$A$3,"MA_HT","DTL","MA_QH","DTT")</f>
        <v>0</v>
      </c>
      <c r="AJ30" s="50">
        <f ca="1">+GETPIVOTDATA("XXB4",'xabang (2016)'!$A$3,"MA_HT","DTL","MA_QH","NCK")</f>
        <v>0</v>
      </c>
      <c r="AK30" s="50">
        <f ca="1">+GETPIVOTDATA("XXB4",'xabang (2016)'!$A$3,"MA_HT","DTL","MA_QH","DXH")</f>
        <v>0</v>
      </c>
      <c r="AL30" s="50">
        <f ca="1">+GETPIVOTDATA("XXB4",'xabang (2016)'!$A$3,"MA_HT","DTL","MA_QH","DCH")</f>
        <v>0</v>
      </c>
      <c r="AM30" s="50">
        <f ca="1">+GETPIVOTDATA("XXB4",'xabang (2016)'!$A$3,"MA_HT","DTL","MA_QH","DKG")</f>
        <v>0</v>
      </c>
      <c r="AN30" s="50">
        <f ca="1">+GETPIVOTDATA("XXB4",'xabang (2016)'!$A$3,"MA_HT","DTL","MA_QH","DDT")</f>
        <v>0</v>
      </c>
      <c r="AO30" s="50">
        <f ca="1">+GETPIVOTDATA("XXB4",'xabang (2016)'!$A$3,"MA_HT","DTL","MA_QH","DDL")</f>
        <v>0</v>
      </c>
      <c r="AP30" s="50">
        <f ca="1">+GETPIVOTDATA("XXB4",'xabang (2016)'!$A$3,"MA_HT","DTL","MA_QH","DRA")</f>
        <v>0</v>
      </c>
      <c r="AQ30" s="50">
        <f ca="1">+GETPIVOTDATA("XXB4",'xabang (2016)'!$A$3,"MA_HT","DTL","MA_QH","ONT")</f>
        <v>0</v>
      </c>
      <c r="AR30" s="50">
        <f ca="1">+GETPIVOTDATA("XXB4",'xabang (2016)'!$A$3,"MA_HT","DTL","MA_QH","ODT")</f>
        <v>0</v>
      </c>
      <c r="AS30" s="50">
        <f ca="1">+GETPIVOTDATA("XXB4",'xabang (2016)'!$A$3,"MA_HT","DTL","MA_QH","TSC")</f>
        <v>0</v>
      </c>
      <c r="AT30" s="50">
        <f ca="1">+GETPIVOTDATA("XXB4",'xabang (2016)'!$A$3,"MA_HT","DTL","MA_QH","DTS")</f>
        <v>0</v>
      </c>
      <c r="AU30" s="50">
        <f ca="1">+GETPIVOTDATA("XXB4",'xabang (2016)'!$A$3,"MA_HT","DTL","MA_QH","DNG")</f>
        <v>0</v>
      </c>
      <c r="AV30" s="50">
        <f ca="1">+GETPIVOTDATA("XXB4",'xabang (2016)'!$A$3,"MA_HT","DTL","MA_QH","TON")</f>
        <v>0</v>
      </c>
      <c r="AW30" s="50">
        <f ca="1">+GETPIVOTDATA("XXB4",'xabang (2016)'!$A$3,"MA_HT","DTL","MA_QH","NTD")</f>
        <v>0</v>
      </c>
      <c r="AX30" s="50">
        <f ca="1">+GETPIVOTDATA("XXB4",'xabang (2016)'!$A$3,"MA_HT","DTL","MA_QH","SKX")</f>
        <v>0</v>
      </c>
      <c r="AY30" s="50">
        <f ca="1">+GETPIVOTDATA("XXB4",'xabang (2016)'!$A$3,"MA_HT","DTL","MA_QH","DSH")</f>
        <v>0</v>
      </c>
      <c r="AZ30" s="50">
        <f ca="1">+GETPIVOTDATA("XXB4",'xabang (2016)'!$A$3,"MA_HT","DTL","MA_QH","DKV")</f>
        <v>0</v>
      </c>
      <c r="BA30" s="88">
        <f ca="1">+GETPIVOTDATA("XXB4",'xabang (2016)'!$A$3,"MA_HT","DTL","MA_QH","TIN")</f>
        <v>0</v>
      </c>
      <c r="BB30" s="50">
        <f ca="1">+GETPIVOTDATA("XXB4",'xabang (2016)'!$A$3,"MA_HT","DTL","MA_QH","SON")</f>
        <v>0</v>
      </c>
      <c r="BC30" s="50">
        <f ca="1">+GETPIVOTDATA("XXB4",'xabang (2016)'!$A$3,"MA_HT","DTL","MA_QH","MNC")</f>
        <v>0</v>
      </c>
      <c r="BD30" s="50">
        <f ca="1">+GETPIVOTDATA("XXB4",'xabang (2016)'!$A$3,"MA_HT","DTL","MA_QH","PNK")</f>
        <v>0</v>
      </c>
      <c r="BE30" s="80">
        <f ca="1">+GETPIVOTDATA("XXB4",'xabang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+GETPIVOTDATA("XXB4",'xabang (2016)'!$A$3,"MA_HT","DNL","MA_QH","LUC")</f>
        <v>0</v>
      </c>
      <c r="H31" s="50">
        <f ca="1">+GETPIVOTDATA("XXB4",'xabang (2016)'!$A$3,"MA_HT","DNL","MA_QH","LUK")</f>
        <v>0</v>
      </c>
      <c r="I31" s="50">
        <f ca="1">+GETPIVOTDATA("XXB4",'xabang (2016)'!$A$3,"MA_HT","DNL","MA_QH","LUN")</f>
        <v>0</v>
      </c>
      <c r="J31" s="50">
        <f ca="1">+GETPIVOTDATA("XXB4",'xabang (2016)'!$A$3,"MA_HT","DNL","MA_QH","HNK")</f>
        <v>0</v>
      </c>
      <c r="K31" s="50">
        <f ca="1">+GETPIVOTDATA("XXB4",'xabang (2016)'!$A$3,"MA_HT","DNL","MA_QH","CLN")</f>
        <v>0</v>
      </c>
      <c r="L31" s="50">
        <f ca="1">+GETPIVOTDATA("XXB4",'xabang (2016)'!$A$3,"MA_HT","DNL","MA_QH","RSX")</f>
        <v>0</v>
      </c>
      <c r="M31" s="50">
        <f ca="1">+GETPIVOTDATA("XXB4",'xabang (2016)'!$A$3,"MA_HT","DNL","MA_QH","RPH")</f>
        <v>0</v>
      </c>
      <c r="N31" s="50">
        <f ca="1">+GETPIVOTDATA("XXB4",'xabang (2016)'!$A$3,"MA_HT","DNL","MA_QH","RDD")</f>
        <v>0</v>
      </c>
      <c r="O31" s="50">
        <f ca="1">+GETPIVOTDATA("XXB4",'xabang (2016)'!$A$3,"MA_HT","DNL","MA_QH","NTS")</f>
        <v>0</v>
      </c>
      <c r="P31" s="50">
        <f ca="1">+GETPIVOTDATA("XXB4",'xabang (2016)'!$A$3,"MA_HT","DNL","MA_QH","LMU")</f>
        <v>0</v>
      </c>
      <c r="Q31" s="50">
        <f ca="1">+GETPIVOTDATA("XXB4",'xabang (2016)'!$A$3,"MA_HT","DNL","MA_QH","NKH")</f>
        <v>0</v>
      </c>
      <c r="R31" s="48">
        <f ca="1" t="shared" si="20"/>
        <v>0</v>
      </c>
      <c r="S31" s="50">
        <f ca="1">+GETPIVOTDATA("XXB4",'xabang (2016)'!$A$3,"MA_HT","DNL","MA_QH","CQP")</f>
        <v>0</v>
      </c>
      <c r="T31" s="50">
        <f ca="1">+GETPIVOTDATA("XXB4",'xabang (2016)'!$A$3,"MA_HT","DNL","MA_QH","CAN")</f>
        <v>0</v>
      </c>
      <c r="U31" s="50">
        <f ca="1">+GETPIVOTDATA("XXB4",'xabang (2016)'!$A$3,"MA_HT","DNL","MA_QH","SKK")</f>
        <v>0</v>
      </c>
      <c r="V31" s="50">
        <f ca="1">+GETPIVOTDATA("XXB4",'xabang (2016)'!$A$3,"MA_HT","DNL","MA_QH","SKT")</f>
        <v>0</v>
      </c>
      <c r="W31" s="50">
        <f ca="1">+GETPIVOTDATA("XXB4",'xabang (2016)'!$A$3,"MA_HT","DNL","MA_QH","SKN")</f>
        <v>0</v>
      </c>
      <c r="X31" s="50">
        <f ca="1">+GETPIVOTDATA("XXB4",'xabang (2016)'!$A$3,"MA_HT","DNL","MA_QH","TMD")</f>
        <v>0</v>
      </c>
      <c r="Y31" s="50">
        <f ca="1">+GETPIVOTDATA("XXB4",'xabang (2016)'!$A$3,"MA_HT","DNL","MA_QH","SKC")</f>
        <v>0</v>
      </c>
      <c r="Z31" s="50">
        <f ca="1">+GETPIVOTDATA("XXB4",'xabang (2016)'!$A$3,"MA_HT","DNL","MA_QH","SKS")</f>
        <v>0</v>
      </c>
      <c r="AA31" s="52">
        <f ca="1">+SUM(AB31:AC31,AE31:AM31)</f>
        <v>0</v>
      </c>
      <c r="AB31" s="50">
        <f ca="1">+GETPIVOTDATA("XXB4",'xabang (2016)'!$A$3,"MA_HT","DNL","MA_QH","DGT")</f>
        <v>0</v>
      </c>
      <c r="AC31" s="50">
        <f ca="1">+GETPIVOTDATA("XXB4",'xabang (2016)'!$A$3,"MA_HT","DNL","MA_QH","DTL")</f>
        <v>0</v>
      </c>
      <c r="AD31" s="49" t="e">
        <f ca="1">$D31-$BF31</f>
        <v>#REF!</v>
      </c>
      <c r="AE31" s="50">
        <f ca="1">+GETPIVOTDATA("XXB4",'xabang (2016)'!$A$3,"MA_HT","DNL","MA_QH","DBV")</f>
        <v>0</v>
      </c>
      <c r="AF31" s="50">
        <f ca="1">+GETPIVOTDATA("XXB4",'xabang (2016)'!$A$3,"MA_HT","DNL","MA_QH","DVH")</f>
        <v>0</v>
      </c>
      <c r="AG31" s="50">
        <f ca="1">+GETPIVOTDATA("XXB4",'xabang (2016)'!$A$3,"MA_HT","DNL","MA_QH","DYT")</f>
        <v>0</v>
      </c>
      <c r="AH31" s="50">
        <f ca="1">+GETPIVOTDATA("XXB4",'xabang (2016)'!$A$3,"MA_HT","DNL","MA_QH","DGD")</f>
        <v>0</v>
      </c>
      <c r="AI31" s="50">
        <f ca="1">+GETPIVOTDATA("XXB4",'xabang (2016)'!$A$3,"MA_HT","DNL","MA_QH","DTT")</f>
        <v>0</v>
      </c>
      <c r="AJ31" s="50">
        <f ca="1">+GETPIVOTDATA("XXB4",'xabang (2016)'!$A$3,"MA_HT","DNL","MA_QH","NCK")</f>
        <v>0</v>
      </c>
      <c r="AK31" s="50">
        <f ca="1">+GETPIVOTDATA("XXB4",'xabang (2016)'!$A$3,"MA_HT","DNL","MA_QH","DXH")</f>
        <v>0</v>
      </c>
      <c r="AL31" s="50">
        <f ca="1">+GETPIVOTDATA("XXB4",'xabang (2016)'!$A$3,"MA_HT","DNL","MA_QH","DCH")</f>
        <v>0</v>
      </c>
      <c r="AM31" s="50">
        <f ca="1">+GETPIVOTDATA("XXB4",'xabang (2016)'!$A$3,"MA_HT","DNL","MA_QH","DKG")</f>
        <v>0</v>
      </c>
      <c r="AN31" s="50">
        <f ca="1">+GETPIVOTDATA("XXB4",'xabang (2016)'!$A$3,"MA_HT","DNL","MA_QH","DDT")</f>
        <v>0</v>
      </c>
      <c r="AO31" s="50">
        <f ca="1">+GETPIVOTDATA("XXB4",'xabang (2016)'!$A$3,"MA_HT","DNL","MA_QH","DDL")</f>
        <v>0</v>
      </c>
      <c r="AP31" s="50">
        <f ca="1">+GETPIVOTDATA("XXB4",'xabang (2016)'!$A$3,"MA_HT","DNL","MA_QH","DRA")</f>
        <v>0</v>
      </c>
      <c r="AQ31" s="50">
        <f ca="1">+GETPIVOTDATA("XXB4",'xabang (2016)'!$A$3,"MA_HT","DNL","MA_QH","ONT")</f>
        <v>0</v>
      </c>
      <c r="AR31" s="50">
        <f ca="1">+GETPIVOTDATA("XXB4",'xabang (2016)'!$A$3,"MA_HT","DNL","MA_QH","ODT")</f>
        <v>0</v>
      </c>
      <c r="AS31" s="50">
        <f ca="1">+GETPIVOTDATA("XXB4",'xabang (2016)'!$A$3,"MA_HT","DNL","MA_QH","TSC")</f>
        <v>0</v>
      </c>
      <c r="AT31" s="50">
        <f ca="1">+GETPIVOTDATA("XXB4",'xabang (2016)'!$A$3,"MA_HT","DNL","MA_QH","DTS")</f>
        <v>0</v>
      </c>
      <c r="AU31" s="50">
        <f ca="1">+GETPIVOTDATA("XXB4",'xabang (2016)'!$A$3,"MA_HT","DNL","MA_QH","DNG")</f>
        <v>0</v>
      </c>
      <c r="AV31" s="50">
        <f ca="1">+GETPIVOTDATA("XXB4",'xabang (2016)'!$A$3,"MA_HT","DNL","MA_QH","TON")</f>
        <v>0</v>
      </c>
      <c r="AW31" s="50">
        <f ca="1">+GETPIVOTDATA("XXB4",'xabang (2016)'!$A$3,"MA_HT","DNL","MA_QH","NTD")</f>
        <v>0</v>
      </c>
      <c r="AX31" s="50">
        <f ca="1">+GETPIVOTDATA("XXB4",'xabang (2016)'!$A$3,"MA_HT","DNL","MA_QH","SKX")</f>
        <v>0</v>
      </c>
      <c r="AY31" s="50">
        <f ca="1">+GETPIVOTDATA("XXB4",'xabang (2016)'!$A$3,"MA_HT","DNL","MA_QH","DSH")</f>
        <v>0</v>
      </c>
      <c r="AZ31" s="50">
        <f ca="1">+GETPIVOTDATA("XXB4",'xabang (2016)'!$A$3,"MA_HT","DNL","MA_QH","DKV")</f>
        <v>0</v>
      </c>
      <c r="BA31" s="88">
        <f ca="1">+GETPIVOTDATA("XXB4",'xabang (2016)'!$A$3,"MA_HT","DNL","MA_QH","TIN")</f>
        <v>0</v>
      </c>
      <c r="BB31" s="50">
        <f ca="1">+GETPIVOTDATA("XXB4",'xabang (2016)'!$A$3,"MA_HT","DNL","MA_QH","SON")</f>
        <v>0</v>
      </c>
      <c r="BC31" s="50">
        <f ca="1">+GETPIVOTDATA("XXB4",'xabang (2016)'!$A$3,"MA_HT","DNL","MA_QH","MNC")</f>
        <v>0</v>
      </c>
      <c r="BD31" s="50">
        <f ca="1">+GETPIVOTDATA("XXB4",'xabang (2016)'!$A$3,"MA_HT","DNL","MA_QH","PNK")</f>
        <v>0</v>
      </c>
      <c r="BE31" s="80">
        <f ca="1">+GETPIVOTDATA("XXB4",'xabang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+GETPIVOTDATA("XXB4",'xabang (2016)'!$A$3,"MA_HT","DBV","MA_QH","LUC")</f>
        <v>0</v>
      </c>
      <c r="H32" s="50">
        <f ca="1">+GETPIVOTDATA("XXB4",'xabang (2016)'!$A$3,"MA_HT","DBV","MA_QH","LUK")</f>
        <v>0</v>
      </c>
      <c r="I32" s="50">
        <f ca="1">+GETPIVOTDATA("XXB4",'xabang (2016)'!$A$3,"MA_HT","DBV","MA_QH","LUN")</f>
        <v>0</v>
      </c>
      <c r="J32" s="50">
        <f ca="1">+GETPIVOTDATA("XXB4",'xabang (2016)'!$A$3,"MA_HT","DBV","MA_QH","HNK")</f>
        <v>0</v>
      </c>
      <c r="K32" s="50">
        <f ca="1">+GETPIVOTDATA("XXB4",'xabang (2016)'!$A$3,"MA_HT","DBV","MA_QH","CLN")</f>
        <v>0</v>
      </c>
      <c r="L32" s="50">
        <f ca="1">+GETPIVOTDATA("XXB4",'xabang (2016)'!$A$3,"MA_HT","DBV","MA_QH","RSX")</f>
        <v>0</v>
      </c>
      <c r="M32" s="50">
        <f ca="1">+GETPIVOTDATA("XXB4",'xabang (2016)'!$A$3,"MA_HT","DBV","MA_QH","RPH")</f>
        <v>0</v>
      </c>
      <c r="N32" s="50">
        <f ca="1">+GETPIVOTDATA("XXB4",'xabang (2016)'!$A$3,"MA_HT","DBV","MA_QH","RDD")</f>
        <v>0</v>
      </c>
      <c r="O32" s="50">
        <f ca="1">+GETPIVOTDATA("XXB4",'xabang (2016)'!$A$3,"MA_HT","DBV","MA_QH","NTS")</f>
        <v>0</v>
      </c>
      <c r="P32" s="50">
        <f ca="1">+GETPIVOTDATA("XXB4",'xabang (2016)'!$A$3,"MA_HT","DBV","MA_QH","LMU")</f>
        <v>0</v>
      </c>
      <c r="Q32" s="50">
        <f ca="1">+GETPIVOTDATA("XXB4",'xabang (2016)'!$A$3,"MA_HT","DBV","MA_QH","NKH")</f>
        <v>0</v>
      </c>
      <c r="R32" s="48">
        <f ca="1" t="shared" si="20"/>
        <v>0</v>
      </c>
      <c r="S32" s="50">
        <f ca="1">+GETPIVOTDATA("XXB4",'xabang (2016)'!$A$3,"MA_HT","DBV","MA_QH","CQP")</f>
        <v>0</v>
      </c>
      <c r="T32" s="50">
        <f ca="1">+GETPIVOTDATA("XXB4",'xabang (2016)'!$A$3,"MA_HT","DBV","MA_QH","CAN")</f>
        <v>0</v>
      </c>
      <c r="U32" s="50">
        <f ca="1">+GETPIVOTDATA("XXB4",'xabang (2016)'!$A$3,"MA_HT","DBV","MA_QH","SKK")</f>
        <v>0</v>
      </c>
      <c r="V32" s="50">
        <f ca="1">+GETPIVOTDATA("XXB4",'xabang (2016)'!$A$3,"MA_HT","DBV","MA_QH","SKT")</f>
        <v>0</v>
      </c>
      <c r="W32" s="50">
        <f ca="1">+GETPIVOTDATA("XXB4",'xabang (2016)'!$A$3,"MA_HT","DBV","MA_QH","SKN")</f>
        <v>0</v>
      </c>
      <c r="X32" s="50">
        <f ca="1">+GETPIVOTDATA("XXB4",'xabang (2016)'!$A$3,"MA_HT","DBV","MA_QH","TMD")</f>
        <v>0</v>
      </c>
      <c r="Y32" s="50">
        <f ca="1">+GETPIVOTDATA("XXB4",'xabang (2016)'!$A$3,"MA_HT","DBV","MA_QH","SKC")</f>
        <v>0</v>
      </c>
      <c r="Z32" s="50">
        <f ca="1">+GETPIVOTDATA("XXB4",'xabang (2016)'!$A$3,"MA_HT","DBV","MA_QH","SKS")</f>
        <v>0</v>
      </c>
      <c r="AA32" s="52">
        <f ca="1">+SUM(AB32:AD32,AF32:AM32)</f>
        <v>0</v>
      </c>
      <c r="AB32" s="50">
        <f ca="1">+GETPIVOTDATA("XXB4",'xabang (2016)'!$A$3,"MA_HT","DBV","MA_QH","DGT")</f>
        <v>0</v>
      </c>
      <c r="AC32" s="50">
        <f ca="1">+GETPIVOTDATA("XXB4",'xabang (2016)'!$A$3,"MA_HT","DBV","MA_QH","DTL")</f>
        <v>0</v>
      </c>
      <c r="AD32" s="50">
        <f ca="1">+GETPIVOTDATA("XXB4",'xabang (2016)'!$A$3,"MA_HT","DBV","MA_QH","DNL")</f>
        <v>0</v>
      </c>
      <c r="AE32" s="49" t="e">
        <f ca="1">$D32-$BF32</f>
        <v>#REF!</v>
      </c>
      <c r="AF32" s="50">
        <f ca="1">+GETPIVOTDATA("XXB4",'xabang (2016)'!$A$3,"MA_HT","DBV","MA_QH","DVH")</f>
        <v>0</v>
      </c>
      <c r="AG32" s="50">
        <f ca="1">+GETPIVOTDATA("XXB4",'xabang (2016)'!$A$3,"MA_HT","DBV","MA_QH","DYT")</f>
        <v>0</v>
      </c>
      <c r="AH32" s="50">
        <f ca="1">+GETPIVOTDATA("XXB4",'xabang (2016)'!$A$3,"MA_HT","DBV","MA_QH","DGD")</f>
        <v>0</v>
      </c>
      <c r="AI32" s="50">
        <f ca="1">+GETPIVOTDATA("XXB4",'xabang (2016)'!$A$3,"MA_HT","DBV","MA_QH","DTT")</f>
        <v>0</v>
      </c>
      <c r="AJ32" s="50">
        <f ca="1">+GETPIVOTDATA("XXB4",'xabang (2016)'!$A$3,"MA_HT","DBV","MA_QH","NCK")</f>
        <v>0</v>
      </c>
      <c r="AK32" s="50">
        <f ca="1">+GETPIVOTDATA("XXB4",'xabang (2016)'!$A$3,"MA_HT","DBV","MA_QH","DXH")</f>
        <v>0</v>
      </c>
      <c r="AL32" s="50">
        <f ca="1">+GETPIVOTDATA("XXB4",'xabang (2016)'!$A$3,"MA_HT","DBV","MA_QH","DCH")</f>
        <v>0</v>
      </c>
      <c r="AM32" s="50">
        <f ca="1">+GETPIVOTDATA("XXB4",'xabang (2016)'!$A$3,"MA_HT","DBV","MA_QH","DKG")</f>
        <v>0</v>
      </c>
      <c r="AN32" s="50">
        <f ca="1">+GETPIVOTDATA("XXB4",'xabang (2016)'!$A$3,"MA_HT","DBV","MA_QH","DDT")</f>
        <v>0</v>
      </c>
      <c r="AO32" s="50">
        <f ca="1">+GETPIVOTDATA("XXB4",'xabang (2016)'!$A$3,"MA_HT","DBV","MA_QH","DDL")</f>
        <v>0</v>
      </c>
      <c r="AP32" s="50">
        <f ca="1">+GETPIVOTDATA("XXB4",'xabang (2016)'!$A$3,"MA_HT","DBV","MA_QH","DRA")</f>
        <v>0</v>
      </c>
      <c r="AQ32" s="50">
        <f ca="1">+GETPIVOTDATA("XXB4",'xabang (2016)'!$A$3,"MA_HT","DBV","MA_QH","ONT")</f>
        <v>0</v>
      </c>
      <c r="AR32" s="50">
        <f ca="1">+GETPIVOTDATA("XXB4",'xabang (2016)'!$A$3,"MA_HT","DBV","MA_QH","ODT")</f>
        <v>0</v>
      </c>
      <c r="AS32" s="50">
        <f ca="1">+GETPIVOTDATA("XXB4",'xabang (2016)'!$A$3,"MA_HT","DBV","MA_QH","TSC")</f>
        <v>0</v>
      </c>
      <c r="AT32" s="50">
        <f ca="1">+GETPIVOTDATA("XXB4",'xabang (2016)'!$A$3,"MA_HT","DBV","MA_QH","DTS")</f>
        <v>0</v>
      </c>
      <c r="AU32" s="50">
        <f ca="1">+GETPIVOTDATA("XXB4",'xabang (2016)'!$A$3,"MA_HT","DBV","MA_QH","DNG")</f>
        <v>0</v>
      </c>
      <c r="AV32" s="50">
        <f ca="1">+GETPIVOTDATA("XXB4",'xabang (2016)'!$A$3,"MA_HT","DBV","MA_QH","TON")</f>
        <v>0</v>
      </c>
      <c r="AW32" s="50">
        <f ca="1">+GETPIVOTDATA("XXB4",'xabang (2016)'!$A$3,"MA_HT","DBV","MA_QH","NTD")</f>
        <v>0</v>
      </c>
      <c r="AX32" s="50">
        <f ca="1">+GETPIVOTDATA("XXB4",'xabang (2016)'!$A$3,"MA_HT","DBV","MA_QH","SKX")</f>
        <v>0</v>
      </c>
      <c r="AY32" s="50">
        <f ca="1">+GETPIVOTDATA("XXB4",'xabang (2016)'!$A$3,"MA_HT","DBV","MA_QH","DSH")</f>
        <v>0</v>
      </c>
      <c r="AZ32" s="50">
        <f ca="1">+GETPIVOTDATA("XXB4",'xabang (2016)'!$A$3,"MA_HT","DBV","MA_QH","DKV")</f>
        <v>0</v>
      </c>
      <c r="BA32" s="88">
        <f ca="1">+GETPIVOTDATA("XXB4",'xabang (2016)'!$A$3,"MA_HT","DBV","MA_QH","TIN")</f>
        <v>0</v>
      </c>
      <c r="BB32" s="50">
        <f ca="1">+GETPIVOTDATA("XXB4",'xabang (2016)'!$A$3,"MA_HT","DBV","MA_QH","SON")</f>
        <v>0</v>
      </c>
      <c r="BC32" s="50">
        <f ca="1">+GETPIVOTDATA("XXB4",'xabang (2016)'!$A$3,"MA_HT","DBV","MA_QH","MNC")</f>
        <v>0</v>
      </c>
      <c r="BD32" s="50">
        <f ca="1">+GETPIVOTDATA("XXB4",'xabang (2016)'!$A$3,"MA_HT","DBV","MA_QH","PNK")</f>
        <v>0</v>
      </c>
      <c r="BE32" s="80">
        <f ca="1">+GETPIVOTDATA("XXB4",'xabang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+GETPIVOTDATA("XXB4",'xabang (2016)'!$A$3,"MA_HT","DVH","MA_QH","LUC")</f>
        <v>0</v>
      </c>
      <c r="H33" s="50">
        <f ca="1">+GETPIVOTDATA("XXB4",'xabang (2016)'!$A$3,"MA_HT","DVH","MA_QH","LUK")</f>
        <v>0</v>
      </c>
      <c r="I33" s="50">
        <f ca="1">+GETPIVOTDATA("XXB4",'xabang (2016)'!$A$3,"MA_HT","DVH","MA_QH","LUN")</f>
        <v>0</v>
      </c>
      <c r="J33" s="50">
        <f ca="1">+GETPIVOTDATA("XXB4",'xabang (2016)'!$A$3,"MA_HT","DVH","MA_QH","HNK")</f>
        <v>0</v>
      </c>
      <c r="K33" s="50">
        <f ca="1">+GETPIVOTDATA("XXB4",'xabang (2016)'!$A$3,"MA_HT","DVH","MA_QH","CLN")</f>
        <v>0</v>
      </c>
      <c r="L33" s="50">
        <f ca="1">+GETPIVOTDATA("XXB4",'xabang (2016)'!$A$3,"MA_HT","DVH","MA_QH","RSX")</f>
        <v>0</v>
      </c>
      <c r="M33" s="50">
        <f ca="1">+GETPIVOTDATA("XXB4",'xabang (2016)'!$A$3,"MA_HT","DVH","MA_QH","RPH")</f>
        <v>0</v>
      </c>
      <c r="N33" s="50">
        <f ca="1">+GETPIVOTDATA("XXB4",'xabang (2016)'!$A$3,"MA_HT","DVH","MA_QH","RDD")</f>
        <v>0</v>
      </c>
      <c r="O33" s="50">
        <f ca="1">+GETPIVOTDATA("XXB4",'xabang (2016)'!$A$3,"MA_HT","DVH","MA_QH","NTS")</f>
        <v>0</v>
      </c>
      <c r="P33" s="50">
        <f ca="1">+GETPIVOTDATA("XXB4",'xabang (2016)'!$A$3,"MA_HT","DVH","MA_QH","LMU")</f>
        <v>0</v>
      </c>
      <c r="Q33" s="50">
        <f ca="1">+GETPIVOTDATA("XXB4",'xabang (2016)'!$A$3,"MA_HT","DVH","MA_QH","NKH")</f>
        <v>0</v>
      </c>
      <c r="R33" s="48">
        <f ca="1" t="shared" si="20"/>
        <v>0</v>
      </c>
      <c r="S33" s="50">
        <f ca="1">+GETPIVOTDATA("XXB4",'xabang (2016)'!$A$3,"MA_HT","DVH","MA_QH","CQP")</f>
        <v>0</v>
      </c>
      <c r="T33" s="50">
        <f ca="1">+GETPIVOTDATA("XXB4",'xabang (2016)'!$A$3,"MA_HT","DVH","MA_QH","CAN")</f>
        <v>0</v>
      </c>
      <c r="U33" s="50">
        <f ca="1">+GETPIVOTDATA("XXB4",'xabang (2016)'!$A$3,"MA_HT","DVH","MA_QH","SKK")</f>
        <v>0</v>
      </c>
      <c r="V33" s="50">
        <f ca="1">+GETPIVOTDATA("XXB4",'xabang (2016)'!$A$3,"MA_HT","DVH","MA_QH","SKT")</f>
        <v>0</v>
      </c>
      <c r="W33" s="50">
        <f ca="1">+GETPIVOTDATA("XXB4",'xabang (2016)'!$A$3,"MA_HT","DVH","MA_QH","SKN")</f>
        <v>0</v>
      </c>
      <c r="X33" s="50">
        <f ca="1">+GETPIVOTDATA("XXB4",'xabang (2016)'!$A$3,"MA_HT","DVH","MA_QH","TMD")</f>
        <v>0</v>
      </c>
      <c r="Y33" s="50">
        <f ca="1">+GETPIVOTDATA("XXB4",'xabang (2016)'!$A$3,"MA_HT","DVH","MA_QH","SKC")</f>
        <v>0</v>
      </c>
      <c r="Z33" s="50">
        <f ca="1">+GETPIVOTDATA("XXB4",'xabang (2016)'!$A$3,"MA_HT","DVH","MA_QH","SKS")</f>
        <v>0</v>
      </c>
      <c r="AA33" s="52">
        <f ca="1">+SUM(AB33:AE33,AG33:AM33)</f>
        <v>0</v>
      </c>
      <c r="AB33" s="50">
        <f ca="1">+GETPIVOTDATA("XXB4",'xabang (2016)'!$A$3,"MA_HT","DVH","MA_QH","DGT")</f>
        <v>0</v>
      </c>
      <c r="AC33" s="50">
        <f ca="1">+GETPIVOTDATA("XXB4",'xabang (2016)'!$A$3,"MA_HT","DVH","MA_QH","DTL")</f>
        <v>0</v>
      </c>
      <c r="AD33" s="50">
        <f ca="1">+GETPIVOTDATA("XXB4",'xabang (2016)'!$A$3,"MA_HT","DVH","MA_QH","DNL")</f>
        <v>0</v>
      </c>
      <c r="AE33" s="50">
        <f ca="1">+GETPIVOTDATA("XXB4",'xabang (2016)'!$A$3,"MA_HT","DVH","MA_QH","DBV")</f>
        <v>0</v>
      </c>
      <c r="AF33" s="49" t="e">
        <f ca="1">$D33-$BF33</f>
        <v>#REF!</v>
      </c>
      <c r="AG33" s="50">
        <f ca="1">+GETPIVOTDATA("XXB4",'xabang (2016)'!$A$3,"MA_HT","DVH","MA_QH","DYT")</f>
        <v>0</v>
      </c>
      <c r="AH33" s="50">
        <f ca="1">+GETPIVOTDATA("XXB4",'xabang (2016)'!$A$3,"MA_HT","DVH","MA_QH","DGD")</f>
        <v>0</v>
      </c>
      <c r="AI33" s="50">
        <f ca="1">+GETPIVOTDATA("XXB4",'xabang (2016)'!$A$3,"MA_HT","DVH","MA_QH","DTT")</f>
        <v>0</v>
      </c>
      <c r="AJ33" s="50">
        <f ca="1">+GETPIVOTDATA("XXB4",'xabang (2016)'!$A$3,"MA_HT","DVH","MA_QH","NCK")</f>
        <v>0</v>
      </c>
      <c r="AK33" s="50">
        <f ca="1">+GETPIVOTDATA("XXB4",'xabang (2016)'!$A$3,"MA_HT","DVH","MA_QH","DXH")</f>
        <v>0</v>
      </c>
      <c r="AL33" s="50">
        <f ca="1">+GETPIVOTDATA("XXB4",'xabang (2016)'!$A$3,"MA_HT","DVH","MA_QH","DCH")</f>
        <v>0</v>
      </c>
      <c r="AM33" s="50">
        <f ca="1">+GETPIVOTDATA("XXB4",'xabang (2016)'!$A$3,"MA_HT","DVH","MA_QH","DKG")</f>
        <v>0</v>
      </c>
      <c r="AN33" s="50">
        <f ca="1">+GETPIVOTDATA("XXB4",'xabang (2016)'!$A$3,"MA_HT","DVH","MA_QH","DDT")</f>
        <v>0</v>
      </c>
      <c r="AO33" s="50">
        <f ca="1">+GETPIVOTDATA("XXB4",'xabang (2016)'!$A$3,"MA_HT","DVH","MA_QH","DDL")</f>
        <v>0</v>
      </c>
      <c r="AP33" s="50">
        <f ca="1">+GETPIVOTDATA("XXB4",'xabang (2016)'!$A$3,"MA_HT","DVH","MA_QH","DRA")</f>
        <v>0</v>
      </c>
      <c r="AQ33" s="50">
        <f ca="1">+GETPIVOTDATA("XXB4",'xabang (2016)'!$A$3,"MA_HT","DVH","MA_QH","ONT")</f>
        <v>0</v>
      </c>
      <c r="AR33" s="50">
        <f ca="1">+GETPIVOTDATA("XXB4",'xabang (2016)'!$A$3,"MA_HT","DVH","MA_QH","ODT")</f>
        <v>0</v>
      </c>
      <c r="AS33" s="50">
        <f ca="1">+GETPIVOTDATA("XXB4",'xabang (2016)'!$A$3,"MA_HT","DVH","MA_QH","TSC")</f>
        <v>0</v>
      </c>
      <c r="AT33" s="50">
        <f ca="1">+GETPIVOTDATA("XXB4",'xabang (2016)'!$A$3,"MA_HT","DVH","MA_QH","DTS")</f>
        <v>0</v>
      </c>
      <c r="AU33" s="50">
        <f ca="1">+GETPIVOTDATA("XXB4",'xabang (2016)'!$A$3,"MA_HT","DVH","MA_QH","DNG")</f>
        <v>0</v>
      </c>
      <c r="AV33" s="50">
        <f ca="1">+GETPIVOTDATA("XXB4",'xabang (2016)'!$A$3,"MA_HT","DVH","MA_QH","TON")</f>
        <v>0</v>
      </c>
      <c r="AW33" s="50">
        <f ca="1">+GETPIVOTDATA("XXB4",'xabang (2016)'!$A$3,"MA_HT","DVH","MA_QH","NTD")</f>
        <v>0</v>
      </c>
      <c r="AX33" s="50">
        <f ca="1">+GETPIVOTDATA("XXB4",'xabang (2016)'!$A$3,"MA_HT","DVH","MA_QH","SKX")</f>
        <v>0</v>
      </c>
      <c r="AY33" s="50">
        <f ca="1">+GETPIVOTDATA("XXB4",'xabang (2016)'!$A$3,"MA_HT","DVH","MA_QH","DSH")</f>
        <v>0</v>
      </c>
      <c r="AZ33" s="50">
        <f ca="1">+GETPIVOTDATA("XXB4",'xabang (2016)'!$A$3,"MA_HT","DVH","MA_QH","DKV")</f>
        <v>0</v>
      </c>
      <c r="BA33" s="88">
        <f ca="1">+GETPIVOTDATA("XXB4",'xabang (2016)'!$A$3,"MA_HT","DVH","MA_QH","TIN")</f>
        <v>0</v>
      </c>
      <c r="BB33" s="50">
        <f ca="1">+GETPIVOTDATA("XXB4",'xabang (2016)'!$A$3,"MA_HT","DVH","MA_QH","SON")</f>
        <v>0</v>
      </c>
      <c r="BC33" s="50">
        <f ca="1">+GETPIVOTDATA("XXB4",'xabang (2016)'!$A$3,"MA_HT","DVH","MA_QH","MNC")</f>
        <v>0</v>
      </c>
      <c r="BD33" s="50">
        <f ca="1">+GETPIVOTDATA("XXB4",'xabang (2016)'!$A$3,"MA_HT","DVH","MA_QH","PNK")</f>
        <v>0</v>
      </c>
      <c r="BE33" s="80">
        <f ca="1">+GETPIVOTDATA("XXB4",'xabang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+GETPIVOTDATA("XXB4",'xabang (2016)'!$A$3,"MA_HT","DYT","MA_QH","LUC")</f>
        <v>0</v>
      </c>
      <c r="H34" s="50">
        <f ca="1">+GETPIVOTDATA("XXB4",'xabang (2016)'!$A$3,"MA_HT","DYT","MA_QH","LUK")</f>
        <v>0</v>
      </c>
      <c r="I34" s="50">
        <f ca="1">+GETPIVOTDATA("XXB4",'xabang (2016)'!$A$3,"MA_HT","DYT","MA_QH","LUN")</f>
        <v>0</v>
      </c>
      <c r="J34" s="50">
        <f ca="1">+GETPIVOTDATA("XXB4",'xabang (2016)'!$A$3,"MA_HT","DYT","MA_QH","HNK")</f>
        <v>0</v>
      </c>
      <c r="K34" s="50">
        <f ca="1">+GETPIVOTDATA("XXB4",'xabang (2016)'!$A$3,"MA_HT","DYT","MA_QH","CLN")</f>
        <v>0</v>
      </c>
      <c r="L34" s="50">
        <f ca="1">+GETPIVOTDATA("XXB4",'xabang (2016)'!$A$3,"MA_HT","DYT","MA_QH","RSX")</f>
        <v>0</v>
      </c>
      <c r="M34" s="50">
        <f ca="1">+GETPIVOTDATA("XXB4",'xabang (2016)'!$A$3,"MA_HT","DYT","MA_QH","RPH")</f>
        <v>0</v>
      </c>
      <c r="N34" s="50">
        <f ca="1">+GETPIVOTDATA("XXB4",'xabang (2016)'!$A$3,"MA_HT","DYT","MA_QH","RDD")</f>
        <v>0</v>
      </c>
      <c r="O34" s="50">
        <f ca="1">+GETPIVOTDATA("XXB4",'xabang (2016)'!$A$3,"MA_HT","DYT","MA_QH","NTS")</f>
        <v>0</v>
      </c>
      <c r="P34" s="50">
        <f ca="1">+GETPIVOTDATA("XXB4",'xabang (2016)'!$A$3,"MA_HT","DYT","MA_QH","LMU")</f>
        <v>0</v>
      </c>
      <c r="Q34" s="50">
        <f ca="1">+GETPIVOTDATA("XXB4",'xabang (2016)'!$A$3,"MA_HT","DYT","MA_QH","NKH")</f>
        <v>0</v>
      </c>
      <c r="R34" s="48">
        <f ca="1" t="shared" si="20"/>
        <v>0</v>
      </c>
      <c r="S34" s="50">
        <f ca="1">+GETPIVOTDATA("XXB4",'xabang (2016)'!$A$3,"MA_HT","DYT","MA_QH","CQP")</f>
        <v>0</v>
      </c>
      <c r="T34" s="50">
        <f ca="1">+GETPIVOTDATA("XXB4",'xabang (2016)'!$A$3,"MA_HT","DYT","MA_QH","CAN")</f>
        <v>0</v>
      </c>
      <c r="U34" s="50">
        <f ca="1">+GETPIVOTDATA("XXB4",'xabang (2016)'!$A$3,"MA_HT","DYT","MA_QH","SKK")</f>
        <v>0</v>
      </c>
      <c r="V34" s="50">
        <f ca="1">+GETPIVOTDATA("XXB4",'xabang (2016)'!$A$3,"MA_HT","DYT","MA_QH","SKT")</f>
        <v>0</v>
      </c>
      <c r="W34" s="50">
        <f ca="1">+GETPIVOTDATA("XXB4",'xabang (2016)'!$A$3,"MA_HT","DYT","MA_QH","SKN")</f>
        <v>0</v>
      </c>
      <c r="X34" s="50">
        <f ca="1">+GETPIVOTDATA("XXB4",'xabang (2016)'!$A$3,"MA_HT","DYT","MA_QH","TMD")</f>
        <v>0</v>
      </c>
      <c r="Y34" s="50">
        <f ca="1">+GETPIVOTDATA("XXB4",'xabang (2016)'!$A$3,"MA_HT","DYT","MA_QH","SKC")</f>
        <v>0</v>
      </c>
      <c r="Z34" s="50">
        <f ca="1">+GETPIVOTDATA("XXB4",'xabang (2016)'!$A$3,"MA_HT","DYT","MA_QH","SKS")</f>
        <v>0</v>
      </c>
      <c r="AA34" s="52">
        <f ca="1">+SUM(AB34:AF34,AH34:AM34)</f>
        <v>0</v>
      </c>
      <c r="AB34" s="50">
        <f ca="1">+GETPIVOTDATA("XXB4",'xabang (2016)'!$A$3,"MA_HT","DYT","MA_QH","DGT")</f>
        <v>0</v>
      </c>
      <c r="AC34" s="50">
        <f ca="1">+GETPIVOTDATA("XXB4",'xabang (2016)'!$A$3,"MA_HT","DYT","MA_QH","DTL")</f>
        <v>0</v>
      </c>
      <c r="AD34" s="50">
        <f ca="1">+GETPIVOTDATA("XXB4",'xabang (2016)'!$A$3,"MA_HT","DYT","MA_QH","DNL")</f>
        <v>0</v>
      </c>
      <c r="AE34" s="50">
        <f ca="1">+GETPIVOTDATA("XXB4",'xabang (2016)'!$A$3,"MA_HT","DYT","MA_QH","DBV")</f>
        <v>0</v>
      </c>
      <c r="AF34" s="50">
        <f ca="1">+GETPIVOTDATA("XXB4",'xabang (2016)'!$A$3,"MA_HT","DYT","MA_QH","DVH")</f>
        <v>0</v>
      </c>
      <c r="AG34" s="49" t="e">
        <f ca="1">$D34-$BF34</f>
        <v>#REF!</v>
      </c>
      <c r="AH34" s="50">
        <f ca="1">+GETPIVOTDATA("XXB4",'xabang (2016)'!$A$3,"MA_HT","DYT","MA_QH","DGD")</f>
        <v>0</v>
      </c>
      <c r="AI34" s="50">
        <f ca="1">+GETPIVOTDATA("XXB4",'xabang (2016)'!$A$3,"MA_HT","DYT","MA_QH","DTT")</f>
        <v>0</v>
      </c>
      <c r="AJ34" s="50">
        <f ca="1">+GETPIVOTDATA("XXB4",'xabang (2016)'!$A$3,"MA_HT","DYT","MA_QH","NCK")</f>
        <v>0</v>
      </c>
      <c r="AK34" s="50">
        <f ca="1">+GETPIVOTDATA("XXB4",'xabang (2016)'!$A$3,"MA_HT","DYT","MA_QH","DXH")</f>
        <v>0</v>
      </c>
      <c r="AL34" s="50">
        <f ca="1">+GETPIVOTDATA("XXB4",'xabang (2016)'!$A$3,"MA_HT","DYT","MA_QH","DCH")</f>
        <v>0</v>
      </c>
      <c r="AM34" s="50">
        <f ca="1">+GETPIVOTDATA("XXB4",'xabang (2016)'!$A$3,"MA_HT","DYT","MA_QH","DKG")</f>
        <v>0</v>
      </c>
      <c r="AN34" s="50">
        <f ca="1">+GETPIVOTDATA("XXB4",'xabang (2016)'!$A$3,"MA_HT","DYT","MA_QH","DDT")</f>
        <v>0</v>
      </c>
      <c r="AO34" s="50">
        <f ca="1">+GETPIVOTDATA("XXB4",'xabang (2016)'!$A$3,"MA_HT","DYT","MA_QH","DDL")</f>
        <v>0</v>
      </c>
      <c r="AP34" s="50">
        <f ca="1">+GETPIVOTDATA("XXB4",'xabang (2016)'!$A$3,"MA_HT","DYT","MA_QH","DRA")</f>
        <v>0</v>
      </c>
      <c r="AQ34" s="50">
        <f ca="1">+GETPIVOTDATA("XXB4",'xabang (2016)'!$A$3,"MA_HT","DYT","MA_QH","ONT")</f>
        <v>0</v>
      </c>
      <c r="AR34" s="50">
        <f ca="1">+GETPIVOTDATA("XXB4",'xabang (2016)'!$A$3,"MA_HT","DYT","MA_QH","ODT")</f>
        <v>0</v>
      </c>
      <c r="AS34" s="50">
        <f ca="1">+GETPIVOTDATA("XXB4",'xabang (2016)'!$A$3,"MA_HT","DYT","MA_QH","TSC")</f>
        <v>0</v>
      </c>
      <c r="AT34" s="50">
        <f ca="1">+GETPIVOTDATA("XXB4",'xabang (2016)'!$A$3,"MA_HT","DYT","MA_QH","DTS")</f>
        <v>0</v>
      </c>
      <c r="AU34" s="50">
        <f ca="1">+GETPIVOTDATA("XXB4",'xabang (2016)'!$A$3,"MA_HT","DYT","MA_QH","DNG")</f>
        <v>0</v>
      </c>
      <c r="AV34" s="50">
        <f ca="1">+GETPIVOTDATA("XXB4",'xabang (2016)'!$A$3,"MA_HT","DYT","MA_QH","TON")</f>
        <v>0</v>
      </c>
      <c r="AW34" s="50">
        <f ca="1">+GETPIVOTDATA("XXB4",'xabang (2016)'!$A$3,"MA_HT","DYT","MA_QH","NTD")</f>
        <v>0</v>
      </c>
      <c r="AX34" s="50">
        <f ca="1">+GETPIVOTDATA("XXB4",'xabang (2016)'!$A$3,"MA_HT","DYT","MA_QH","SKX")</f>
        <v>0</v>
      </c>
      <c r="AY34" s="50">
        <f ca="1">+GETPIVOTDATA("XXB4",'xabang (2016)'!$A$3,"MA_HT","DYT","MA_QH","DSH")</f>
        <v>0</v>
      </c>
      <c r="AZ34" s="50">
        <f ca="1">+GETPIVOTDATA("XXB4",'xabang (2016)'!$A$3,"MA_HT","DYT","MA_QH","DKV")</f>
        <v>0</v>
      </c>
      <c r="BA34" s="88">
        <f ca="1">+GETPIVOTDATA("XXB4",'xabang (2016)'!$A$3,"MA_HT","DYT","MA_QH","TIN")</f>
        <v>0</v>
      </c>
      <c r="BB34" s="50">
        <f ca="1">+GETPIVOTDATA("XXB4",'xabang (2016)'!$A$3,"MA_HT","DYT","MA_QH","SON")</f>
        <v>0</v>
      </c>
      <c r="BC34" s="50">
        <f ca="1">+GETPIVOTDATA("XXB4",'xabang (2016)'!$A$3,"MA_HT","DYT","MA_QH","MNC")</f>
        <v>0</v>
      </c>
      <c r="BD34" s="50">
        <f ca="1">+GETPIVOTDATA("XXB4",'xabang (2016)'!$A$3,"MA_HT","DYT","MA_QH","PNK")</f>
        <v>0</v>
      </c>
      <c r="BE34" s="80">
        <f ca="1">+GETPIVOTDATA("XXB4",'xabang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+GETPIVOTDATA("XXB4",'xabang (2016)'!$A$3,"MA_HT","DGD","MA_QH","LUC")</f>
        <v>0</v>
      </c>
      <c r="H35" s="50">
        <f ca="1">+GETPIVOTDATA("XXB4",'xabang (2016)'!$A$3,"MA_HT","DGD","MA_QH","LUK")</f>
        <v>0</v>
      </c>
      <c r="I35" s="50">
        <f ca="1">+GETPIVOTDATA("XXB4",'xabang (2016)'!$A$3,"MA_HT","DGD","MA_QH","LUN")</f>
        <v>0</v>
      </c>
      <c r="J35" s="50">
        <f ca="1">+GETPIVOTDATA("XXB4",'xabang (2016)'!$A$3,"MA_HT","DGD","MA_QH","HNK")</f>
        <v>0</v>
      </c>
      <c r="K35" s="50">
        <f ca="1">+GETPIVOTDATA("XXB4",'xabang (2016)'!$A$3,"MA_HT","DGD","MA_QH","CLN")</f>
        <v>0</v>
      </c>
      <c r="L35" s="50">
        <f ca="1">+GETPIVOTDATA("XXB4",'xabang (2016)'!$A$3,"MA_HT","DGD","MA_QH","RSX")</f>
        <v>0</v>
      </c>
      <c r="M35" s="50">
        <f ca="1">+GETPIVOTDATA("XXB4",'xabang (2016)'!$A$3,"MA_HT","DGD","MA_QH","RPH")</f>
        <v>0</v>
      </c>
      <c r="N35" s="50">
        <f ca="1">+GETPIVOTDATA("XXB4",'xabang (2016)'!$A$3,"MA_HT","DGD","MA_QH","RDD")</f>
        <v>0</v>
      </c>
      <c r="O35" s="50">
        <f ca="1">+GETPIVOTDATA("XXB4",'xabang (2016)'!$A$3,"MA_HT","DGD","MA_QH","NTS")</f>
        <v>0</v>
      </c>
      <c r="P35" s="50">
        <f ca="1">+GETPIVOTDATA("XXB4",'xabang (2016)'!$A$3,"MA_HT","DGD","MA_QH","LMU")</f>
        <v>0</v>
      </c>
      <c r="Q35" s="50">
        <f ca="1">+GETPIVOTDATA("XXB4",'xabang (2016)'!$A$3,"MA_HT","DGD","MA_QH","NKH")</f>
        <v>0</v>
      </c>
      <c r="R35" s="48">
        <f ca="1" t="shared" si="20"/>
        <v>0</v>
      </c>
      <c r="S35" s="50">
        <f ca="1">+GETPIVOTDATA("XXB4",'xabang (2016)'!$A$3,"MA_HT","DGD","MA_QH","CQP")</f>
        <v>0</v>
      </c>
      <c r="T35" s="50">
        <f ca="1">+GETPIVOTDATA("XXB4",'xabang (2016)'!$A$3,"MA_HT","DGD","MA_QH","CAN")</f>
        <v>0</v>
      </c>
      <c r="U35" s="50">
        <f ca="1">+GETPIVOTDATA("XXB4",'xabang (2016)'!$A$3,"MA_HT","DGD","MA_QH","SKK")</f>
        <v>0</v>
      </c>
      <c r="V35" s="50">
        <f ca="1">+GETPIVOTDATA("XXB4",'xabang (2016)'!$A$3,"MA_HT","DGD","MA_QH","SKT")</f>
        <v>0</v>
      </c>
      <c r="W35" s="50">
        <f ca="1">+GETPIVOTDATA("XXB4",'xabang (2016)'!$A$3,"MA_HT","DGD","MA_QH","SKN")</f>
        <v>0</v>
      </c>
      <c r="X35" s="50">
        <f ca="1">+GETPIVOTDATA("XXB4",'xabang (2016)'!$A$3,"MA_HT","DGD","MA_QH","TMD")</f>
        <v>0</v>
      </c>
      <c r="Y35" s="50">
        <f ca="1">+GETPIVOTDATA("XXB4",'xabang (2016)'!$A$3,"MA_HT","DGD","MA_QH","SKC")</f>
        <v>0</v>
      </c>
      <c r="Z35" s="50">
        <f ca="1">+GETPIVOTDATA("XXB4",'xabang (2016)'!$A$3,"MA_HT","DGD","MA_QH","SKS")</f>
        <v>0</v>
      </c>
      <c r="AA35" s="52">
        <f ca="1">+SUM(AB35:AG35,AI35:AM35)</f>
        <v>0</v>
      </c>
      <c r="AB35" s="50">
        <f ca="1">+GETPIVOTDATA("XXB4",'xabang (2016)'!$A$3,"MA_HT","DGD","MA_QH","DGT")</f>
        <v>0</v>
      </c>
      <c r="AC35" s="50">
        <f ca="1">+GETPIVOTDATA("XXB4",'xabang (2016)'!$A$3,"MA_HT","DGD","MA_QH","DTL")</f>
        <v>0</v>
      </c>
      <c r="AD35" s="50">
        <f ca="1">+GETPIVOTDATA("XXB4",'xabang (2016)'!$A$3,"MA_HT","DGD","MA_QH","DNL")</f>
        <v>0</v>
      </c>
      <c r="AE35" s="50">
        <f ca="1">+GETPIVOTDATA("XXB4",'xabang (2016)'!$A$3,"MA_HT","DGD","MA_QH","DBV")</f>
        <v>0</v>
      </c>
      <c r="AF35" s="50">
        <f ca="1">+GETPIVOTDATA("XXB4",'xabang (2016)'!$A$3,"MA_HT","DGD","MA_QH","DVH")</f>
        <v>0</v>
      </c>
      <c r="AG35" s="50">
        <f ca="1">+GETPIVOTDATA("XXB4",'xabang (2016)'!$A$3,"MA_HT","DGD","MA_QH","DYT")</f>
        <v>0</v>
      </c>
      <c r="AH35" s="49" t="e">
        <f ca="1">$D35-$BF35</f>
        <v>#REF!</v>
      </c>
      <c r="AI35" s="50">
        <f ca="1">+GETPIVOTDATA("XXB4",'xabang (2016)'!$A$3,"MA_HT","DGD","MA_QH","DTT")</f>
        <v>0</v>
      </c>
      <c r="AJ35" s="50">
        <f ca="1">+GETPIVOTDATA("XXB4",'xabang (2016)'!$A$3,"MA_HT","DGD","MA_QH","NCK")</f>
        <v>0</v>
      </c>
      <c r="AK35" s="50">
        <f ca="1">+GETPIVOTDATA("XXB4",'xabang (2016)'!$A$3,"MA_HT","DGD","MA_QH","DXH")</f>
        <v>0</v>
      </c>
      <c r="AL35" s="50">
        <f ca="1">+GETPIVOTDATA("XXB4",'xabang (2016)'!$A$3,"MA_HT","DGD","MA_QH","DCH")</f>
        <v>0</v>
      </c>
      <c r="AM35" s="50">
        <f ca="1">+GETPIVOTDATA("XXB4",'xabang (2016)'!$A$3,"MA_HT","DGD","MA_QH","DKG")</f>
        <v>0</v>
      </c>
      <c r="AN35" s="50">
        <f ca="1">+GETPIVOTDATA("XXB4",'xabang (2016)'!$A$3,"MA_HT","DGD","MA_QH","DDT")</f>
        <v>0</v>
      </c>
      <c r="AO35" s="50">
        <f ca="1">+GETPIVOTDATA("XXB4",'xabang (2016)'!$A$3,"MA_HT","DGD","MA_QH","DDL")</f>
        <v>0</v>
      </c>
      <c r="AP35" s="50">
        <f ca="1">+GETPIVOTDATA("XXB4",'xabang (2016)'!$A$3,"MA_HT","DGD","MA_QH","DRA")</f>
        <v>0</v>
      </c>
      <c r="AQ35" s="50">
        <f ca="1">+GETPIVOTDATA("XXB4",'xabang (2016)'!$A$3,"MA_HT","DGD","MA_QH","ONT")</f>
        <v>0</v>
      </c>
      <c r="AR35" s="50">
        <f ca="1">+GETPIVOTDATA("XXB4",'xabang (2016)'!$A$3,"MA_HT","DGD","MA_QH","ODT")</f>
        <v>0</v>
      </c>
      <c r="AS35" s="50">
        <f ca="1">+GETPIVOTDATA("XXB4",'xabang (2016)'!$A$3,"MA_HT","DGD","MA_QH","TSC")</f>
        <v>0</v>
      </c>
      <c r="AT35" s="50">
        <f ca="1">+GETPIVOTDATA("XXB4",'xabang (2016)'!$A$3,"MA_HT","DGD","MA_QH","DTS")</f>
        <v>0</v>
      </c>
      <c r="AU35" s="50">
        <f ca="1">+GETPIVOTDATA("XXB4",'xabang (2016)'!$A$3,"MA_HT","DGD","MA_QH","DNG")</f>
        <v>0</v>
      </c>
      <c r="AV35" s="50">
        <f ca="1">+GETPIVOTDATA("XXB4",'xabang (2016)'!$A$3,"MA_HT","DGD","MA_QH","TON")</f>
        <v>0</v>
      </c>
      <c r="AW35" s="50">
        <f ca="1">+GETPIVOTDATA("XXB4",'xabang (2016)'!$A$3,"MA_HT","DGD","MA_QH","NTD")</f>
        <v>0</v>
      </c>
      <c r="AX35" s="50">
        <f ca="1">+GETPIVOTDATA("XXB4",'xabang (2016)'!$A$3,"MA_HT","DGD","MA_QH","SKX")</f>
        <v>0</v>
      </c>
      <c r="AY35" s="50">
        <f ca="1">+GETPIVOTDATA("XXB4",'xabang (2016)'!$A$3,"MA_HT","DGD","MA_QH","DSH")</f>
        <v>0</v>
      </c>
      <c r="AZ35" s="50">
        <f ca="1">+GETPIVOTDATA("XXB4",'xabang (2016)'!$A$3,"MA_HT","DGD","MA_QH","DKV")</f>
        <v>0</v>
      </c>
      <c r="BA35" s="88">
        <f ca="1">+GETPIVOTDATA("XXB4",'xabang (2016)'!$A$3,"MA_HT","DGD","MA_QH","TIN")</f>
        <v>0</v>
      </c>
      <c r="BB35" s="50">
        <f ca="1">+GETPIVOTDATA("XXB4",'xabang (2016)'!$A$3,"MA_HT","DGD","MA_QH","SON")</f>
        <v>0</v>
      </c>
      <c r="BC35" s="50">
        <f ca="1">+GETPIVOTDATA("XXB4",'xabang (2016)'!$A$3,"MA_HT","DGD","MA_QH","MNC")</f>
        <v>0</v>
      </c>
      <c r="BD35" s="50">
        <f ca="1">+GETPIVOTDATA("XXB4",'xabang (2016)'!$A$3,"MA_HT","DGD","MA_QH","PNK")</f>
        <v>0</v>
      </c>
      <c r="BE35" s="80">
        <f ca="1">+GETPIVOTDATA("XXB4",'xabang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+GETPIVOTDATA("XXB4",'xabang (2016)'!$A$3,"MA_HT","DTT","MA_QH","LUC")</f>
        <v>0</v>
      </c>
      <c r="H36" s="50">
        <f ca="1">+GETPIVOTDATA("XXB4",'xabang (2016)'!$A$3,"MA_HT","DTT","MA_QH","LUK")</f>
        <v>0</v>
      </c>
      <c r="I36" s="50">
        <f ca="1">+GETPIVOTDATA("XXB4",'xabang (2016)'!$A$3,"MA_HT","DTT","MA_QH","LUN")</f>
        <v>0</v>
      </c>
      <c r="J36" s="50">
        <f ca="1">+GETPIVOTDATA("XXB4",'xabang (2016)'!$A$3,"MA_HT","DTT","MA_QH","HNK")</f>
        <v>0</v>
      </c>
      <c r="K36" s="50">
        <f ca="1">+GETPIVOTDATA("XXB4",'xabang (2016)'!$A$3,"MA_HT","DTT","MA_QH","CLN")</f>
        <v>0</v>
      </c>
      <c r="L36" s="50">
        <f ca="1">+GETPIVOTDATA("XXB4",'xabang (2016)'!$A$3,"MA_HT","DTT","MA_QH","RSX")</f>
        <v>0</v>
      </c>
      <c r="M36" s="50">
        <f ca="1">+GETPIVOTDATA("XXB4",'xabang (2016)'!$A$3,"MA_HT","DTT","MA_QH","RPH")</f>
        <v>0</v>
      </c>
      <c r="N36" s="50">
        <f ca="1">+GETPIVOTDATA("XXB4",'xabang (2016)'!$A$3,"MA_HT","DTT","MA_QH","RDD")</f>
        <v>0</v>
      </c>
      <c r="O36" s="50">
        <f ca="1">+GETPIVOTDATA("XXB4",'xabang (2016)'!$A$3,"MA_HT","DTT","MA_QH","NTS")</f>
        <v>0</v>
      </c>
      <c r="P36" s="50">
        <f ca="1">+GETPIVOTDATA("XXB4",'xabang (2016)'!$A$3,"MA_HT","DTT","MA_QH","LMU")</f>
        <v>0</v>
      </c>
      <c r="Q36" s="50">
        <f ca="1">+GETPIVOTDATA("XXB4",'xabang (2016)'!$A$3,"MA_HT","DTT","MA_QH","NKH")</f>
        <v>0</v>
      </c>
      <c r="R36" s="48">
        <f ca="1" t="shared" si="20"/>
        <v>0</v>
      </c>
      <c r="S36" s="50">
        <f ca="1">+GETPIVOTDATA("XXB4",'xabang (2016)'!$A$3,"MA_HT","DTT","MA_QH","CQP")</f>
        <v>0</v>
      </c>
      <c r="T36" s="50">
        <f ca="1">+GETPIVOTDATA("XXB4",'xabang (2016)'!$A$3,"MA_HT","DTT","MA_QH","CAN")</f>
        <v>0</v>
      </c>
      <c r="U36" s="50">
        <f ca="1">+GETPIVOTDATA("XXB4",'xabang (2016)'!$A$3,"MA_HT","DTT","MA_QH","SKK")</f>
        <v>0</v>
      </c>
      <c r="V36" s="50">
        <f ca="1">+GETPIVOTDATA("XXB4",'xabang (2016)'!$A$3,"MA_HT","DTT","MA_QH","SKT")</f>
        <v>0</v>
      </c>
      <c r="W36" s="50">
        <f ca="1">+GETPIVOTDATA("XXB4",'xabang (2016)'!$A$3,"MA_HT","DTT","MA_QH","SKN")</f>
        <v>0</v>
      </c>
      <c r="X36" s="50">
        <f ca="1">+GETPIVOTDATA("XXB4",'xabang (2016)'!$A$3,"MA_HT","DTT","MA_QH","TMD")</f>
        <v>0</v>
      </c>
      <c r="Y36" s="50">
        <f ca="1">+GETPIVOTDATA("XXB4",'xabang (2016)'!$A$3,"MA_HT","DTT","MA_QH","SKC")</f>
        <v>0</v>
      </c>
      <c r="Z36" s="50">
        <f ca="1">+GETPIVOTDATA("XXB4",'xabang (2016)'!$A$3,"MA_HT","DTT","MA_QH","SKS")</f>
        <v>0</v>
      </c>
      <c r="AA36" s="52">
        <f ca="1">+SUM(AB36:AH36,AJ36:AM36)</f>
        <v>0</v>
      </c>
      <c r="AB36" s="50">
        <f ca="1">+GETPIVOTDATA("XXB4",'xabang (2016)'!$A$3,"MA_HT","DTT","MA_QH","DGT")</f>
        <v>0</v>
      </c>
      <c r="AC36" s="50">
        <f ca="1">+GETPIVOTDATA("XXB4",'xabang (2016)'!$A$3,"MA_HT","DTT","MA_QH","DTL")</f>
        <v>0</v>
      </c>
      <c r="AD36" s="50">
        <f ca="1">+GETPIVOTDATA("XXB4",'xabang (2016)'!$A$3,"MA_HT","DTT","MA_QH","DNL")</f>
        <v>0</v>
      </c>
      <c r="AE36" s="50">
        <f ca="1">+GETPIVOTDATA("XXB4",'xabang (2016)'!$A$3,"MA_HT","DTT","MA_QH","DBV")</f>
        <v>0</v>
      </c>
      <c r="AF36" s="50">
        <f ca="1">+GETPIVOTDATA("XXB4",'xabang (2016)'!$A$3,"MA_HT","DTT","MA_QH","DVH")</f>
        <v>0</v>
      </c>
      <c r="AG36" s="50">
        <f ca="1">+GETPIVOTDATA("XXB4",'xabang (2016)'!$A$3,"MA_HT","DTT","MA_QH","DYT")</f>
        <v>0</v>
      </c>
      <c r="AH36" s="50">
        <f ca="1">+GETPIVOTDATA("XXB4",'xabang (2016)'!$A$3,"MA_HT","DTT","MA_QH","DGD")</f>
        <v>0</v>
      </c>
      <c r="AI36" s="49" t="e">
        <f ca="1">$D36-$BF36</f>
        <v>#REF!</v>
      </c>
      <c r="AJ36" s="50">
        <f ca="1">+GETPIVOTDATA("XXB4",'xabang (2016)'!$A$3,"MA_HT","DTT","MA_QH","NCK")</f>
        <v>0</v>
      </c>
      <c r="AK36" s="50">
        <f ca="1">+GETPIVOTDATA("XXB4",'xabang (2016)'!$A$3,"MA_HT","DTT","MA_QH","DXH")</f>
        <v>0</v>
      </c>
      <c r="AL36" s="50">
        <f ca="1">+GETPIVOTDATA("XXB4",'xabang (2016)'!$A$3,"MA_HT","DTT","MA_QH","DCH")</f>
        <v>0</v>
      </c>
      <c r="AM36" s="50">
        <f ca="1">+GETPIVOTDATA("XXB4",'xabang (2016)'!$A$3,"MA_HT","DTT","MA_QH","DKG")</f>
        <v>0</v>
      </c>
      <c r="AN36" s="50">
        <f ca="1">+GETPIVOTDATA("XXB4",'xabang (2016)'!$A$3,"MA_HT","DTT","MA_QH","DDT")</f>
        <v>0</v>
      </c>
      <c r="AO36" s="50">
        <f ca="1">+GETPIVOTDATA("XXB4",'xabang (2016)'!$A$3,"MA_HT","DTT","MA_QH","DDL")</f>
        <v>0</v>
      </c>
      <c r="AP36" s="50">
        <f ca="1">+GETPIVOTDATA("XXB4",'xabang (2016)'!$A$3,"MA_HT","DTT","MA_QH","DRA")</f>
        <v>0</v>
      </c>
      <c r="AQ36" s="50">
        <f ca="1">+GETPIVOTDATA("XXB4",'xabang (2016)'!$A$3,"MA_HT","DTT","MA_QH","ONT")</f>
        <v>0</v>
      </c>
      <c r="AR36" s="50">
        <f ca="1">+GETPIVOTDATA("XXB4",'xabang (2016)'!$A$3,"MA_HT","DTT","MA_QH","ODT")</f>
        <v>0</v>
      </c>
      <c r="AS36" s="50">
        <f ca="1">+GETPIVOTDATA("XXB4",'xabang (2016)'!$A$3,"MA_HT","DTT","MA_QH","TSC")</f>
        <v>0</v>
      </c>
      <c r="AT36" s="50">
        <f ca="1">+GETPIVOTDATA("XXB4",'xabang (2016)'!$A$3,"MA_HT","DTT","MA_QH","DTS")</f>
        <v>0</v>
      </c>
      <c r="AU36" s="50">
        <f ca="1">+GETPIVOTDATA("XXB4",'xabang (2016)'!$A$3,"MA_HT","DTT","MA_QH","DNG")</f>
        <v>0</v>
      </c>
      <c r="AV36" s="50">
        <f ca="1">+GETPIVOTDATA("XXB4",'xabang (2016)'!$A$3,"MA_HT","DTT","MA_QH","TON")</f>
        <v>0</v>
      </c>
      <c r="AW36" s="50">
        <f ca="1">+GETPIVOTDATA("XXB4",'xabang (2016)'!$A$3,"MA_HT","DTT","MA_QH","NTD")</f>
        <v>0</v>
      </c>
      <c r="AX36" s="50">
        <f ca="1">+GETPIVOTDATA("XXB4",'xabang (2016)'!$A$3,"MA_HT","DTT","MA_QH","SKX")</f>
        <v>0</v>
      </c>
      <c r="AY36" s="50">
        <f ca="1">+GETPIVOTDATA("XXB4",'xabang (2016)'!$A$3,"MA_HT","DTT","MA_QH","DSH")</f>
        <v>0</v>
      </c>
      <c r="AZ36" s="50">
        <f ca="1">+GETPIVOTDATA("XXB4",'xabang (2016)'!$A$3,"MA_HT","DTT","MA_QH","DKV")</f>
        <v>0</v>
      </c>
      <c r="BA36" s="88">
        <f ca="1">+GETPIVOTDATA("XXB4",'xabang (2016)'!$A$3,"MA_HT","DTT","MA_QH","TIN")</f>
        <v>0</v>
      </c>
      <c r="BB36" s="50">
        <f ca="1">+GETPIVOTDATA("XXB4",'xabang (2016)'!$A$3,"MA_HT","DTT","MA_QH","SON")</f>
        <v>0</v>
      </c>
      <c r="BC36" s="50">
        <f ca="1">+GETPIVOTDATA("XXB4",'xabang (2016)'!$A$3,"MA_HT","DTT","MA_QH","MNC")</f>
        <v>0</v>
      </c>
      <c r="BD36" s="50">
        <f ca="1">+GETPIVOTDATA("XXB4",'xabang (2016)'!$A$3,"MA_HT","DTT","MA_QH","PNK")</f>
        <v>0</v>
      </c>
      <c r="BE36" s="80">
        <f ca="1">+GETPIVOTDATA("XXB4",'xabang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+GETPIVOTDATA("XXB4",'xabang (2016)'!$A$3,"MA_HT","NCK","MA_QH","LUC")</f>
        <v>0</v>
      </c>
      <c r="H37" s="50">
        <f ca="1">+GETPIVOTDATA("XXB4",'xabang (2016)'!$A$3,"MA_HT","NCK","MA_QH","LUK")</f>
        <v>0</v>
      </c>
      <c r="I37" s="50">
        <f ca="1">+GETPIVOTDATA("XXB4",'xabang (2016)'!$A$3,"MA_HT","NCK","MA_QH","LUN")</f>
        <v>0</v>
      </c>
      <c r="J37" s="50">
        <f ca="1">+GETPIVOTDATA("XXB4",'xabang (2016)'!$A$3,"MA_HT","NCK","MA_QH","HNK")</f>
        <v>0</v>
      </c>
      <c r="K37" s="50">
        <f ca="1">+GETPIVOTDATA("XXB4",'xabang (2016)'!$A$3,"MA_HT","NCK","MA_QH","CLN")</f>
        <v>0</v>
      </c>
      <c r="L37" s="50">
        <f ca="1">+GETPIVOTDATA("XXB4",'xabang (2016)'!$A$3,"MA_HT","NCK","MA_QH","RSX")</f>
        <v>0</v>
      </c>
      <c r="M37" s="50">
        <f ca="1">+GETPIVOTDATA("XXB4",'xabang (2016)'!$A$3,"MA_HT","NCK","MA_QH","RPH")</f>
        <v>0</v>
      </c>
      <c r="N37" s="50">
        <f ca="1">+GETPIVOTDATA("XXB4",'xabang (2016)'!$A$3,"MA_HT","NCK","MA_QH","RDD")</f>
        <v>0</v>
      </c>
      <c r="O37" s="50">
        <f ca="1">+GETPIVOTDATA("XXB4",'xabang (2016)'!$A$3,"MA_HT","NCK","MA_QH","NTS")</f>
        <v>0</v>
      </c>
      <c r="P37" s="50">
        <f ca="1">+GETPIVOTDATA("XXB4",'xabang (2016)'!$A$3,"MA_HT","NCK","MA_QH","LMU")</f>
        <v>0</v>
      </c>
      <c r="Q37" s="50">
        <f ca="1">+GETPIVOTDATA("XXB4",'xabang (2016)'!$A$3,"MA_HT","NCK","MA_QH","NKH")</f>
        <v>0</v>
      </c>
      <c r="R37" s="48">
        <f ca="1" t="shared" si="20"/>
        <v>0</v>
      </c>
      <c r="S37" s="50">
        <f ca="1">+GETPIVOTDATA("XXB4",'xabang (2016)'!$A$3,"MA_HT","NCK","MA_QH","CQP")</f>
        <v>0</v>
      </c>
      <c r="T37" s="50">
        <f ca="1">+GETPIVOTDATA("XXB4",'xabang (2016)'!$A$3,"MA_HT","NCK","MA_QH","CAN")</f>
        <v>0</v>
      </c>
      <c r="U37" s="50">
        <f ca="1">+GETPIVOTDATA("XXB4",'xabang (2016)'!$A$3,"MA_HT","NCK","MA_QH","SKK")</f>
        <v>0</v>
      </c>
      <c r="V37" s="50">
        <f ca="1">+GETPIVOTDATA("XXB4",'xabang (2016)'!$A$3,"MA_HT","NCK","MA_QH","SKT")</f>
        <v>0</v>
      </c>
      <c r="W37" s="50">
        <f ca="1">+GETPIVOTDATA("XXB4",'xabang (2016)'!$A$3,"MA_HT","NCK","MA_QH","SKN")</f>
        <v>0</v>
      </c>
      <c r="X37" s="50">
        <f ca="1">+GETPIVOTDATA("XXB4",'xabang (2016)'!$A$3,"MA_HT","NCK","MA_QH","TMD")</f>
        <v>0</v>
      </c>
      <c r="Y37" s="50">
        <f ca="1">+GETPIVOTDATA("XXB4",'xabang (2016)'!$A$3,"MA_HT","NCK","MA_QH","SKC")</f>
        <v>0</v>
      </c>
      <c r="Z37" s="50">
        <f ca="1">+GETPIVOTDATA("XXB4",'xabang (2016)'!$A$3,"MA_HT","NCK","MA_QH","SKS")</f>
        <v>0</v>
      </c>
      <c r="AA37" s="52">
        <f ca="1">+SUM(AB37:AI37,AK37:AM37)</f>
        <v>0</v>
      </c>
      <c r="AB37" s="50">
        <f ca="1">+GETPIVOTDATA("XXB4",'xabang (2016)'!$A$3,"MA_HT","NCK","MA_QH","DGT")</f>
        <v>0</v>
      </c>
      <c r="AC37" s="50">
        <f ca="1">+GETPIVOTDATA("XXB4",'xabang (2016)'!$A$3,"MA_HT","NCK","MA_QH","DTL")</f>
        <v>0</v>
      </c>
      <c r="AD37" s="50">
        <f ca="1">+GETPIVOTDATA("XXB4",'xabang (2016)'!$A$3,"MA_HT","NCK","MA_QH","DNL")</f>
        <v>0</v>
      </c>
      <c r="AE37" s="50">
        <f ca="1">+GETPIVOTDATA("XXB4",'xabang (2016)'!$A$3,"MA_HT","NCK","MA_QH","DBV")</f>
        <v>0</v>
      </c>
      <c r="AF37" s="50">
        <f ca="1">+GETPIVOTDATA("XXB4",'xabang (2016)'!$A$3,"MA_HT","NCK","MA_QH","DVH")</f>
        <v>0</v>
      </c>
      <c r="AG37" s="50">
        <f ca="1">+GETPIVOTDATA("XXB4",'xabang (2016)'!$A$3,"MA_HT","NCK","MA_QH","DYT")</f>
        <v>0</v>
      </c>
      <c r="AH37" s="50">
        <f ca="1">+GETPIVOTDATA("XXB4",'xabang (2016)'!$A$3,"MA_HT","NCK","MA_QH","DGD")</f>
        <v>0</v>
      </c>
      <c r="AI37" s="50">
        <f ca="1">+GETPIVOTDATA("XXB4",'xabang (2016)'!$A$3,"MA_HT","NCK","MA_QH","DTT")</f>
        <v>0</v>
      </c>
      <c r="AJ37" s="49" t="e">
        <f ca="1">$D37-$BF37</f>
        <v>#REF!</v>
      </c>
      <c r="AK37" s="50">
        <f ca="1">+GETPIVOTDATA("XXB4",'xabang (2016)'!$A$3,"MA_HT","NCK","MA_QH","DXH")</f>
        <v>0</v>
      </c>
      <c r="AL37" s="50">
        <f ca="1">+GETPIVOTDATA("XXB4",'xabang (2016)'!$A$3,"MA_HT","NCK","MA_QH","DCH")</f>
        <v>0</v>
      </c>
      <c r="AM37" s="50">
        <f ca="1">+GETPIVOTDATA("XXB4",'xabang (2016)'!$A$3,"MA_HT","NCK","MA_QH","DKG")</f>
        <v>0</v>
      </c>
      <c r="AN37" s="50">
        <f ca="1">+GETPIVOTDATA("XXB4",'xabang (2016)'!$A$3,"MA_HT","NCK","MA_QH","DDT")</f>
        <v>0</v>
      </c>
      <c r="AO37" s="50">
        <f ca="1">+GETPIVOTDATA("XXB4",'xabang (2016)'!$A$3,"MA_HT","NCK","MA_QH","DDL")</f>
        <v>0</v>
      </c>
      <c r="AP37" s="50">
        <f ca="1">+GETPIVOTDATA("XXB4",'xabang (2016)'!$A$3,"MA_HT","NCK","MA_QH","DRA")</f>
        <v>0</v>
      </c>
      <c r="AQ37" s="50">
        <f ca="1">+GETPIVOTDATA("XXB4",'xabang (2016)'!$A$3,"MA_HT","NCK","MA_QH","ONT")</f>
        <v>0</v>
      </c>
      <c r="AR37" s="50">
        <f ca="1">+GETPIVOTDATA("XXB4",'xabang (2016)'!$A$3,"MA_HT","NCK","MA_QH","ODT")</f>
        <v>0</v>
      </c>
      <c r="AS37" s="50">
        <f ca="1">+GETPIVOTDATA("XXB4",'xabang (2016)'!$A$3,"MA_HT","NCK","MA_QH","TSC")</f>
        <v>0</v>
      </c>
      <c r="AT37" s="50">
        <f ca="1">+GETPIVOTDATA("XXB4",'xabang (2016)'!$A$3,"MA_HT","NCK","MA_QH","DTS")</f>
        <v>0</v>
      </c>
      <c r="AU37" s="50">
        <f ca="1">+GETPIVOTDATA("XXB4",'xabang (2016)'!$A$3,"MA_HT","NCK","MA_QH","DNG")</f>
        <v>0</v>
      </c>
      <c r="AV37" s="50">
        <f ca="1">+GETPIVOTDATA("XXB4",'xabang (2016)'!$A$3,"MA_HT","NCK","MA_QH","TON")</f>
        <v>0</v>
      </c>
      <c r="AW37" s="50">
        <f ca="1">+GETPIVOTDATA("XXB4",'xabang (2016)'!$A$3,"MA_HT","NCK","MA_QH","NTD")</f>
        <v>0</v>
      </c>
      <c r="AX37" s="50">
        <f ca="1">+GETPIVOTDATA("XXB4",'xabang (2016)'!$A$3,"MA_HT","NCK","MA_QH","SKX")</f>
        <v>0</v>
      </c>
      <c r="AY37" s="50">
        <f ca="1">+GETPIVOTDATA("XXB4",'xabang (2016)'!$A$3,"MA_HT","NCK","MA_QH","DSH")</f>
        <v>0</v>
      </c>
      <c r="AZ37" s="50">
        <f ca="1">+GETPIVOTDATA("XXB4",'xabang (2016)'!$A$3,"MA_HT","NCK","MA_QH","DKV")</f>
        <v>0</v>
      </c>
      <c r="BA37" s="88">
        <f ca="1">+GETPIVOTDATA("XXB4",'xabang (2016)'!$A$3,"MA_HT","NCK","MA_QH","TIN")</f>
        <v>0</v>
      </c>
      <c r="BB37" s="50">
        <f ca="1">+GETPIVOTDATA("XXB4",'xabang (2016)'!$A$3,"MA_HT","NCK","MA_QH","SON")</f>
        <v>0</v>
      </c>
      <c r="BC37" s="50">
        <f ca="1">+GETPIVOTDATA("XXB4",'xabang (2016)'!$A$3,"MA_HT","NCK","MA_QH","MNC")</f>
        <v>0</v>
      </c>
      <c r="BD37" s="50">
        <f ca="1">+GETPIVOTDATA("XXB4",'xabang (2016)'!$A$3,"MA_HT","NCK","MA_QH","PNK")</f>
        <v>0</v>
      </c>
      <c r="BE37" s="80">
        <f ca="1">+GETPIVOTDATA("XXB4",'xabang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+GETPIVOTDATA("XXB4",'xabang (2016)'!$A$3,"MA_HT","DXH","MA_QH","LUC")</f>
        <v>0</v>
      </c>
      <c r="H38" s="50">
        <f ca="1">+GETPIVOTDATA("XXB4",'xabang (2016)'!$A$3,"MA_HT","DXH","MA_QH","LUK")</f>
        <v>0</v>
      </c>
      <c r="I38" s="50">
        <f ca="1">+GETPIVOTDATA("XXB4",'xabang (2016)'!$A$3,"MA_HT","DXH","MA_QH","LUN")</f>
        <v>0</v>
      </c>
      <c r="J38" s="50">
        <f ca="1">+GETPIVOTDATA("XXB4",'xabang (2016)'!$A$3,"MA_HT","DXH","MA_QH","HNK")</f>
        <v>0</v>
      </c>
      <c r="K38" s="50">
        <f ca="1">+GETPIVOTDATA("XXB4",'xabang (2016)'!$A$3,"MA_HT","DXH","MA_QH","CLN")</f>
        <v>0</v>
      </c>
      <c r="L38" s="50">
        <f ca="1">+GETPIVOTDATA("XXB4",'xabang (2016)'!$A$3,"MA_HT","DXH","MA_QH","RSX")</f>
        <v>0</v>
      </c>
      <c r="M38" s="50">
        <f ca="1">+GETPIVOTDATA("XXB4",'xabang (2016)'!$A$3,"MA_HT","DXH","MA_QH","RPH")</f>
        <v>0</v>
      </c>
      <c r="N38" s="50">
        <f ca="1">+GETPIVOTDATA("XXB4",'xabang (2016)'!$A$3,"MA_HT","DXH","MA_QH","RDD")</f>
        <v>0</v>
      </c>
      <c r="O38" s="50">
        <f ca="1">+GETPIVOTDATA("XXB4",'xabang (2016)'!$A$3,"MA_HT","DXH","MA_QH","NTS")</f>
        <v>0</v>
      </c>
      <c r="P38" s="50">
        <f ca="1">+GETPIVOTDATA("XXB4",'xabang (2016)'!$A$3,"MA_HT","DXH","MA_QH","LMU")</f>
        <v>0</v>
      </c>
      <c r="Q38" s="50">
        <f ca="1">+GETPIVOTDATA("XXB4",'xabang (2016)'!$A$3,"MA_HT","DXH","MA_QH","NKH")</f>
        <v>0</v>
      </c>
      <c r="R38" s="48">
        <f ca="1" t="shared" si="20"/>
        <v>0</v>
      </c>
      <c r="S38" s="50">
        <f ca="1">+GETPIVOTDATA("XXB4",'xabang (2016)'!$A$3,"MA_HT","DXH","MA_QH","CQP")</f>
        <v>0</v>
      </c>
      <c r="T38" s="50">
        <f ca="1">+GETPIVOTDATA("XXB4",'xabang (2016)'!$A$3,"MA_HT","DXH","MA_QH","CAN")</f>
        <v>0</v>
      </c>
      <c r="U38" s="50">
        <f ca="1">+GETPIVOTDATA("XXB4",'xabang (2016)'!$A$3,"MA_HT","DXH","MA_QH","SKK")</f>
        <v>0</v>
      </c>
      <c r="V38" s="50">
        <f ca="1">+GETPIVOTDATA("XXB4",'xabang (2016)'!$A$3,"MA_HT","DXH","MA_QH","SKT")</f>
        <v>0</v>
      </c>
      <c r="W38" s="50">
        <f ca="1">+GETPIVOTDATA("XXB4",'xabang (2016)'!$A$3,"MA_HT","DXH","MA_QH","SKN")</f>
        <v>0</v>
      </c>
      <c r="X38" s="50">
        <f ca="1">+GETPIVOTDATA("XXB4",'xabang (2016)'!$A$3,"MA_HT","DXH","MA_QH","TMD")</f>
        <v>0</v>
      </c>
      <c r="Y38" s="50">
        <f ca="1">+GETPIVOTDATA("XXB4",'xabang (2016)'!$A$3,"MA_HT","DXH","MA_QH","SKC")</f>
        <v>0</v>
      </c>
      <c r="Z38" s="50">
        <f ca="1">+GETPIVOTDATA("XXB4",'xabang (2016)'!$A$3,"MA_HT","DXH","MA_QH","SKS")</f>
        <v>0</v>
      </c>
      <c r="AA38" s="52">
        <f ca="1">+SUM(AB38:AJ38,AL38:AM38)</f>
        <v>0</v>
      </c>
      <c r="AB38" s="50">
        <f ca="1">+GETPIVOTDATA("XXB4",'xabang (2016)'!$A$3,"MA_HT","DXH","MA_QH","DGT")</f>
        <v>0</v>
      </c>
      <c r="AC38" s="50">
        <f ca="1">+GETPIVOTDATA("XXB4",'xabang (2016)'!$A$3,"MA_HT","DXH","MA_QH","DTL")</f>
        <v>0</v>
      </c>
      <c r="AD38" s="50">
        <f ca="1">+GETPIVOTDATA("XXB4",'xabang (2016)'!$A$3,"MA_HT","DXH","MA_QH","DNL")</f>
        <v>0</v>
      </c>
      <c r="AE38" s="50">
        <f ca="1">+GETPIVOTDATA("XXB4",'xabang (2016)'!$A$3,"MA_HT","DXH","MA_QH","DBV")</f>
        <v>0</v>
      </c>
      <c r="AF38" s="50">
        <f ca="1">+GETPIVOTDATA("XXB4",'xabang (2016)'!$A$3,"MA_HT","DXH","MA_QH","DVH")</f>
        <v>0</v>
      </c>
      <c r="AG38" s="50">
        <f ca="1">+GETPIVOTDATA("XXB4",'xabang (2016)'!$A$3,"MA_HT","DXH","MA_QH","DYT")</f>
        <v>0</v>
      </c>
      <c r="AH38" s="50">
        <f ca="1">+GETPIVOTDATA("XXB4",'xabang (2016)'!$A$3,"MA_HT","DXH","MA_QH","DGD")</f>
        <v>0</v>
      </c>
      <c r="AI38" s="50">
        <f ca="1">+GETPIVOTDATA("XXB4",'xabang (2016)'!$A$3,"MA_HT","DXH","MA_QH","DTT")</f>
        <v>0</v>
      </c>
      <c r="AJ38" s="50">
        <f ca="1">+GETPIVOTDATA("XXB4",'xabang (2016)'!$A$3,"MA_HT","DXH","MA_QH","NCK")</f>
        <v>0</v>
      </c>
      <c r="AK38" s="49" t="e">
        <f ca="1">$D38-$BF38</f>
        <v>#REF!</v>
      </c>
      <c r="AL38" s="50">
        <f ca="1">+GETPIVOTDATA("XXB4",'xabang (2016)'!$A$3,"MA_HT","DXH","MA_QH","DCH")</f>
        <v>0</v>
      </c>
      <c r="AM38" s="50">
        <f ca="1">+GETPIVOTDATA("XXB4",'xabang (2016)'!$A$3,"MA_HT","DXH","MA_QH","DKG")</f>
        <v>0</v>
      </c>
      <c r="AN38" s="50">
        <f ca="1">+GETPIVOTDATA("XXB4",'xabang (2016)'!$A$3,"MA_HT","DXH","MA_QH","DDT")</f>
        <v>0</v>
      </c>
      <c r="AO38" s="50">
        <f ca="1">+GETPIVOTDATA("XXB4",'xabang (2016)'!$A$3,"MA_HT","DXH","MA_QH","DDL")</f>
        <v>0</v>
      </c>
      <c r="AP38" s="50">
        <f ca="1">+GETPIVOTDATA("XXB4",'xabang (2016)'!$A$3,"MA_HT","DXH","MA_QH","DRA")</f>
        <v>0</v>
      </c>
      <c r="AQ38" s="50">
        <f ca="1">+GETPIVOTDATA("XXB4",'xabang (2016)'!$A$3,"MA_HT","DXH","MA_QH","ONT")</f>
        <v>0</v>
      </c>
      <c r="AR38" s="50">
        <f ca="1">+GETPIVOTDATA("XXB4",'xabang (2016)'!$A$3,"MA_HT","DXH","MA_QH","ODT")</f>
        <v>0</v>
      </c>
      <c r="AS38" s="50">
        <f ca="1">+GETPIVOTDATA("XXB4",'xabang (2016)'!$A$3,"MA_HT","DXH","MA_QH","TSC")</f>
        <v>0</v>
      </c>
      <c r="AT38" s="50">
        <f ca="1">+GETPIVOTDATA("XXB4",'xabang (2016)'!$A$3,"MA_HT","DXH","MA_QH","DTS")</f>
        <v>0</v>
      </c>
      <c r="AU38" s="50">
        <f ca="1">+GETPIVOTDATA("XXB4",'xabang (2016)'!$A$3,"MA_HT","DXH","MA_QH","DNG")</f>
        <v>0</v>
      </c>
      <c r="AV38" s="50">
        <f ca="1">+GETPIVOTDATA("XXB4",'xabang (2016)'!$A$3,"MA_HT","DXH","MA_QH","TON")</f>
        <v>0</v>
      </c>
      <c r="AW38" s="50">
        <f ca="1">+GETPIVOTDATA("XXB4",'xabang (2016)'!$A$3,"MA_HT","DXH","MA_QH","NTD")</f>
        <v>0</v>
      </c>
      <c r="AX38" s="50">
        <f ca="1">+GETPIVOTDATA("XXB4",'xabang (2016)'!$A$3,"MA_HT","DXH","MA_QH","SKX")</f>
        <v>0</v>
      </c>
      <c r="AY38" s="50">
        <f ca="1">+GETPIVOTDATA("XXB4",'xabang (2016)'!$A$3,"MA_HT","DXH","MA_QH","DSH")</f>
        <v>0</v>
      </c>
      <c r="AZ38" s="50">
        <f ca="1">+GETPIVOTDATA("XXB4",'xabang (2016)'!$A$3,"MA_HT","DXH","MA_QH","DKV")</f>
        <v>0</v>
      </c>
      <c r="BA38" s="88">
        <f ca="1">+GETPIVOTDATA("XXB4",'xabang (2016)'!$A$3,"MA_HT","DXH","MA_QH","TIN")</f>
        <v>0</v>
      </c>
      <c r="BB38" s="50">
        <f ca="1">+GETPIVOTDATA("XXB4",'xabang (2016)'!$A$3,"MA_HT","DXH","MA_QH","SON")</f>
        <v>0</v>
      </c>
      <c r="BC38" s="50">
        <f ca="1">+GETPIVOTDATA("XXB4",'xabang (2016)'!$A$3,"MA_HT","DXH","MA_QH","MNC")</f>
        <v>0</v>
      </c>
      <c r="BD38" s="50">
        <f ca="1">+GETPIVOTDATA("XXB4",'xabang (2016)'!$A$3,"MA_HT","DXH","MA_QH","PNK")</f>
        <v>0</v>
      </c>
      <c r="BE38" s="80">
        <f ca="1">+GETPIVOTDATA("XXB4",'xabang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+GETPIVOTDATA("XXB4",'xabang (2016)'!$A$3,"MA_HT","DCH","MA_QH","LUC")</f>
        <v>0</v>
      </c>
      <c r="H39" s="50">
        <f ca="1">+GETPIVOTDATA("XXB4",'xabang (2016)'!$A$3,"MA_HT","DCH","MA_QH","LUK")</f>
        <v>0</v>
      </c>
      <c r="I39" s="50">
        <f ca="1">+GETPIVOTDATA("XXB4",'xabang (2016)'!$A$3,"MA_HT","DCH","MA_QH","LUN")</f>
        <v>0</v>
      </c>
      <c r="J39" s="50">
        <f ca="1">+GETPIVOTDATA("XXB4",'xabang (2016)'!$A$3,"MA_HT","DCH","MA_QH","HNK")</f>
        <v>0</v>
      </c>
      <c r="K39" s="50">
        <f ca="1">+GETPIVOTDATA("XXB4",'xabang (2016)'!$A$3,"MA_HT","DCH","MA_QH","CLN")</f>
        <v>0</v>
      </c>
      <c r="L39" s="50">
        <f ca="1">+GETPIVOTDATA("XXB4",'xabang (2016)'!$A$3,"MA_HT","DCH","MA_QH","RSX")</f>
        <v>0</v>
      </c>
      <c r="M39" s="50">
        <f ca="1">+GETPIVOTDATA("XXB4",'xabang (2016)'!$A$3,"MA_HT","DCH","MA_QH","RPH")</f>
        <v>0</v>
      </c>
      <c r="N39" s="50">
        <f ca="1">+GETPIVOTDATA("XXB4",'xabang (2016)'!$A$3,"MA_HT","DCH","MA_QH","RDD")</f>
        <v>0</v>
      </c>
      <c r="O39" s="50">
        <f ca="1">+GETPIVOTDATA("XXB4",'xabang (2016)'!$A$3,"MA_HT","DCH","MA_QH","NTS")</f>
        <v>0</v>
      </c>
      <c r="P39" s="50">
        <f ca="1">+GETPIVOTDATA("XXB4",'xabang (2016)'!$A$3,"MA_HT","DCH","MA_QH","LMU")</f>
        <v>0</v>
      </c>
      <c r="Q39" s="50">
        <f ca="1">+GETPIVOTDATA("XXB4",'xabang (2016)'!$A$3,"MA_HT","DCH","MA_QH","NKH")</f>
        <v>0</v>
      </c>
      <c r="R39" s="48">
        <f ca="1" t="shared" si="20"/>
        <v>0</v>
      </c>
      <c r="S39" s="50">
        <f ca="1">+GETPIVOTDATA("XXB4",'xabang (2016)'!$A$3,"MA_HT","DCH","MA_QH","CQP")</f>
        <v>0</v>
      </c>
      <c r="T39" s="50">
        <f ca="1">+GETPIVOTDATA("XXB4",'xabang (2016)'!$A$3,"MA_HT","DCH","MA_QH","CAN")</f>
        <v>0</v>
      </c>
      <c r="U39" s="50">
        <f ca="1">+GETPIVOTDATA("XXB4",'xabang (2016)'!$A$3,"MA_HT","DCH","MA_QH","SKK")</f>
        <v>0</v>
      </c>
      <c r="V39" s="50">
        <f ca="1">+GETPIVOTDATA("XXB4",'xabang (2016)'!$A$3,"MA_HT","DCH","MA_QH","SKT")</f>
        <v>0</v>
      </c>
      <c r="W39" s="50">
        <f ca="1">+GETPIVOTDATA("XXB4",'xabang (2016)'!$A$3,"MA_HT","DCH","MA_QH","SKN")</f>
        <v>0</v>
      </c>
      <c r="X39" s="50">
        <f ca="1">+GETPIVOTDATA("XXB4",'xabang (2016)'!$A$3,"MA_HT","DCH","MA_QH","TMD")</f>
        <v>0</v>
      </c>
      <c r="Y39" s="50">
        <f ca="1">+GETPIVOTDATA("XXB4",'xabang (2016)'!$A$3,"MA_HT","DCH","MA_QH","SKC")</f>
        <v>0</v>
      </c>
      <c r="Z39" s="50">
        <f ca="1">+GETPIVOTDATA("XXB4",'xabang (2016)'!$A$3,"MA_HT","DCH","MA_QH","SKS")</f>
        <v>0</v>
      </c>
      <c r="AA39" s="52">
        <f ca="1">+SUM(AB39:AK39,AM39)</f>
        <v>0</v>
      </c>
      <c r="AB39" s="50">
        <f ca="1">+GETPIVOTDATA("XXB4",'xabang (2016)'!$A$3,"MA_HT","DCH","MA_QH","DGT")</f>
        <v>0</v>
      </c>
      <c r="AC39" s="50">
        <f ca="1">+GETPIVOTDATA("XXB4",'xabang (2016)'!$A$3,"MA_HT","DCH","MA_QH","DTL")</f>
        <v>0</v>
      </c>
      <c r="AD39" s="50">
        <f ca="1">+GETPIVOTDATA("XXB4",'xabang (2016)'!$A$3,"MA_HT","DCH","MA_QH","DNL")</f>
        <v>0</v>
      </c>
      <c r="AE39" s="50">
        <f ca="1">+GETPIVOTDATA("XXB4",'xabang (2016)'!$A$3,"MA_HT","DCH","MA_QH","DBV")</f>
        <v>0</v>
      </c>
      <c r="AF39" s="50">
        <f ca="1">+GETPIVOTDATA("XXB4",'xabang (2016)'!$A$3,"MA_HT","DCH","MA_QH","DVH")</f>
        <v>0</v>
      </c>
      <c r="AG39" s="50">
        <f ca="1">+GETPIVOTDATA("XXB4",'xabang (2016)'!$A$3,"MA_HT","DCH","MA_QH","DYT")</f>
        <v>0</v>
      </c>
      <c r="AH39" s="50">
        <f ca="1">+GETPIVOTDATA("XXB4",'xabang (2016)'!$A$3,"MA_HT","DCH","MA_QH","DGD")</f>
        <v>0</v>
      </c>
      <c r="AI39" s="50">
        <f ca="1">+GETPIVOTDATA("XXB4",'xabang (2016)'!$A$3,"MA_HT","DCH","MA_QH","DTT")</f>
        <v>0</v>
      </c>
      <c r="AJ39" s="50">
        <f ca="1">+GETPIVOTDATA("XXB4",'xabang (2016)'!$A$3,"MA_HT","DCH","MA_QH","NCK")</f>
        <v>0</v>
      </c>
      <c r="AK39" s="50">
        <f ca="1">+GETPIVOTDATA("XXB4",'xabang (2016)'!$A$3,"MA_HT","DCH","MA_QH","DXH")</f>
        <v>0</v>
      </c>
      <c r="AL39" s="49" t="e">
        <f ca="1">$D39-$BF39</f>
        <v>#REF!</v>
      </c>
      <c r="AM39" s="50">
        <f ca="1">+GETPIVOTDATA("XXB4",'xabang (2016)'!$A$3,"MA_HT","DXH","MA_QH","DKG")</f>
        <v>0</v>
      </c>
      <c r="AN39" s="50">
        <f ca="1">+GETPIVOTDATA("XXB4",'xabang (2016)'!$A$3,"MA_HT","DCH","MA_QH","DDT")</f>
        <v>0</v>
      </c>
      <c r="AO39" s="50">
        <f ca="1">+GETPIVOTDATA("XXB4",'xabang (2016)'!$A$3,"MA_HT","DCH","MA_QH","DDL")</f>
        <v>0</v>
      </c>
      <c r="AP39" s="50">
        <f ca="1">+GETPIVOTDATA("XXB4",'xabang (2016)'!$A$3,"MA_HT","DCH","MA_QH","DRA")</f>
        <v>0</v>
      </c>
      <c r="AQ39" s="50">
        <f ca="1">+GETPIVOTDATA("XXB4",'xabang (2016)'!$A$3,"MA_HT","DCH","MA_QH","ONT")</f>
        <v>0</v>
      </c>
      <c r="AR39" s="50">
        <f ca="1">+GETPIVOTDATA("XXB4",'xabang (2016)'!$A$3,"MA_HT","DCH","MA_QH","ODT")</f>
        <v>0</v>
      </c>
      <c r="AS39" s="50">
        <f ca="1">+GETPIVOTDATA("XXB4",'xabang (2016)'!$A$3,"MA_HT","DCH","MA_QH","TSC")</f>
        <v>0</v>
      </c>
      <c r="AT39" s="50">
        <f ca="1">+GETPIVOTDATA("XXB4",'xabang (2016)'!$A$3,"MA_HT","DCH","MA_QH","DTS")</f>
        <v>0</v>
      </c>
      <c r="AU39" s="50">
        <f ca="1">+GETPIVOTDATA("XXB4",'xabang (2016)'!$A$3,"MA_HT","DCH","MA_QH","DNG")</f>
        <v>0</v>
      </c>
      <c r="AV39" s="50">
        <f ca="1">+GETPIVOTDATA("XXB4",'xabang (2016)'!$A$3,"MA_HT","DCH","MA_QH","TON")</f>
        <v>0</v>
      </c>
      <c r="AW39" s="50">
        <f ca="1">+GETPIVOTDATA("XXB4",'xabang (2016)'!$A$3,"MA_HT","DCH","MA_QH","NTD")</f>
        <v>0</v>
      </c>
      <c r="AX39" s="50">
        <f ca="1">+GETPIVOTDATA("XXB4",'xabang (2016)'!$A$3,"MA_HT","DCH","MA_QH","SKX")</f>
        <v>0</v>
      </c>
      <c r="AY39" s="50">
        <f ca="1">+GETPIVOTDATA("XXB4",'xabang (2016)'!$A$3,"MA_HT","DCH","MA_QH","DSH")</f>
        <v>0</v>
      </c>
      <c r="AZ39" s="50">
        <f ca="1">+GETPIVOTDATA("XXB4",'xabang (2016)'!$A$3,"MA_HT","DCH","MA_QH","DKV")</f>
        <v>0</v>
      </c>
      <c r="BA39" s="88">
        <f ca="1">+GETPIVOTDATA("XXB4",'xabang (2016)'!$A$3,"MA_HT","DCH","MA_QH","TIN")</f>
        <v>0</v>
      </c>
      <c r="BB39" s="50">
        <f ca="1">+GETPIVOTDATA("XXB4",'xabang (2016)'!$A$3,"MA_HT","DCH","MA_QH","SON")</f>
        <v>0</v>
      </c>
      <c r="BC39" s="50">
        <f ca="1">+GETPIVOTDATA("XXB4",'xabang (2016)'!$A$3,"MA_HT","DCH","MA_QH","MNC")</f>
        <v>0</v>
      </c>
      <c r="BD39" s="50">
        <f ca="1">+GETPIVOTDATA("XXB4",'xabang (2016)'!$A$3,"MA_HT","DCH","MA_QH","PNK")</f>
        <v>0</v>
      </c>
      <c r="BE39" s="80">
        <f ca="1">+GETPIVOTDATA("XXB4",'xabang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+GETPIVOTDATA("XXB4",'xabang (2016)'!$A$3,"MA_HT","DKG","MA_QH","LUC")</f>
        <v>0</v>
      </c>
      <c r="H40" s="50">
        <f ca="1">+GETPIVOTDATA("XXB4",'xabang (2016)'!$A$3,"MA_HT","DKG","MA_QH","LUK")</f>
        <v>0</v>
      </c>
      <c r="I40" s="50">
        <f ca="1">+GETPIVOTDATA("XXB4",'xabang (2016)'!$A$3,"MA_HT","DKG","MA_QH","LUN")</f>
        <v>0</v>
      </c>
      <c r="J40" s="50">
        <f ca="1">+GETPIVOTDATA("XXB4",'xabang (2016)'!$A$3,"MA_HT","DKG","MA_QH","HNK")</f>
        <v>0</v>
      </c>
      <c r="K40" s="50">
        <f ca="1">+GETPIVOTDATA("XXB4",'xabang (2016)'!$A$3,"MA_HT","DKG","MA_QH","CLN")</f>
        <v>0</v>
      </c>
      <c r="L40" s="50">
        <f ca="1">+GETPIVOTDATA("XXB4",'xabang (2016)'!$A$3,"MA_HT","DKG","MA_QH","RSX")</f>
        <v>0</v>
      </c>
      <c r="M40" s="50">
        <f ca="1">+GETPIVOTDATA("XXB4",'xabang (2016)'!$A$3,"MA_HT","DKG","MA_QH","RPH")</f>
        <v>0</v>
      </c>
      <c r="N40" s="50">
        <f ca="1">+GETPIVOTDATA("XXB4",'xabang (2016)'!$A$3,"MA_HT","DKG","MA_QH","RDD")</f>
        <v>0</v>
      </c>
      <c r="O40" s="50">
        <f ca="1">+GETPIVOTDATA("XXB4",'xabang (2016)'!$A$3,"MA_HT","DKG","MA_QH","NTS")</f>
        <v>0</v>
      </c>
      <c r="P40" s="50">
        <f ca="1">+GETPIVOTDATA("XXB4",'xabang (2016)'!$A$3,"MA_HT","DKG","MA_QH","LMU")</f>
        <v>0</v>
      </c>
      <c r="Q40" s="50">
        <f ca="1">+GETPIVOTDATA("XXB4",'xabang (2016)'!$A$3,"MA_HT","DKG","MA_QH","NKH")</f>
        <v>0</v>
      </c>
      <c r="R40" s="48">
        <f ca="1" t="shared" si="20"/>
        <v>0</v>
      </c>
      <c r="S40" s="50">
        <f ca="1">+GETPIVOTDATA("XXB4",'xabang (2016)'!$A$3,"MA_HT","DKG","MA_QH","CQP")</f>
        <v>0</v>
      </c>
      <c r="T40" s="50">
        <f ca="1">+GETPIVOTDATA("XXB4",'xabang (2016)'!$A$3,"MA_HT","DKG","MA_QH","CAN")</f>
        <v>0</v>
      </c>
      <c r="U40" s="50">
        <f ca="1">+GETPIVOTDATA("XXB4",'xabang (2016)'!$A$3,"MA_HT","DKG","MA_QH","SKK")</f>
        <v>0</v>
      </c>
      <c r="V40" s="50">
        <f ca="1">+GETPIVOTDATA("XXB4",'xabang (2016)'!$A$3,"MA_HT","DKG","MA_QH","SKT")</f>
        <v>0</v>
      </c>
      <c r="W40" s="50">
        <f ca="1">+GETPIVOTDATA("XXB4",'xabang (2016)'!$A$3,"MA_HT","DKG","MA_QH","SKN")</f>
        <v>0</v>
      </c>
      <c r="X40" s="50">
        <f ca="1">+GETPIVOTDATA("XXB4",'xabang (2016)'!$A$3,"MA_HT","DKG","MA_QH","TMD")</f>
        <v>0</v>
      </c>
      <c r="Y40" s="50">
        <f ca="1">+GETPIVOTDATA("XXB4",'xabang (2016)'!$A$3,"MA_HT","DKG","MA_QH","SKC")</f>
        <v>0</v>
      </c>
      <c r="Z40" s="50">
        <f ca="1">+GETPIVOTDATA("XXB4",'xabang (2016)'!$A$3,"MA_HT","DKG","MA_QH","SKS")</f>
        <v>0</v>
      </c>
      <c r="AA40" s="52">
        <f ca="1">+SUM(AB40:AL40)</f>
        <v>0</v>
      </c>
      <c r="AB40" s="50">
        <f ca="1">+GETPIVOTDATA("XXB4",'xabang (2016)'!$A$3,"MA_HT","DKG","MA_QH","DGT")</f>
        <v>0</v>
      </c>
      <c r="AC40" s="50">
        <f ca="1">+GETPIVOTDATA("XXB4",'xabang (2016)'!$A$3,"MA_HT","DKG","MA_QH","DTL")</f>
        <v>0</v>
      </c>
      <c r="AD40" s="50">
        <f ca="1">+GETPIVOTDATA("XXB4",'xabang (2016)'!$A$3,"MA_HT","DKG","MA_QH","DNL")</f>
        <v>0</v>
      </c>
      <c r="AE40" s="50">
        <f ca="1">+GETPIVOTDATA("XXB4",'xabang (2016)'!$A$3,"MA_HT","DKG","MA_QH","DBV")</f>
        <v>0</v>
      </c>
      <c r="AF40" s="50">
        <f ca="1">+GETPIVOTDATA("XXB4",'xabang (2016)'!$A$3,"MA_HT","DKG","MA_QH","DVH")</f>
        <v>0</v>
      </c>
      <c r="AG40" s="50">
        <f ca="1">+GETPIVOTDATA("XXB4",'xabang (2016)'!$A$3,"MA_HT","DKG","MA_QH","DYT")</f>
        <v>0</v>
      </c>
      <c r="AH40" s="50">
        <f ca="1">+GETPIVOTDATA("XXB4",'xabang (2016)'!$A$3,"MA_HT","DKG","MA_QH","DGD")</f>
        <v>0</v>
      </c>
      <c r="AI40" s="50">
        <f ca="1">+GETPIVOTDATA("XXB4",'xabang (2016)'!$A$3,"MA_HT","DKG","MA_QH","DTT")</f>
        <v>0</v>
      </c>
      <c r="AJ40" s="50">
        <f ca="1">+GETPIVOTDATA("XXB4",'xabang (2016)'!$A$3,"MA_HT","DKG","MA_QH","NCK")</f>
        <v>0</v>
      </c>
      <c r="AK40" s="50">
        <f ca="1">+GETPIVOTDATA("XXB4",'xabang (2016)'!$A$3,"MA_HT","DKG","MA_QH","DXH")</f>
        <v>0</v>
      </c>
      <c r="AL40" s="60">
        <f ca="1">+GETPIVOTDATA("XXB4",'xabang (2016)'!$A$3,"MA_HT","DDT","MA_QH","DKG")</f>
        <v>0</v>
      </c>
      <c r="AM40" s="49" t="e">
        <f ca="1">$D40-$BF40</f>
        <v>#REF!</v>
      </c>
      <c r="AN40" s="50">
        <f ca="1">+GETPIVOTDATA("XXB4",'xabang (2016)'!$A$3,"MA_HT","DKG","MA_QH","DDT")</f>
        <v>0</v>
      </c>
      <c r="AO40" s="50">
        <f ca="1">+GETPIVOTDATA("XXB4",'xabang (2016)'!$A$3,"MA_HT","DKG","MA_QH","DDL")</f>
        <v>0</v>
      </c>
      <c r="AP40" s="50">
        <f ca="1">+GETPIVOTDATA("XXB4",'xabang (2016)'!$A$3,"MA_HT","DKG","MA_QH","DRA")</f>
        <v>0</v>
      </c>
      <c r="AQ40" s="50">
        <f ca="1">+GETPIVOTDATA("XXB4",'xabang (2016)'!$A$3,"MA_HT","DKG","MA_QH","ONT")</f>
        <v>0</v>
      </c>
      <c r="AR40" s="50">
        <f ca="1">+GETPIVOTDATA("XXB4",'xabang (2016)'!$A$3,"MA_HT","DKG","MA_QH","ODT")</f>
        <v>0</v>
      </c>
      <c r="AS40" s="50">
        <f ca="1">+GETPIVOTDATA("XXB4",'xabang (2016)'!$A$3,"MA_HT","DKG","MA_QH","TSC")</f>
        <v>0</v>
      </c>
      <c r="AT40" s="50">
        <f ca="1">+GETPIVOTDATA("XXB4",'xabang (2016)'!$A$3,"MA_HT","DKG","MA_QH","DTS")</f>
        <v>0</v>
      </c>
      <c r="AU40" s="50">
        <f ca="1">+GETPIVOTDATA("XXB4",'xabang (2016)'!$A$3,"MA_HT","DKG","MA_QH","DNG")</f>
        <v>0</v>
      </c>
      <c r="AV40" s="50">
        <f ca="1">+GETPIVOTDATA("XXB4",'xabang (2016)'!$A$3,"MA_HT","DKG","MA_QH","TON")</f>
        <v>0</v>
      </c>
      <c r="AW40" s="50">
        <f ca="1">+GETPIVOTDATA("XXB4",'xabang (2016)'!$A$3,"MA_HT","DKG","MA_QH","NTD")</f>
        <v>0</v>
      </c>
      <c r="AX40" s="50">
        <f ca="1">+GETPIVOTDATA("XXB4",'xabang (2016)'!$A$3,"MA_HT","DKG","MA_QH","SKX")</f>
        <v>0</v>
      </c>
      <c r="AY40" s="50">
        <f ca="1">+GETPIVOTDATA("XXB4",'xabang (2016)'!$A$3,"MA_HT","DKG","MA_QH","DSH")</f>
        <v>0</v>
      </c>
      <c r="AZ40" s="50">
        <f ca="1">+GETPIVOTDATA("XXB4",'xabang (2016)'!$A$3,"MA_HT","DKG","MA_QH","DKV")</f>
        <v>0</v>
      </c>
      <c r="BA40" s="88">
        <f ca="1">+GETPIVOTDATA("XXB4",'xabang (2016)'!$A$3,"MA_HT","DKG","MA_QH","TIN")</f>
        <v>0</v>
      </c>
      <c r="BB40" s="50">
        <f ca="1">+GETPIVOTDATA("XXB4",'xabang (2016)'!$A$3,"MA_HT","DKG","MA_QH","SON")</f>
        <v>0</v>
      </c>
      <c r="BC40" s="50">
        <f ca="1">+GETPIVOTDATA("XXB4",'xabang (2016)'!$A$3,"MA_HT","DKG","MA_QH","MNC")</f>
        <v>0</v>
      </c>
      <c r="BD40" s="50">
        <f ca="1">+GETPIVOTDATA("XXB4",'xabang (2016)'!$A$3,"MA_HT","DKG","MA_QH","PNK")</f>
        <v>0</v>
      </c>
      <c r="BE40" s="80">
        <f ca="1">+GETPIVOTDATA("XXB4",'xabang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+GETPIVOTDATA("XXB4",'xabang (2016)'!$A$3,"MA_HT","DDT","MA_QH","LUC")</f>
        <v>0</v>
      </c>
      <c r="H41" s="60">
        <f ca="1">+GETPIVOTDATA("XXB4",'xabang (2016)'!$A$3,"MA_HT","DDT","MA_QH","LUK")</f>
        <v>0</v>
      </c>
      <c r="I41" s="60">
        <f ca="1">+GETPIVOTDATA("XXB4",'xabang (2016)'!$A$3,"MA_HT","DDT","MA_QH","LUN")</f>
        <v>0</v>
      </c>
      <c r="J41" s="60">
        <f ca="1">+GETPIVOTDATA("XXB4",'xabang (2016)'!$A$3,"MA_HT","DDT","MA_QH","HNK")</f>
        <v>0</v>
      </c>
      <c r="K41" s="60">
        <f ca="1">+GETPIVOTDATA("XXB4",'xabang (2016)'!$A$3,"MA_HT","DDT","MA_QH","CLN")</f>
        <v>0</v>
      </c>
      <c r="L41" s="60">
        <f ca="1">+GETPIVOTDATA("XXB4",'xabang (2016)'!$A$3,"MA_HT","DDT","MA_QH","RSX")</f>
        <v>0</v>
      </c>
      <c r="M41" s="60">
        <f ca="1">+GETPIVOTDATA("XXB4",'xabang (2016)'!$A$3,"MA_HT","DDT","MA_QH","RPH")</f>
        <v>0</v>
      </c>
      <c r="N41" s="60">
        <f ca="1">+GETPIVOTDATA("XXB4",'xabang (2016)'!$A$3,"MA_HT","DDT","MA_QH","RDD")</f>
        <v>0</v>
      </c>
      <c r="O41" s="60">
        <f ca="1">+GETPIVOTDATA("XXB4",'xabang (2016)'!$A$3,"MA_HT","DDT","MA_QH","NTS")</f>
        <v>0</v>
      </c>
      <c r="P41" s="60">
        <f ca="1">+GETPIVOTDATA("XXB4",'xabang (2016)'!$A$3,"MA_HT","DDT","MA_QH","LMU")</f>
        <v>0</v>
      </c>
      <c r="Q41" s="60">
        <f ca="1">+GETPIVOTDATA("XXB4",'xabang (2016)'!$A$3,"MA_HT","DDT","MA_QH","NKH")</f>
        <v>0</v>
      </c>
      <c r="R41" s="78">
        <f ca="1">SUM(S41:AA41,AO41:BD41)</f>
        <v>0</v>
      </c>
      <c r="S41" s="60">
        <f ca="1">+GETPIVOTDATA("XXB4",'xabang (2016)'!$A$3,"MA_HT","DDT","MA_QH","CQP")</f>
        <v>0</v>
      </c>
      <c r="T41" s="60">
        <f ca="1">+GETPIVOTDATA("XXB4",'xabang (2016)'!$A$3,"MA_HT","DDT","MA_QH","CAN")</f>
        <v>0</v>
      </c>
      <c r="U41" s="60">
        <f ca="1">+GETPIVOTDATA("XXB4",'xabang (2016)'!$A$3,"MA_HT","DDT","MA_QH","SKK")</f>
        <v>0</v>
      </c>
      <c r="V41" s="60">
        <f ca="1">+GETPIVOTDATA("XXB4",'xabang (2016)'!$A$3,"MA_HT","DDT","MA_QH","SKT")</f>
        <v>0</v>
      </c>
      <c r="W41" s="60">
        <f ca="1">+GETPIVOTDATA("XXB4",'xabang (2016)'!$A$3,"MA_HT","DDT","MA_QH","SKN")</f>
        <v>0</v>
      </c>
      <c r="X41" s="60">
        <f ca="1">+GETPIVOTDATA("XXB4",'xabang (2016)'!$A$3,"MA_HT","DDT","MA_QH","TMD")</f>
        <v>0</v>
      </c>
      <c r="Y41" s="60">
        <f ca="1">+GETPIVOTDATA("XXB4",'xabang (2016)'!$A$3,"MA_HT","DDT","MA_QH","SKC")</f>
        <v>0</v>
      </c>
      <c r="Z41" s="60">
        <f ca="1">+GETPIVOTDATA("XXB4",'xabang (2016)'!$A$3,"MA_HT","DDT","MA_QH","SKS")</f>
        <v>0</v>
      </c>
      <c r="AA41" s="59">
        <f ca="1" t="shared" ref="AA41:AA58" si="21">+SUM(AB41:AM41)</f>
        <v>0</v>
      </c>
      <c r="AB41" s="60">
        <f ca="1">+GETPIVOTDATA("XXB4",'xabang (2016)'!$A$3,"MA_HT","DDT","MA_QH","DGT")</f>
        <v>0</v>
      </c>
      <c r="AC41" s="60">
        <f ca="1">+GETPIVOTDATA("XXB4",'xabang (2016)'!$A$3,"MA_HT","DDT","MA_QH","DTL")</f>
        <v>0</v>
      </c>
      <c r="AD41" s="60">
        <f ca="1">+GETPIVOTDATA("XXB4",'xabang (2016)'!$A$3,"MA_HT","DDT","MA_QH","DNL")</f>
        <v>0</v>
      </c>
      <c r="AE41" s="60">
        <f ca="1">+GETPIVOTDATA("XXB4",'xabang (2016)'!$A$3,"MA_HT","DDT","MA_QH","DBV")</f>
        <v>0</v>
      </c>
      <c r="AF41" s="60">
        <f ca="1">+GETPIVOTDATA("XXB4",'xabang (2016)'!$A$3,"MA_HT","DDT","MA_QH","DVH")</f>
        <v>0</v>
      </c>
      <c r="AG41" s="60">
        <f ca="1">+GETPIVOTDATA("XXB4",'xabang (2016)'!$A$3,"MA_HT","DDT","MA_QH","DYT")</f>
        <v>0</v>
      </c>
      <c r="AH41" s="60">
        <f ca="1">+GETPIVOTDATA("XXB4",'xabang (2016)'!$A$3,"MA_HT","DDT","MA_QH","DGD")</f>
        <v>0</v>
      </c>
      <c r="AI41" s="60">
        <f ca="1">+GETPIVOTDATA("XXB4",'xabang (2016)'!$A$3,"MA_HT","DDT","MA_QH","DTT")</f>
        <v>0</v>
      </c>
      <c r="AJ41" s="60">
        <f ca="1">+GETPIVOTDATA("XXB4",'xabang (2016)'!$A$3,"MA_HT","DDT","MA_QH","NCK")</f>
        <v>0</v>
      </c>
      <c r="AK41" s="60">
        <f ca="1">+GETPIVOTDATA("XXB4",'xabang (2016)'!$A$3,"MA_HT","DDT","MA_QH","DXH")</f>
        <v>0</v>
      </c>
      <c r="AL41" s="60">
        <f ca="1">+GETPIVOTDATA("XXB4",'xabang (2016)'!$A$3,"MA_HT","DDT","MA_QH","DCH")</f>
        <v>0</v>
      </c>
      <c r="AM41" s="60">
        <f ca="1">+GETPIVOTDATA("XXB4",'xabang (2016)'!$A$3,"MA_HT","DDT","MA_QH","DKG")</f>
        <v>0</v>
      </c>
      <c r="AN41" s="81" t="e">
        <f ca="1">$D41-$BF41</f>
        <v>#REF!</v>
      </c>
      <c r="AO41" s="60">
        <f ca="1">+GETPIVOTDATA("XXB4",'xabang (2016)'!$A$3,"MA_HT","DDT","MA_QH","DDL")</f>
        <v>0</v>
      </c>
      <c r="AP41" s="60">
        <f ca="1">+GETPIVOTDATA("XXB4",'xabang (2016)'!$A$3,"MA_HT","DDT","MA_QH","DRA")</f>
        <v>0</v>
      </c>
      <c r="AQ41" s="60">
        <f ca="1">+GETPIVOTDATA("XXB4",'xabang (2016)'!$A$3,"MA_HT","DDT","MA_QH","ONT")</f>
        <v>0</v>
      </c>
      <c r="AR41" s="60">
        <f ca="1">+GETPIVOTDATA("XXB4",'xabang (2016)'!$A$3,"MA_HT","DDT","MA_QH","ODT")</f>
        <v>0</v>
      </c>
      <c r="AS41" s="60">
        <f ca="1">+GETPIVOTDATA("XXB4",'xabang (2016)'!$A$3,"MA_HT","DDT","MA_QH","TSC")</f>
        <v>0</v>
      </c>
      <c r="AT41" s="60">
        <f ca="1">+GETPIVOTDATA("XXB4",'xabang (2016)'!$A$3,"MA_HT","DDT","MA_QH","DTS")</f>
        <v>0</v>
      </c>
      <c r="AU41" s="60">
        <f ca="1">+GETPIVOTDATA("XXB4",'xabang (2016)'!$A$3,"MA_HT","DDT","MA_QH","DNG")</f>
        <v>0</v>
      </c>
      <c r="AV41" s="60">
        <f ca="1">+GETPIVOTDATA("XXB4",'xabang (2016)'!$A$3,"MA_HT","DDT","MA_QH","TON")</f>
        <v>0</v>
      </c>
      <c r="AW41" s="60">
        <f ca="1">+GETPIVOTDATA("XXB4",'xabang (2016)'!$A$3,"MA_HT","DDT","MA_QH","NTD")</f>
        <v>0</v>
      </c>
      <c r="AX41" s="60">
        <f ca="1">+GETPIVOTDATA("XXB4",'xabang (2016)'!$A$3,"MA_HT","DDT","MA_QH","SKX")</f>
        <v>0</v>
      </c>
      <c r="AY41" s="60">
        <f ca="1">+GETPIVOTDATA("XXB4",'xabang (2016)'!$A$3,"MA_HT","DDT","MA_QH","DSH")</f>
        <v>0</v>
      </c>
      <c r="AZ41" s="60">
        <f ca="1">+GETPIVOTDATA("XXB4",'xabang (2016)'!$A$3,"MA_HT","DDT","MA_QH","DKV")</f>
        <v>0</v>
      </c>
      <c r="BA41" s="90">
        <f ca="1">+GETPIVOTDATA("XXB4",'xabang (2016)'!$A$3,"MA_HT","DDT","MA_QH","TIN")</f>
        <v>0</v>
      </c>
      <c r="BB41" s="91">
        <f ca="1">+GETPIVOTDATA("XXB4",'xabang (2016)'!$A$3,"MA_HT","DDT","MA_QH","SON")</f>
        <v>0</v>
      </c>
      <c r="BC41" s="91">
        <f ca="1">+GETPIVOTDATA("XXB4",'xabang (2016)'!$A$3,"MA_HT","DDT","MA_QH","MNC")</f>
        <v>0</v>
      </c>
      <c r="BD41" s="60">
        <f ca="1">+GETPIVOTDATA("XXB4",'xabang (2016)'!$A$3,"MA_HT","DDT","MA_QH","PNK")</f>
        <v>0</v>
      </c>
      <c r="BE41" s="111">
        <f ca="1">+GETPIVOTDATA("XXB4",'xabang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+GETPIVOTDATA("XXB4",'xabang (2016)'!$A$3,"MA_HT","DDL","MA_QH","LUC")</f>
        <v>0</v>
      </c>
      <c r="H42" s="22">
        <f ca="1">+GETPIVOTDATA("XXB4",'xabang (2016)'!$A$3,"MA_HT","DDL","MA_QH","LUK")</f>
        <v>0</v>
      </c>
      <c r="I42" s="22">
        <f ca="1">+GETPIVOTDATA("XXB4",'xabang (2016)'!$A$3,"MA_HT","DDL","MA_QH","LUN")</f>
        <v>0</v>
      </c>
      <c r="J42" s="22">
        <f ca="1">+GETPIVOTDATA("XXB4",'xabang (2016)'!$A$3,"MA_HT","DDL","MA_QH","HNK")</f>
        <v>0</v>
      </c>
      <c r="K42" s="22">
        <f ca="1">+GETPIVOTDATA("XXB4",'xabang (2016)'!$A$3,"MA_HT","DDL","MA_QH","CLN")</f>
        <v>0</v>
      </c>
      <c r="L42" s="22">
        <f ca="1">+GETPIVOTDATA("XXB4",'xabang (2016)'!$A$3,"MA_HT","DDL","MA_QH","RSX")</f>
        <v>0</v>
      </c>
      <c r="M42" s="22">
        <f ca="1">+GETPIVOTDATA("XXB4",'xabang (2016)'!$A$3,"MA_HT","DDL","MA_QH","RPH")</f>
        <v>0</v>
      </c>
      <c r="N42" s="22">
        <f ca="1">+GETPIVOTDATA("XXB4",'xabang (2016)'!$A$3,"MA_HT","DDL","MA_QH","RDD")</f>
        <v>0</v>
      </c>
      <c r="O42" s="22">
        <f ca="1">+GETPIVOTDATA("XXB4",'xabang (2016)'!$A$3,"MA_HT","DDL","MA_QH","NTS")</f>
        <v>0</v>
      </c>
      <c r="P42" s="22">
        <f ca="1">+GETPIVOTDATA("XXB4",'xabang (2016)'!$A$3,"MA_HT","DDL","MA_QH","LMU")</f>
        <v>0</v>
      </c>
      <c r="Q42" s="22">
        <f ca="1">+GETPIVOTDATA("XXB4",'xabang (2016)'!$A$3,"MA_HT","DDL","MA_QH","NKH")</f>
        <v>0</v>
      </c>
      <c r="R42" s="79">
        <f ca="1">SUM(S42:AA42,AN42,AP42:BD42)</f>
        <v>0</v>
      </c>
      <c r="S42" s="22">
        <f ca="1">+GETPIVOTDATA("XXB4",'xabang (2016)'!$A$3,"MA_HT","DDL","MA_QH","CQP")</f>
        <v>0</v>
      </c>
      <c r="T42" s="22">
        <f ca="1">+GETPIVOTDATA("XXB4",'xabang (2016)'!$A$3,"MA_HT","DDL","MA_QH","CAN")</f>
        <v>0</v>
      </c>
      <c r="U42" s="22">
        <f ca="1">+GETPIVOTDATA("XXB4",'xabang (2016)'!$A$3,"MA_HT","DDL","MA_QH","SKK")</f>
        <v>0</v>
      </c>
      <c r="V42" s="22">
        <f ca="1">+GETPIVOTDATA("XXB4",'xabang (2016)'!$A$3,"MA_HT","DDL","MA_QH","SKT")</f>
        <v>0</v>
      </c>
      <c r="W42" s="22">
        <f ca="1">+GETPIVOTDATA("XXB4",'xabang (2016)'!$A$3,"MA_HT","DDL","MA_QH","SKN")</f>
        <v>0</v>
      </c>
      <c r="X42" s="22">
        <f ca="1">+GETPIVOTDATA("XXB4",'xabang (2016)'!$A$3,"MA_HT","DDL","MA_QH","TMD")</f>
        <v>0</v>
      </c>
      <c r="Y42" s="22">
        <f ca="1">+GETPIVOTDATA("XXB4",'xabang (2016)'!$A$3,"MA_HT","DDL","MA_QH","SKC")</f>
        <v>0</v>
      </c>
      <c r="Z42" s="22">
        <f ca="1">+GETPIVOTDATA("XXB4",'xabang (2016)'!$A$3,"MA_HT","DDL","MA_QH","SKS")</f>
        <v>0</v>
      </c>
      <c r="AA42" s="52">
        <f ca="1" t="shared" si="21"/>
        <v>0</v>
      </c>
      <c r="AB42" s="22">
        <f ca="1">+GETPIVOTDATA("XXB4",'xabang (2016)'!$A$3,"MA_HT","DDL","MA_QH","DGT")</f>
        <v>0</v>
      </c>
      <c r="AC42" s="22">
        <f ca="1">+GETPIVOTDATA("XXB4",'xabang (2016)'!$A$3,"MA_HT","DDL","MA_QH","DTL")</f>
        <v>0</v>
      </c>
      <c r="AD42" s="22">
        <f ca="1">+GETPIVOTDATA("XXB4",'xabang (2016)'!$A$3,"MA_HT","DDL","MA_QH","DNL")</f>
        <v>0</v>
      </c>
      <c r="AE42" s="22">
        <f ca="1">+GETPIVOTDATA("XXB4",'xabang (2016)'!$A$3,"MA_HT","DDL","MA_QH","DBV")</f>
        <v>0</v>
      </c>
      <c r="AF42" s="22">
        <f ca="1">+GETPIVOTDATA("XXB4",'xabang (2016)'!$A$3,"MA_HT","DDL","MA_QH","DVH")</f>
        <v>0</v>
      </c>
      <c r="AG42" s="22">
        <f ca="1">+GETPIVOTDATA("XXB4",'xabang (2016)'!$A$3,"MA_HT","DDL","MA_QH","DYT")</f>
        <v>0</v>
      </c>
      <c r="AH42" s="22">
        <f ca="1">+GETPIVOTDATA("XXB4",'xabang (2016)'!$A$3,"MA_HT","DDL","MA_QH","DGD")</f>
        <v>0</v>
      </c>
      <c r="AI42" s="22">
        <f ca="1">+GETPIVOTDATA("XXB4",'xabang (2016)'!$A$3,"MA_HT","DDL","MA_QH","DTT")</f>
        <v>0</v>
      </c>
      <c r="AJ42" s="22">
        <f ca="1">+GETPIVOTDATA("XXB4",'xabang (2016)'!$A$3,"MA_HT","DDL","MA_QH","NCK")</f>
        <v>0</v>
      </c>
      <c r="AK42" s="22">
        <f ca="1">+GETPIVOTDATA("XXB4",'xabang (2016)'!$A$3,"MA_HT","DDL","MA_QH","DXH")</f>
        <v>0</v>
      </c>
      <c r="AL42" s="22">
        <f ca="1">+GETPIVOTDATA("XXB4",'xabang (2016)'!$A$3,"MA_HT","DDL","MA_QH","DCH")</f>
        <v>0</v>
      </c>
      <c r="AM42" s="22">
        <f ca="1">+GETPIVOTDATA("XXB4",'xabang (2016)'!$A$3,"MA_HT","DDL","MA_QH","DKG")</f>
        <v>0</v>
      </c>
      <c r="AN42" s="22">
        <f ca="1">+GETPIVOTDATA("XXB4",'xabang (2016)'!$A$3,"MA_HT","DDL","MA_QH","DDT")</f>
        <v>0</v>
      </c>
      <c r="AO42" s="43" t="e">
        <f ca="1">$D42-$BF42</f>
        <v>#REF!</v>
      </c>
      <c r="AP42" s="22">
        <f ca="1">+GETPIVOTDATA("XXB4",'xabang (2016)'!$A$3,"MA_HT","DDL","MA_QH","DRA")</f>
        <v>0</v>
      </c>
      <c r="AQ42" s="22">
        <f ca="1">+GETPIVOTDATA("XXB4",'xabang (2016)'!$A$3,"MA_HT","DDL","MA_QH","ONT")</f>
        <v>0</v>
      </c>
      <c r="AR42" s="22">
        <f ca="1">+GETPIVOTDATA("XXB4",'xabang (2016)'!$A$3,"MA_HT","DDL","MA_QH","ODT")</f>
        <v>0</v>
      </c>
      <c r="AS42" s="22">
        <f ca="1">+GETPIVOTDATA("XXB4",'xabang (2016)'!$A$3,"MA_HT","DDL","MA_QH","TSC")</f>
        <v>0</v>
      </c>
      <c r="AT42" s="22">
        <f ca="1">+GETPIVOTDATA("XXB4",'xabang (2016)'!$A$3,"MA_HT","DDL","MA_QH","DTS")</f>
        <v>0</v>
      </c>
      <c r="AU42" s="22">
        <f ca="1">+GETPIVOTDATA("XXB4",'xabang (2016)'!$A$3,"MA_HT","DDL","MA_QH","DNG")</f>
        <v>0</v>
      </c>
      <c r="AV42" s="22">
        <f ca="1">+GETPIVOTDATA("XXB4",'xabang (2016)'!$A$3,"MA_HT","DDL","MA_QH","TON")</f>
        <v>0</v>
      </c>
      <c r="AW42" s="22">
        <f ca="1">+GETPIVOTDATA("XXB4",'xabang (2016)'!$A$3,"MA_HT","DDL","MA_QH","NTD")</f>
        <v>0</v>
      </c>
      <c r="AX42" s="22">
        <f ca="1">+GETPIVOTDATA("XXB4",'xabang (2016)'!$A$3,"MA_HT","DDL","MA_QH","SKX")</f>
        <v>0</v>
      </c>
      <c r="AY42" s="22">
        <f ca="1">+GETPIVOTDATA("XXB4",'xabang (2016)'!$A$3,"MA_HT","DDL","MA_QH","DSH")</f>
        <v>0</v>
      </c>
      <c r="AZ42" s="22">
        <f ca="1">+GETPIVOTDATA("XXB4",'xabang (2016)'!$A$3,"MA_HT","DDL","MA_QH","DKV")</f>
        <v>0</v>
      </c>
      <c r="BA42" s="89">
        <f ca="1">+GETPIVOTDATA("XXB4",'xabang (2016)'!$A$3,"MA_HT","DDL","MA_QH","TIN")</f>
        <v>0</v>
      </c>
      <c r="BB42" s="50">
        <f ca="1">+GETPIVOTDATA("XXB4",'xabang (2016)'!$A$3,"MA_HT","DDL","MA_QH","SON")</f>
        <v>0</v>
      </c>
      <c r="BC42" s="50">
        <f ca="1">+GETPIVOTDATA("XXB4",'xabang (2016)'!$A$3,"MA_HT","DDL","MA_QH","MNC")</f>
        <v>0</v>
      </c>
      <c r="BD42" s="22">
        <f ca="1">+GETPIVOTDATA("XXB4",'xabang (2016)'!$A$3,"MA_HT","DDL","MA_QH","PNK")</f>
        <v>0</v>
      </c>
      <c r="BE42" s="71">
        <f ca="1">+GETPIVOTDATA("XXB4",'xabang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+GETPIVOTDATA("XXB4",'xabang (2016)'!$A$3,"MA_HT","DRA","MA_QH","LUC")</f>
        <v>0</v>
      </c>
      <c r="H43" s="22">
        <f ca="1">+GETPIVOTDATA("XXB4",'xabang (2016)'!$A$3,"MA_HT","DRA","MA_QH","LUK")</f>
        <v>0</v>
      </c>
      <c r="I43" s="22">
        <f ca="1">+GETPIVOTDATA("XXB4",'xabang (2016)'!$A$3,"MA_HT","DRA","MA_QH","LUN")</f>
        <v>0</v>
      </c>
      <c r="J43" s="22">
        <f ca="1">+GETPIVOTDATA("XXB4",'xabang (2016)'!$A$3,"MA_HT","DRA","MA_QH","HNK")</f>
        <v>0</v>
      </c>
      <c r="K43" s="22">
        <f ca="1">+GETPIVOTDATA("XXB4",'xabang (2016)'!$A$3,"MA_HT","DRA","MA_QH","CLN")</f>
        <v>0</v>
      </c>
      <c r="L43" s="22">
        <f ca="1">+GETPIVOTDATA("XXB4",'xabang (2016)'!$A$3,"MA_HT","DRA","MA_QH","RSX")</f>
        <v>0</v>
      </c>
      <c r="M43" s="22">
        <f ca="1">+GETPIVOTDATA("XXB4",'xabang (2016)'!$A$3,"MA_HT","DRA","MA_QH","RPH")</f>
        <v>0</v>
      </c>
      <c r="N43" s="22">
        <f ca="1">+GETPIVOTDATA("XXB4",'xabang (2016)'!$A$3,"MA_HT","DRA","MA_QH","RDD")</f>
        <v>0</v>
      </c>
      <c r="O43" s="22">
        <f ca="1">+GETPIVOTDATA("XXB4",'xabang (2016)'!$A$3,"MA_HT","DRA","MA_QH","NTS")</f>
        <v>0</v>
      </c>
      <c r="P43" s="22">
        <f ca="1">+GETPIVOTDATA("XXB4",'xabang (2016)'!$A$3,"MA_HT","DRA","MA_QH","LMU")</f>
        <v>0</v>
      </c>
      <c r="Q43" s="22">
        <f ca="1">+GETPIVOTDATA("XXB4",'xabang (2016)'!$A$3,"MA_HT","DRA","MA_QH","NKH")</f>
        <v>0</v>
      </c>
      <c r="R43" s="79">
        <f ca="1">SUM(S43:AA43,AN43:AO43,AQ43:BD43)</f>
        <v>0</v>
      </c>
      <c r="S43" s="22">
        <f ca="1">+GETPIVOTDATA("XXB4",'xabang (2016)'!$A$3,"MA_HT","DRA","MA_QH","CQP")</f>
        <v>0</v>
      </c>
      <c r="T43" s="22">
        <f ca="1">+GETPIVOTDATA("XXB4",'xabang (2016)'!$A$3,"MA_HT","DRA","MA_QH","CAN")</f>
        <v>0</v>
      </c>
      <c r="U43" s="22">
        <f ca="1">+GETPIVOTDATA("XXB4",'xabang (2016)'!$A$3,"MA_HT","DRA","MA_QH","SKK")</f>
        <v>0</v>
      </c>
      <c r="V43" s="22">
        <f ca="1">+GETPIVOTDATA("XXB4",'xabang (2016)'!$A$3,"MA_HT","DRA","MA_QH","SKT")</f>
        <v>0</v>
      </c>
      <c r="W43" s="22">
        <f ca="1">+GETPIVOTDATA("XXB4",'xabang (2016)'!$A$3,"MA_HT","DRA","MA_QH","SKN")</f>
        <v>0</v>
      </c>
      <c r="X43" s="22">
        <f ca="1">+GETPIVOTDATA("XXB4",'xabang (2016)'!$A$3,"MA_HT","DRA","MA_QH","TMD")</f>
        <v>0</v>
      </c>
      <c r="Y43" s="22">
        <f ca="1">+GETPIVOTDATA("XXB4",'xabang (2016)'!$A$3,"MA_HT","DRA","MA_QH","SKC")</f>
        <v>0</v>
      </c>
      <c r="Z43" s="22">
        <f ca="1">+GETPIVOTDATA("XXB4",'xabang (2016)'!$A$3,"MA_HT","DRA","MA_QH","SKS")</f>
        <v>0</v>
      </c>
      <c r="AA43" s="52">
        <f ca="1" t="shared" si="21"/>
        <v>0</v>
      </c>
      <c r="AB43" s="22">
        <f ca="1">+GETPIVOTDATA("XXB4",'xabang (2016)'!$A$3,"MA_HT","DRA","MA_QH","DGT")</f>
        <v>0</v>
      </c>
      <c r="AC43" s="22">
        <f ca="1">+GETPIVOTDATA("XXB4",'xabang (2016)'!$A$3,"MA_HT","DRA","MA_QH","DTL")</f>
        <v>0</v>
      </c>
      <c r="AD43" s="22">
        <f ca="1">+GETPIVOTDATA("XXB4",'xabang (2016)'!$A$3,"MA_HT","DRA","MA_QH","DNL")</f>
        <v>0</v>
      </c>
      <c r="AE43" s="22">
        <f ca="1">+GETPIVOTDATA("XXB4",'xabang (2016)'!$A$3,"MA_HT","DRA","MA_QH","DBV")</f>
        <v>0</v>
      </c>
      <c r="AF43" s="22">
        <f ca="1">+GETPIVOTDATA("XXB4",'xabang (2016)'!$A$3,"MA_HT","DRA","MA_QH","DVH")</f>
        <v>0</v>
      </c>
      <c r="AG43" s="22">
        <f ca="1">+GETPIVOTDATA("XXB4",'xabang (2016)'!$A$3,"MA_HT","DRA","MA_QH","DYT")</f>
        <v>0</v>
      </c>
      <c r="AH43" s="22">
        <f ca="1">+GETPIVOTDATA("XXB4",'xabang (2016)'!$A$3,"MA_HT","DRA","MA_QH","DGD")</f>
        <v>0</v>
      </c>
      <c r="AI43" s="22">
        <f ca="1">+GETPIVOTDATA("XXB4",'xabang (2016)'!$A$3,"MA_HT","DRA","MA_QH","DTT")</f>
        <v>0</v>
      </c>
      <c r="AJ43" s="22">
        <f ca="1">+GETPIVOTDATA("XXB4",'xabang (2016)'!$A$3,"MA_HT","DRA","MA_QH","NCK")</f>
        <v>0</v>
      </c>
      <c r="AK43" s="22">
        <f ca="1">+GETPIVOTDATA("XXB4",'xabang (2016)'!$A$3,"MA_HT","DRA","MA_QH","DXH")</f>
        <v>0</v>
      </c>
      <c r="AL43" s="22">
        <f ca="1">+GETPIVOTDATA("XXB4",'xabang (2016)'!$A$3,"MA_HT","DRA","MA_QH","DCH")</f>
        <v>0</v>
      </c>
      <c r="AM43" s="22">
        <f ca="1">+GETPIVOTDATA("XXB4",'xabang (2016)'!$A$3,"MA_HT","DRA","MA_QH","DKG")</f>
        <v>0</v>
      </c>
      <c r="AN43" s="22">
        <f ca="1">+GETPIVOTDATA("XXB4",'xabang (2016)'!$A$3,"MA_HT","DRA","MA_QH","DDT")</f>
        <v>0</v>
      </c>
      <c r="AO43" s="22">
        <f ca="1">+GETPIVOTDATA("XXB4",'xabang (2016)'!$A$3,"MA_HT","DRA","MA_QH","DDL")</f>
        <v>0</v>
      </c>
      <c r="AP43" s="43" t="e">
        <f ca="1">$D43-$BF43</f>
        <v>#REF!</v>
      </c>
      <c r="AQ43" s="22">
        <f ca="1">+GETPIVOTDATA("XXB4",'xabang (2016)'!$A$3,"MA_HT","DRA","MA_QH","ONT")</f>
        <v>0</v>
      </c>
      <c r="AR43" s="22">
        <f ca="1">+GETPIVOTDATA("XXB4",'xabang (2016)'!$A$3,"MA_HT","DRA","MA_QH","ODT")</f>
        <v>0</v>
      </c>
      <c r="AS43" s="22">
        <f ca="1">+GETPIVOTDATA("XXB4",'xabang (2016)'!$A$3,"MA_HT","DRA","MA_QH","TSC")</f>
        <v>0</v>
      </c>
      <c r="AT43" s="22">
        <f ca="1">+GETPIVOTDATA("XXB4",'xabang (2016)'!$A$3,"MA_HT","DRA","MA_QH","DTS")</f>
        <v>0</v>
      </c>
      <c r="AU43" s="22">
        <f ca="1">+GETPIVOTDATA("XXB4",'xabang (2016)'!$A$3,"MA_HT","DRA","MA_QH","DNG")</f>
        <v>0</v>
      </c>
      <c r="AV43" s="22">
        <f ca="1">+GETPIVOTDATA("XXB4",'xabang (2016)'!$A$3,"MA_HT","DRA","MA_QH","TON")</f>
        <v>0</v>
      </c>
      <c r="AW43" s="22">
        <f ca="1">+GETPIVOTDATA("XXB4",'xabang (2016)'!$A$3,"MA_HT","DRA","MA_QH","NTD")</f>
        <v>0</v>
      </c>
      <c r="AX43" s="22">
        <f ca="1">+GETPIVOTDATA("XXB4",'xabang (2016)'!$A$3,"MA_HT","DRA","MA_QH","SKX")</f>
        <v>0</v>
      </c>
      <c r="AY43" s="22">
        <f ca="1">+GETPIVOTDATA("XXB4",'xabang (2016)'!$A$3,"MA_HT","DRA","MA_QH","DSH")</f>
        <v>0</v>
      </c>
      <c r="AZ43" s="22">
        <f ca="1">+GETPIVOTDATA("XXB4",'xabang (2016)'!$A$3,"MA_HT","DRA","MA_QH","DKV")</f>
        <v>0</v>
      </c>
      <c r="BA43" s="89">
        <f ca="1">+GETPIVOTDATA("XXB4",'xabang (2016)'!$A$3,"MA_HT","DRA","MA_QH","TIN")</f>
        <v>0</v>
      </c>
      <c r="BB43" s="50">
        <f ca="1">+GETPIVOTDATA("XXB4",'xabang (2016)'!$A$3,"MA_HT","DRA","MA_QH","SON")</f>
        <v>0</v>
      </c>
      <c r="BC43" s="50">
        <f ca="1">+GETPIVOTDATA("XXB4",'xabang (2016)'!$A$3,"MA_HT","DRA","MA_QH","MNC")</f>
        <v>0</v>
      </c>
      <c r="BD43" s="22">
        <f ca="1">+GETPIVOTDATA("XXB4",'xabang (2016)'!$A$3,"MA_HT","DRA","MA_QH","PNK")</f>
        <v>0</v>
      </c>
      <c r="BE43" s="71">
        <f ca="1">+GETPIVOTDATA("XXB4",'xabang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+GETPIVOTDATA("XXB4",'xabang (2016)'!$A$3,"MA_HT","ONT","MA_QH","LUC")</f>
        <v>0</v>
      </c>
      <c r="H44" s="22">
        <f ca="1">+GETPIVOTDATA("XXB4",'xabang (2016)'!$A$3,"MA_HT","ONT","MA_QH","LUK")</f>
        <v>0</v>
      </c>
      <c r="I44" s="22">
        <f ca="1">+GETPIVOTDATA("XXB4",'xabang (2016)'!$A$3,"MA_HT","ONT","MA_QH","LUN")</f>
        <v>0</v>
      </c>
      <c r="J44" s="22">
        <f ca="1">+GETPIVOTDATA("XXB4",'xabang (2016)'!$A$3,"MA_HT","ONT","MA_QH","HNK")</f>
        <v>0</v>
      </c>
      <c r="K44" s="22">
        <f ca="1">+GETPIVOTDATA("XXB4",'xabang (2016)'!$A$3,"MA_HT","ONT","MA_QH","CLN")</f>
        <v>0</v>
      </c>
      <c r="L44" s="22">
        <f ca="1">+GETPIVOTDATA("XXB4",'xabang (2016)'!$A$3,"MA_HT","ONT","MA_QH","RSX")</f>
        <v>0</v>
      </c>
      <c r="M44" s="22">
        <f ca="1">+GETPIVOTDATA("XXB4",'xabang (2016)'!$A$3,"MA_HT","ONT","MA_QH","RPH")</f>
        <v>0</v>
      </c>
      <c r="N44" s="22">
        <f ca="1">+GETPIVOTDATA("XXB4",'xabang (2016)'!$A$3,"MA_HT","ONT","MA_QH","RDD")</f>
        <v>0</v>
      </c>
      <c r="O44" s="22">
        <f ca="1">+GETPIVOTDATA("XXB4",'xabang (2016)'!$A$3,"MA_HT","ONT","MA_QH","NTS")</f>
        <v>0</v>
      </c>
      <c r="P44" s="22">
        <f ca="1">+GETPIVOTDATA("XXB4",'xabang (2016)'!$A$3,"MA_HT","ONT","MA_QH","LMU")</f>
        <v>0</v>
      </c>
      <c r="Q44" s="22">
        <f ca="1">+GETPIVOTDATA("XXB4",'xabang (2016)'!$A$3,"MA_HT","ONT","MA_QH","NKH")</f>
        <v>0</v>
      </c>
      <c r="R44" s="79">
        <f ca="1">SUM(S44:AA44,AN44:AP44,AR44:BD44)</f>
        <v>0</v>
      </c>
      <c r="S44" s="22">
        <f ca="1">+GETPIVOTDATA("XXB4",'xabang (2016)'!$A$3,"MA_HT","ONT","MA_QH","CQP")</f>
        <v>0</v>
      </c>
      <c r="T44" s="22">
        <f ca="1">+GETPIVOTDATA("XXB4",'xabang (2016)'!$A$3,"MA_HT","ONT","MA_QH","CAN")</f>
        <v>0</v>
      </c>
      <c r="U44" s="22">
        <f ca="1">+GETPIVOTDATA("XXB4",'xabang (2016)'!$A$3,"MA_HT","ONT","MA_QH","SKK")</f>
        <v>0</v>
      </c>
      <c r="V44" s="22">
        <f ca="1">+GETPIVOTDATA("XXB4",'xabang (2016)'!$A$3,"MA_HT","ONT","MA_QH","SKT")</f>
        <v>0</v>
      </c>
      <c r="W44" s="22">
        <f ca="1">+GETPIVOTDATA("XXB4",'xabang (2016)'!$A$3,"MA_HT","ONT","MA_QH","SKN")</f>
        <v>0</v>
      </c>
      <c r="X44" s="22">
        <f ca="1">+GETPIVOTDATA("XXB4",'xabang (2016)'!$A$3,"MA_HT","ONT","MA_QH","TMD")</f>
        <v>0</v>
      </c>
      <c r="Y44" s="22">
        <f ca="1">+GETPIVOTDATA("XXB4",'xabang (2016)'!$A$3,"MA_HT","ONT","MA_QH","SKC")</f>
        <v>0</v>
      </c>
      <c r="Z44" s="22">
        <f ca="1">+GETPIVOTDATA("XXB4",'xabang (2016)'!$A$3,"MA_HT","ONT","MA_QH","SKS")</f>
        <v>0</v>
      </c>
      <c r="AA44" s="52">
        <f ca="1" t="shared" si="21"/>
        <v>0</v>
      </c>
      <c r="AB44" s="22">
        <f ca="1">+GETPIVOTDATA("XXB4",'xabang (2016)'!$A$3,"MA_HT","ONT","MA_QH","DGT")</f>
        <v>0</v>
      </c>
      <c r="AC44" s="22">
        <f ca="1">+GETPIVOTDATA("XXB4",'xabang (2016)'!$A$3,"MA_HT","ONT","MA_QH","DTL")</f>
        <v>0</v>
      </c>
      <c r="AD44" s="22">
        <f ca="1">+GETPIVOTDATA("XXB4",'xabang (2016)'!$A$3,"MA_HT","ONT","MA_QH","DNL")</f>
        <v>0</v>
      </c>
      <c r="AE44" s="22">
        <f ca="1">+GETPIVOTDATA("XXB4",'xabang (2016)'!$A$3,"MA_HT","ONT","MA_QH","DBV")</f>
        <v>0</v>
      </c>
      <c r="AF44" s="22">
        <f ca="1">+GETPIVOTDATA("XXB4",'xabang (2016)'!$A$3,"MA_HT","ONT","MA_QH","DVH")</f>
        <v>0</v>
      </c>
      <c r="AG44" s="22">
        <f ca="1">+GETPIVOTDATA("XXB4",'xabang (2016)'!$A$3,"MA_HT","ONT","MA_QH","DYT")</f>
        <v>0</v>
      </c>
      <c r="AH44" s="22">
        <f ca="1">+GETPIVOTDATA("XXB4",'xabang (2016)'!$A$3,"MA_HT","ONT","MA_QH","DGD")</f>
        <v>0</v>
      </c>
      <c r="AI44" s="22">
        <f ca="1">+GETPIVOTDATA("XXB4",'xabang (2016)'!$A$3,"MA_HT","ONT","MA_QH","DTT")</f>
        <v>0</v>
      </c>
      <c r="AJ44" s="22">
        <f ca="1">+GETPIVOTDATA("XXB4",'xabang (2016)'!$A$3,"MA_HT","ONT","MA_QH","NCK")</f>
        <v>0</v>
      </c>
      <c r="AK44" s="22">
        <f ca="1">+GETPIVOTDATA("XXB4",'xabang (2016)'!$A$3,"MA_HT","ONT","MA_QH","DXH")</f>
        <v>0</v>
      </c>
      <c r="AL44" s="22">
        <f ca="1">+GETPIVOTDATA("XXB4",'xabang (2016)'!$A$3,"MA_HT","ONT","MA_QH","DCH")</f>
        <v>0</v>
      </c>
      <c r="AM44" s="22">
        <f ca="1">+GETPIVOTDATA("XXB4",'xabang (2016)'!$A$3,"MA_HT","ONT","MA_QH","DKG")</f>
        <v>0</v>
      </c>
      <c r="AN44" s="22">
        <f ca="1">+GETPIVOTDATA("XXB4",'xabang (2016)'!$A$3,"MA_HT","ONT","MA_QH","DDT")</f>
        <v>0</v>
      </c>
      <c r="AO44" s="22">
        <f ca="1">+GETPIVOTDATA("XXB4",'xabang (2016)'!$A$3,"MA_HT","ONT","MA_QH","DDL")</f>
        <v>0</v>
      </c>
      <c r="AP44" s="22">
        <f ca="1">+GETPIVOTDATA("XXB4",'xabang (2016)'!$A$3,"MA_HT","ONT","MA_QH","DRA")</f>
        <v>0</v>
      </c>
      <c r="AQ44" s="43" t="e">
        <f ca="1">$D44-$BF44</f>
        <v>#REF!</v>
      </c>
      <c r="AR44" s="22">
        <f ca="1">+GETPIVOTDATA("XXB4",'xabang (2016)'!$A$3,"MA_HT","ONT","MA_QH","ODT")</f>
        <v>0</v>
      </c>
      <c r="AS44" s="22">
        <f ca="1">+GETPIVOTDATA("XXB4",'xabang (2016)'!$A$3,"MA_HT","ONT","MA_QH","TSC")</f>
        <v>0</v>
      </c>
      <c r="AT44" s="22">
        <f ca="1">+GETPIVOTDATA("XXB4",'xabang (2016)'!$A$3,"MA_HT","ONT","MA_QH","DTS")</f>
        <v>0</v>
      </c>
      <c r="AU44" s="22">
        <f ca="1">+GETPIVOTDATA("XXB4",'xabang (2016)'!$A$3,"MA_HT","ONT","MA_QH","DNG")</f>
        <v>0</v>
      </c>
      <c r="AV44" s="22">
        <f ca="1">+GETPIVOTDATA("XXB4",'xabang (2016)'!$A$3,"MA_HT","ONT","MA_QH","TON")</f>
        <v>0</v>
      </c>
      <c r="AW44" s="22">
        <f ca="1">+GETPIVOTDATA("XXB4",'xabang (2016)'!$A$3,"MA_HT","ONT","MA_QH","NTD")</f>
        <v>0</v>
      </c>
      <c r="AX44" s="22">
        <f ca="1">+GETPIVOTDATA("XXB4",'xabang (2016)'!$A$3,"MA_HT","ONT","MA_QH","SKX")</f>
        <v>0</v>
      </c>
      <c r="AY44" s="22">
        <f ca="1">+GETPIVOTDATA("XXB4",'xabang (2016)'!$A$3,"MA_HT","ONT","MA_QH","DSH")</f>
        <v>0</v>
      </c>
      <c r="AZ44" s="22">
        <f ca="1">+GETPIVOTDATA("XXB4",'xabang (2016)'!$A$3,"MA_HT","ONT","MA_QH","DKV")</f>
        <v>0</v>
      </c>
      <c r="BA44" s="89">
        <f ca="1">+GETPIVOTDATA("XXB4",'xabang (2016)'!$A$3,"MA_HT","ONT","MA_QH","TIN")</f>
        <v>0</v>
      </c>
      <c r="BB44" s="50">
        <f ca="1">+GETPIVOTDATA("XXB4",'xabang (2016)'!$A$3,"MA_HT","ONT","MA_QH","SON")</f>
        <v>0</v>
      </c>
      <c r="BC44" s="50">
        <f ca="1">+GETPIVOTDATA("XXB4",'xabang (2016)'!$A$3,"MA_HT","ONT","MA_QH","MNC")</f>
        <v>0</v>
      </c>
      <c r="BD44" s="22">
        <f ca="1">+GETPIVOTDATA("XXB4",'xabang (2016)'!$A$3,"MA_HT","ONT","MA_QH","PNK")</f>
        <v>0</v>
      </c>
      <c r="BE44" s="71">
        <f ca="1">+GETPIVOTDATA("XXB4",'xabang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+GETPIVOTDATA("XXB4",'xabang (2016)'!$A$3,"MA_HT","ODT","MA_QH","LUC")</f>
        <v>0</v>
      </c>
      <c r="H45" s="67">
        <f ca="1">+GETPIVOTDATA("XXB4",'xabang (2016)'!$A$3,"MA_HT","ODT","MA_QH","LUK")</f>
        <v>0</v>
      </c>
      <c r="I45" s="67">
        <f ca="1">+GETPIVOTDATA("XXB4",'xabang (2016)'!$A$3,"MA_HT","ODT","MA_QH","LUN")</f>
        <v>0</v>
      </c>
      <c r="J45" s="67">
        <f ca="1">+GETPIVOTDATA("XXB4",'xabang (2016)'!$A$3,"MA_HT","ODT","MA_QH","HNK")</f>
        <v>0</v>
      </c>
      <c r="K45" s="67">
        <f ca="1">+GETPIVOTDATA("XXB4",'xabang (2016)'!$A$3,"MA_HT","ODT","MA_QH","CLN")</f>
        <v>0</v>
      </c>
      <c r="L45" s="67">
        <f ca="1">+GETPIVOTDATA("XXB4",'xabang (2016)'!$A$3,"MA_HT","ODT","MA_QH","RSX")</f>
        <v>0</v>
      </c>
      <c r="M45" s="67">
        <f ca="1">+GETPIVOTDATA("XXB4",'xabang (2016)'!$A$3,"MA_HT","ODT","MA_QH","RPH")</f>
        <v>0</v>
      </c>
      <c r="N45" s="67">
        <f ca="1">+GETPIVOTDATA("XXB4",'xabang (2016)'!$A$3,"MA_HT","ODT","MA_QH","RDD")</f>
        <v>0</v>
      </c>
      <c r="O45" s="67">
        <f ca="1">+GETPIVOTDATA("XXB4",'xabang (2016)'!$A$3,"MA_HT","ODT","MA_QH","NTS")</f>
        <v>0</v>
      </c>
      <c r="P45" s="67">
        <f ca="1">+GETPIVOTDATA("XXB4",'xabang (2016)'!$A$3,"MA_HT","ODT","MA_QH","LMU")</f>
        <v>0</v>
      </c>
      <c r="Q45" s="67">
        <f ca="1">+GETPIVOTDATA("XXB4",'xabang (2016)'!$A$3,"MA_HT","ODT","MA_QH","NKH")</f>
        <v>0</v>
      </c>
      <c r="R45" s="79">
        <f ca="1">SUM(S45:AA45,AN45:AQ45,AS45:BD45)</f>
        <v>0</v>
      </c>
      <c r="S45" s="67">
        <f ca="1">+GETPIVOTDATA("XXB4",'xabang (2016)'!$A$3,"MA_HT","ODT","MA_QH","CQP")</f>
        <v>0</v>
      </c>
      <c r="T45" s="67">
        <f ca="1">+GETPIVOTDATA("XXB4",'xabang (2016)'!$A$3,"MA_HT","ODT","MA_QH","CAN")</f>
        <v>0</v>
      </c>
      <c r="U45" s="67">
        <f ca="1">+GETPIVOTDATA("XXB4",'xabang (2016)'!$A$3,"MA_HT","ODT","MA_QH","SKK")</f>
        <v>0</v>
      </c>
      <c r="V45" s="67">
        <f ca="1">+GETPIVOTDATA("XXB4",'xabang (2016)'!$A$3,"MA_HT","ODT","MA_QH","SKT")</f>
        <v>0</v>
      </c>
      <c r="W45" s="67">
        <f ca="1">+GETPIVOTDATA("XXB4",'xabang (2016)'!$A$3,"MA_HT","ODT","MA_QH","SKN")</f>
        <v>0</v>
      </c>
      <c r="X45" s="67">
        <f ca="1">+GETPIVOTDATA("XXB4",'xabang (2016)'!$A$3,"MA_HT","ODT","MA_QH","TMD")</f>
        <v>0</v>
      </c>
      <c r="Y45" s="67">
        <f ca="1">+GETPIVOTDATA("XXB4",'xabang (2016)'!$A$3,"MA_HT","ODT","MA_QH","SKC")</f>
        <v>0</v>
      </c>
      <c r="Z45" s="67">
        <f ca="1">+GETPIVOTDATA("XXB4",'xabang (2016)'!$A$3,"MA_HT","ODT","MA_QH","SKS")</f>
        <v>0</v>
      </c>
      <c r="AA45" s="66">
        <f ca="1" t="shared" si="21"/>
        <v>0</v>
      </c>
      <c r="AB45" s="67">
        <f ca="1">+GETPIVOTDATA("XXB4",'xabang (2016)'!$A$3,"MA_HT","ODT","MA_QH","DGT")</f>
        <v>0</v>
      </c>
      <c r="AC45" s="67">
        <f ca="1">+GETPIVOTDATA("XXB4",'xabang (2016)'!$A$3,"MA_HT","ODT","MA_QH","DTL")</f>
        <v>0</v>
      </c>
      <c r="AD45" s="67">
        <f ca="1">+GETPIVOTDATA("XXB4",'xabang (2016)'!$A$3,"MA_HT","ODT","MA_QH","DNL")</f>
        <v>0</v>
      </c>
      <c r="AE45" s="67">
        <f ca="1">+GETPIVOTDATA("XXB4",'xabang (2016)'!$A$3,"MA_HT","ODT","MA_QH","DBV")</f>
        <v>0</v>
      </c>
      <c r="AF45" s="67">
        <f ca="1">+GETPIVOTDATA("XXB4",'xabang (2016)'!$A$3,"MA_HT","ODT","MA_QH","DVH")</f>
        <v>0</v>
      </c>
      <c r="AG45" s="67">
        <f ca="1">+GETPIVOTDATA("XXB4",'xabang (2016)'!$A$3,"MA_HT","ODT","MA_QH","DYT")</f>
        <v>0</v>
      </c>
      <c r="AH45" s="67">
        <f ca="1">+GETPIVOTDATA("XXB4",'xabang (2016)'!$A$3,"MA_HT","ODT","MA_QH","DGD")</f>
        <v>0</v>
      </c>
      <c r="AI45" s="67">
        <f ca="1">+GETPIVOTDATA("XXB4",'xabang (2016)'!$A$3,"MA_HT","ODT","MA_QH","DTT")</f>
        <v>0</v>
      </c>
      <c r="AJ45" s="67">
        <f ca="1">+GETPIVOTDATA("XXB4",'xabang (2016)'!$A$3,"MA_HT","ODT","MA_QH","NCK")</f>
        <v>0</v>
      </c>
      <c r="AK45" s="67">
        <f ca="1">+GETPIVOTDATA("XXB4",'xabang (2016)'!$A$3,"MA_HT","ODT","MA_QH","DXH")</f>
        <v>0</v>
      </c>
      <c r="AL45" s="67">
        <f ca="1">+GETPIVOTDATA("XXB4",'xabang (2016)'!$A$3,"MA_HT","ODT","MA_QH","DCH")</f>
        <v>0</v>
      </c>
      <c r="AM45" s="67">
        <f ca="1">+GETPIVOTDATA("XXB4",'xabang (2016)'!$A$3,"MA_HT","ODT","MA_QH","DKG")</f>
        <v>0</v>
      </c>
      <c r="AN45" s="67">
        <f ca="1">+GETPIVOTDATA("XXB4",'xabang (2016)'!$A$3,"MA_HT","ODT","MA_QH","DDT")</f>
        <v>0</v>
      </c>
      <c r="AO45" s="67">
        <f ca="1">+GETPIVOTDATA("XXB4",'xabang (2016)'!$A$3,"MA_HT","ODT","MA_QH","DDL")</f>
        <v>0</v>
      </c>
      <c r="AP45" s="67">
        <f ca="1">+GETPIVOTDATA("XXB4",'xabang (2016)'!$A$3,"MA_HT","ODT","MA_QH","DRA")</f>
        <v>0</v>
      </c>
      <c r="AQ45" s="67">
        <f ca="1">+GETPIVOTDATA("XXB4",'xabang (2016)'!$A$3,"MA_HT","ODT","MA_QH","ONT")</f>
        <v>0</v>
      </c>
      <c r="AR45" s="82" t="e">
        <f ca="1">$D45-$BF45</f>
        <v>#REF!</v>
      </c>
      <c r="AS45" s="67">
        <f ca="1">+GETPIVOTDATA("XXB4",'xabang (2016)'!$A$3,"MA_HT","ODT","MA_QH","TSC")</f>
        <v>0</v>
      </c>
      <c r="AT45" s="67">
        <f ca="1">+GETPIVOTDATA("XXB4",'xabang (2016)'!$A$3,"MA_HT","ODT","MA_QH","DTS")</f>
        <v>0</v>
      </c>
      <c r="AU45" s="67">
        <f ca="1">+GETPIVOTDATA("XXB4",'xabang (2016)'!$A$3,"MA_HT","ODT","MA_QH","DNG")</f>
        <v>0</v>
      </c>
      <c r="AV45" s="67">
        <f ca="1">+GETPIVOTDATA("XXB4",'xabang (2016)'!$A$3,"MA_HT","ODT","MA_QH","TON")</f>
        <v>0</v>
      </c>
      <c r="AW45" s="67">
        <f ca="1">+GETPIVOTDATA("XXB4",'xabang (2016)'!$A$3,"MA_HT","ODT","MA_QH","NTD")</f>
        <v>0</v>
      </c>
      <c r="AX45" s="67">
        <f ca="1">+GETPIVOTDATA("XXB4",'xabang (2016)'!$A$3,"MA_HT","ODT","MA_QH","SKX")</f>
        <v>0</v>
      </c>
      <c r="AY45" s="67">
        <f ca="1">+GETPIVOTDATA("XXB4",'xabang (2016)'!$A$3,"MA_HT","ODT","MA_QH","DSH")</f>
        <v>0</v>
      </c>
      <c r="AZ45" s="67">
        <f ca="1">+GETPIVOTDATA("XXB4",'xabang (2016)'!$A$3,"MA_HT","ODT","MA_QH","DKV")</f>
        <v>0</v>
      </c>
      <c r="BA45" s="92">
        <f ca="1">+GETPIVOTDATA("XXB4",'xabang (2016)'!$A$3,"MA_HT","ODT","MA_QH","TIN")</f>
        <v>0</v>
      </c>
      <c r="BB45" s="93">
        <f ca="1">+GETPIVOTDATA("XXB4",'xabang (2016)'!$A$3,"MA_HT","ODT","MA_QH","SON")</f>
        <v>0</v>
      </c>
      <c r="BC45" s="93">
        <f ca="1">+GETPIVOTDATA("XXB4",'xabang (2016)'!$A$3,"MA_HT","ODT","MA_QH","MNC")</f>
        <v>0</v>
      </c>
      <c r="BD45" s="67">
        <f ca="1">+GETPIVOTDATA("XXB4",'xabang (2016)'!$A$3,"MA_HT","ODT","MA_QH","PNK")</f>
        <v>0</v>
      </c>
      <c r="BE45" s="116">
        <f ca="1">+GETPIVOTDATA("XXB4",'xabang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+GETPIVOTDATA("XXB4",'xabang (2016)'!$A$3,"MA_HT","TSC","MA_QH","LUC")</f>
        <v>0</v>
      </c>
      <c r="H46" s="22">
        <f ca="1">+GETPIVOTDATA("XXB4",'xabang (2016)'!$A$3,"MA_HT","TSC","MA_QH","LUK")</f>
        <v>0</v>
      </c>
      <c r="I46" s="22">
        <f ca="1">+GETPIVOTDATA("XXB4",'xabang (2016)'!$A$3,"MA_HT","TSC","MA_QH","LUN")</f>
        <v>0</v>
      </c>
      <c r="J46" s="22">
        <f ca="1">+GETPIVOTDATA("XXB4",'xabang (2016)'!$A$3,"MA_HT","TSC","MA_QH","HNK")</f>
        <v>0</v>
      </c>
      <c r="K46" s="22">
        <f ca="1">+GETPIVOTDATA("XXB4",'xabang (2016)'!$A$3,"MA_HT","TSC","MA_QH","CLN")</f>
        <v>0</v>
      </c>
      <c r="L46" s="22">
        <f ca="1">+GETPIVOTDATA("XXB4",'xabang (2016)'!$A$3,"MA_HT","TSC","MA_QH","RSX")</f>
        <v>0</v>
      </c>
      <c r="M46" s="22">
        <f ca="1">+GETPIVOTDATA("XXB4",'xabang (2016)'!$A$3,"MA_HT","TSC","MA_QH","RPH")</f>
        <v>0</v>
      </c>
      <c r="N46" s="22">
        <f ca="1">+GETPIVOTDATA("XXB4",'xabang (2016)'!$A$3,"MA_HT","TSC","MA_QH","RDD")</f>
        <v>0</v>
      </c>
      <c r="O46" s="22">
        <f ca="1">+GETPIVOTDATA("XXB4",'xabang (2016)'!$A$3,"MA_HT","TSC","MA_QH","NTS")</f>
        <v>0</v>
      </c>
      <c r="P46" s="22">
        <f ca="1">+GETPIVOTDATA("XXB4",'xabang (2016)'!$A$3,"MA_HT","TSC","MA_QH","LMU")</f>
        <v>0</v>
      </c>
      <c r="Q46" s="22">
        <f ca="1">+GETPIVOTDATA("XXB4",'xabang (2016)'!$A$3,"MA_HT","TSC","MA_QH","NKH")</f>
        <v>0</v>
      </c>
      <c r="R46" s="48">
        <f ca="1">SUM(S46:AA46,AN46:AR46,AT46:BD46)</f>
        <v>0</v>
      </c>
      <c r="S46" s="22">
        <f ca="1">+GETPIVOTDATA("XXB4",'xabang (2016)'!$A$3,"MA_HT","TSC","MA_QH","CQP")</f>
        <v>0</v>
      </c>
      <c r="T46" s="22">
        <f ca="1">+GETPIVOTDATA("XXB4",'xabang (2016)'!$A$3,"MA_HT","TSC","MA_QH","CAN")</f>
        <v>0</v>
      </c>
      <c r="U46" s="22">
        <f ca="1">+GETPIVOTDATA("XXB4",'xabang (2016)'!$A$3,"MA_HT","TSC","MA_QH","SKK")</f>
        <v>0</v>
      </c>
      <c r="V46" s="22">
        <f ca="1">+GETPIVOTDATA("XXB4",'xabang (2016)'!$A$3,"MA_HT","TSC","MA_QH","SKT")</f>
        <v>0</v>
      </c>
      <c r="W46" s="22">
        <f ca="1">+GETPIVOTDATA("XXB4",'xabang (2016)'!$A$3,"MA_HT","TSC","MA_QH","SKN")</f>
        <v>0</v>
      </c>
      <c r="X46" s="22">
        <f ca="1">+GETPIVOTDATA("XXB4",'xabang (2016)'!$A$3,"MA_HT","TSC","MA_QH","TMD")</f>
        <v>0</v>
      </c>
      <c r="Y46" s="22">
        <f ca="1">+GETPIVOTDATA("XXB4",'xabang (2016)'!$A$3,"MA_HT","TSC","MA_QH","SKC")</f>
        <v>0</v>
      </c>
      <c r="Z46" s="22">
        <f ca="1">+GETPIVOTDATA("XXB4",'xabang (2016)'!$A$3,"MA_HT","TSC","MA_QH","SKS")</f>
        <v>0</v>
      </c>
      <c r="AA46" s="52">
        <f ca="1" t="shared" si="21"/>
        <v>0</v>
      </c>
      <c r="AB46" s="22">
        <f ca="1">+GETPIVOTDATA("XXB4",'xabang (2016)'!$A$3,"MA_HT","TSC","MA_QH","DGT")</f>
        <v>0</v>
      </c>
      <c r="AC46" s="22">
        <f ca="1">+GETPIVOTDATA("XXB4",'xabang (2016)'!$A$3,"MA_HT","TSC","MA_QH","DTL")</f>
        <v>0</v>
      </c>
      <c r="AD46" s="22">
        <f ca="1">+GETPIVOTDATA("XXB4",'xabang (2016)'!$A$3,"MA_HT","TSC","MA_QH","DNL")</f>
        <v>0</v>
      </c>
      <c r="AE46" s="22">
        <f ca="1">+GETPIVOTDATA("XXB4",'xabang (2016)'!$A$3,"MA_HT","TSC","MA_QH","DBV")</f>
        <v>0</v>
      </c>
      <c r="AF46" s="22">
        <f ca="1">+GETPIVOTDATA("XXB4",'xabang (2016)'!$A$3,"MA_HT","TSC","MA_QH","DVH")</f>
        <v>0</v>
      </c>
      <c r="AG46" s="22">
        <f ca="1">+GETPIVOTDATA("XXB4",'xabang (2016)'!$A$3,"MA_HT","TSC","MA_QH","DYT")</f>
        <v>0</v>
      </c>
      <c r="AH46" s="22">
        <f ca="1">+GETPIVOTDATA("XXB4",'xabang (2016)'!$A$3,"MA_HT","TSC","MA_QH","DGD")</f>
        <v>0</v>
      </c>
      <c r="AI46" s="22">
        <f ca="1">+GETPIVOTDATA("XXB4",'xabang (2016)'!$A$3,"MA_HT","TSC","MA_QH","DTT")</f>
        <v>0</v>
      </c>
      <c r="AJ46" s="22">
        <f ca="1">+GETPIVOTDATA("XXB4",'xabang (2016)'!$A$3,"MA_HT","TSC","MA_QH","NCK")</f>
        <v>0</v>
      </c>
      <c r="AK46" s="22">
        <f ca="1">+GETPIVOTDATA("XXB4",'xabang (2016)'!$A$3,"MA_HT","TSC","MA_QH","DXH")</f>
        <v>0</v>
      </c>
      <c r="AL46" s="22">
        <f ca="1">+GETPIVOTDATA("XXB4",'xabang (2016)'!$A$3,"MA_HT","TSC","MA_QH","DCH")</f>
        <v>0</v>
      </c>
      <c r="AM46" s="22">
        <f ca="1">+GETPIVOTDATA("XXB4",'xabang (2016)'!$A$3,"MA_HT","TSC","MA_QH","DKG")</f>
        <v>0</v>
      </c>
      <c r="AN46" s="22">
        <f ca="1">+GETPIVOTDATA("XXB4",'xabang (2016)'!$A$3,"MA_HT","TSC","MA_QH","DDT")</f>
        <v>0</v>
      </c>
      <c r="AO46" s="22">
        <f ca="1">+GETPIVOTDATA("XXB4",'xabang (2016)'!$A$3,"MA_HT","TSC","MA_QH","DDL")</f>
        <v>0</v>
      </c>
      <c r="AP46" s="22">
        <f ca="1">+GETPIVOTDATA("XXB4",'xabang (2016)'!$A$3,"MA_HT","TSC","MA_QH","DRA")</f>
        <v>0</v>
      </c>
      <c r="AQ46" s="22">
        <f ca="1">+GETPIVOTDATA("XXB4",'xabang (2016)'!$A$3,"MA_HT","TSC","MA_QH","ONT")</f>
        <v>0</v>
      </c>
      <c r="AR46" s="22">
        <f ca="1">+GETPIVOTDATA("XXB4",'xabang (2016)'!$A$3,"MA_HT","TSC","MA_QH","ODT")</f>
        <v>0</v>
      </c>
      <c r="AS46" s="43" t="e">
        <f ca="1">$D46-$BF46</f>
        <v>#REF!</v>
      </c>
      <c r="AT46" s="22">
        <f ca="1">+GETPIVOTDATA("XXB4",'xabang (2016)'!$A$3,"MA_HT","TSC","MA_QH","DTS")</f>
        <v>0</v>
      </c>
      <c r="AU46" s="22">
        <f ca="1">+GETPIVOTDATA("XXB4",'xabang (2016)'!$A$3,"MA_HT","TSC","MA_QH","DNG")</f>
        <v>0</v>
      </c>
      <c r="AV46" s="22">
        <f ca="1">+GETPIVOTDATA("XXB4",'xabang (2016)'!$A$3,"MA_HT","TSC","MA_QH","TON")</f>
        <v>0</v>
      </c>
      <c r="AW46" s="22">
        <f ca="1">+GETPIVOTDATA("XXB4",'xabang (2016)'!$A$3,"MA_HT","TSC","MA_QH","NTD")</f>
        <v>0</v>
      </c>
      <c r="AX46" s="22">
        <f ca="1">+GETPIVOTDATA("XXB4",'xabang (2016)'!$A$3,"MA_HT","TSC","MA_QH","SKX")</f>
        <v>0</v>
      </c>
      <c r="AY46" s="22">
        <f ca="1">+GETPIVOTDATA("XXB4",'xabang (2016)'!$A$3,"MA_HT","TSC","MA_QH","DSH")</f>
        <v>0</v>
      </c>
      <c r="AZ46" s="22">
        <f ca="1">+GETPIVOTDATA("XXB4",'xabang (2016)'!$A$3,"MA_HT","TSC","MA_QH","DKV")</f>
        <v>0</v>
      </c>
      <c r="BA46" s="89">
        <f ca="1">+GETPIVOTDATA("XXB4",'xabang (2016)'!$A$3,"MA_HT","TSC","MA_QH","TIN")</f>
        <v>0</v>
      </c>
      <c r="BB46" s="50">
        <f ca="1">+GETPIVOTDATA("XXB4",'xabang (2016)'!$A$3,"MA_HT","TSC","MA_QH","SON")</f>
        <v>0</v>
      </c>
      <c r="BC46" s="50">
        <f ca="1">+GETPIVOTDATA("XXB4",'xabang (2016)'!$A$3,"MA_HT","TSC","MA_QH","MNC")</f>
        <v>0</v>
      </c>
      <c r="BD46" s="22">
        <f ca="1">+GETPIVOTDATA("XXB4",'xabang (2016)'!$A$3,"MA_HT","TSC","MA_QH","PNK")</f>
        <v>0</v>
      </c>
      <c r="BE46" s="71">
        <f ca="1">+GETPIVOTDATA("XXB4",'xabang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+GETPIVOTDATA("XXB4",'xabang (2016)'!$A$3,"MA_HT","DTS","MA_QH","LUC")</f>
        <v>0</v>
      </c>
      <c r="H47" s="60">
        <f ca="1">+GETPIVOTDATA("XXB4",'xabang (2016)'!$A$3,"MA_HT","DTS","MA_QH","LUK")</f>
        <v>0</v>
      </c>
      <c r="I47" s="60">
        <f ca="1">+GETPIVOTDATA("XXB4",'xabang (2016)'!$A$3,"MA_HT","DTS","MA_QH","LUN")</f>
        <v>0</v>
      </c>
      <c r="J47" s="60">
        <f ca="1">+GETPIVOTDATA("XXB4",'xabang (2016)'!$A$3,"MA_HT","DTS","MA_QH","HNK")</f>
        <v>0</v>
      </c>
      <c r="K47" s="60">
        <f ca="1">+GETPIVOTDATA("XXB4",'xabang (2016)'!$A$3,"MA_HT","DTS","MA_QH","CLN")</f>
        <v>0</v>
      </c>
      <c r="L47" s="60">
        <f ca="1">+GETPIVOTDATA("XXB4",'xabang (2016)'!$A$3,"MA_HT","DTS","MA_QH","RSX")</f>
        <v>0</v>
      </c>
      <c r="M47" s="60">
        <f ca="1">+GETPIVOTDATA("XXB4",'xabang (2016)'!$A$3,"MA_HT","DTS","MA_QH","RPH")</f>
        <v>0</v>
      </c>
      <c r="N47" s="60">
        <f ca="1">+GETPIVOTDATA("XXB4",'xabang (2016)'!$A$3,"MA_HT","DTS","MA_QH","RDD")</f>
        <v>0</v>
      </c>
      <c r="O47" s="60">
        <f ca="1">+GETPIVOTDATA("XXB4",'xabang (2016)'!$A$3,"MA_HT","DTS","MA_QH","NTS")</f>
        <v>0</v>
      </c>
      <c r="P47" s="60">
        <f ca="1">+GETPIVOTDATA("XXB4",'xabang (2016)'!$A$3,"MA_HT","DTS","MA_QH","LMU")</f>
        <v>0</v>
      </c>
      <c r="Q47" s="60">
        <f ca="1">+GETPIVOTDATA("XXB4",'xabang (2016)'!$A$3,"MA_HT","DTS","MA_QH","NKH")</f>
        <v>0</v>
      </c>
      <c r="R47" s="78">
        <f ca="1">SUM(S47:AA47,AN47:AS47,AU47:BD47)</f>
        <v>0</v>
      </c>
      <c r="S47" s="60">
        <f ca="1">+GETPIVOTDATA("XXB4",'xabang (2016)'!$A$3,"MA_HT","DTS","MA_QH","CQP")</f>
        <v>0</v>
      </c>
      <c r="T47" s="60">
        <f ca="1">+GETPIVOTDATA("XXB4",'xabang (2016)'!$A$3,"MA_HT","DTS","MA_QH","CAN")</f>
        <v>0</v>
      </c>
      <c r="U47" s="60">
        <f ca="1">+GETPIVOTDATA("XXB4",'xabang (2016)'!$A$3,"MA_HT","DTS","MA_QH","SKK")</f>
        <v>0</v>
      </c>
      <c r="V47" s="60">
        <f ca="1">+GETPIVOTDATA("XXB4",'xabang (2016)'!$A$3,"MA_HT","DTS","MA_QH","SKT")</f>
        <v>0</v>
      </c>
      <c r="W47" s="60">
        <f ca="1">+GETPIVOTDATA("XXB4",'xabang (2016)'!$A$3,"MA_HT","DTS","MA_QH","SKN")</f>
        <v>0</v>
      </c>
      <c r="X47" s="60">
        <f ca="1">+GETPIVOTDATA("XXB4",'xabang (2016)'!$A$3,"MA_HT","DTS","MA_QH","TMD")</f>
        <v>0</v>
      </c>
      <c r="Y47" s="60">
        <f ca="1">+GETPIVOTDATA("XXB4",'xabang (2016)'!$A$3,"MA_HT","DTS","MA_QH","SKC")</f>
        <v>0</v>
      </c>
      <c r="Z47" s="60">
        <f ca="1">+GETPIVOTDATA("XXB4",'xabang (2016)'!$A$3,"MA_HT","DTS","MA_QH","SKS")</f>
        <v>0</v>
      </c>
      <c r="AA47" s="59">
        <f ca="1" t="shared" si="21"/>
        <v>0</v>
      </c>
      <c r="AB47" s="60">
        <f ca="1">+GETPIVOTDATA("XXB4",'xabang (2016)'!$A$3,"MA_HT","DTS","MA_QH","DGT")</f>
        <v>0</v>
      </c>
      <c r="AC47" s="60">
        <f ca="1">+GETPIVOTDATA("XXB4",'xabang (2016)'!$A$3,"MA_HT","DTS","MA_QH","DTL")</f>
        <v>0</v>
      </c>
      <c r="AD47" s="60">
        <f ca="1">+GETPIVOTDATA("XXB4",'xabang (2016)'!$A$3,"MA_HT","DTS","MA_QH","DNL")</f>
        <v>0</v>
      </c>
      <c r="AE47" s="60">
        <f ca="1">+GETPIVOTDATA("XXB4",'xabang (2016)'!$A$3,"MA_HT","DTS","MA_QH","DBV")</f>
        <v>0</v>
      </c>
      <c r="AF47" s="60">
        <f ca="1">+GETPIVOTDATA("XXB4",'xabang (2016)'!$A$3,"MA_HT","DTS","MA_QH","DVH")</f>
        <v>0</v>
      </c>
      <c r="AG47" s="60">
        <f ca="1">+GETPIVOTDATA("XXB4",'xabang (2016)'!$A$3,"MA_HT","DTS","MA_QH","DYT")</f>
        <v>0</v>
      </c>
      <c r="AH47" s="60">
        <f ca="1">+GETPIVOTDATA("XXB4",'xabang (2016)'!$A$3,"MA_HT","DTS","MA_QH","DGD")</f>
        <v>0</v>
      </c>
      <c r="AI47" s="60">
        <f ca="1">+GETPIVOTDATA("XXB4",'xabang (2016)'!$A$3,"MA_HT","DTS","MA_QH","DTT")</f>
        <v>0</v>
      </c>
      <c r="AJ47" s="60">
        <f ca="1">+GETPIVOTDATA("XXB4",'xabang (2016)'!$A$3,"MA_HT","DTS","MA_QH","NCK")</f>
        <v>0</v>
      </c>
      <c r="AK47" s="60">
        <f ca="1">+GETPIVOTDATA("XXB4",'xabang (2016)'!$A$3,"MA_HT","DTS","MA_QH","DXH")</f>
        <v>0</v>
      </c>
      <c r="AL47" s="60">
        <f ca="1">+GETPIVOTDATA("XXB4",'xabang (2016)'!$A$3,"MA_HT","DTS","MA_QH","DCH")</f>
        <v>0</v>
      </c>
      <c r="AM47" s="60">
        <f ca="1">+GETPIVOTDATA("XXB4",'xabang (2016)'!$A$3,"MA_HT","DTS","MA_QH","DKG")</f>
        <v>0</v>
      </c>
      <c r="AN47" s="60">
        <f ca="1">+GETPIVOTDATA("XXB4",'xabang (2016)'!$A$3,"MA_HT","DTS","MA_QH","DDT")</f>
        <v>0</v>
      </c>
      <c r="AO47" s="60">
        <f ca="1">+GETPIVOTDATA("XXB4",'xabang (2016)'!$A$3,"MA_HT","DTS","MA_QH","DDL")</f>
        <v>0</v>
      </c>
      <c r="AP47" s="60">
        <f ca="1">+GETPIVOTDATA("XXB4",'xabang (2016)'!$A$3,"MA_HT","DTS","MA_QH","DRA")</f>
        <v>0</v>
      </c>
      <c r="AQ47" s="60">
        <f ca="1">+GETPIVOTDATA("XXB4",'xabang (2016)'!$A$3,"MA_HT","DTS","MA_QH","ONT")</f>
        <v>0</v>
      </c>
      <c r="AR47" s="60">
        <f ca="1">+GETPIVOTDATA("XXB4",'xabang (2016)'!$A$3,"MA_HT","DTS","MA_QH","ODT")</f>
        <v>0</v>
      </c>
      <c r="AS47" s="60">
        <f ca="1">+GETPIVOTDATA("XXB4",'xabang (2016)'!$A$3,"MA_HT","DTS","MA_QH","TSC")</f>
        <v>0</v>
      </c>
      <c r="AT47" s="81" t="e">
        <f ca="1">$D47-$BF47</f>
        <v>#REF!</v>
      </c>
      <c r="AU47" s="60">
        <f ca="1">+GETPIVOTDATA("XXB4",'xabang (2016)'!$A$3,"MA_HT","DTS","MA_QH","DNG")</f>
        <v>0</v>
      </c>
      <c r="AV47" s="60">
        <f ca="1">+GETPIVOTDATA("XXB4",'xabang (2016)'!$A$3,"MA_HT","DTS","MA_QH","TON")</f>
        <v>0</v>
      </c>
      <c r="AW47" s="60">
        <f ca="1">+GETPIVOTDATA("XXB4",'xabang (2016)'!$A$3,"MA_HT","DTS","MA_QH","NTD")</f>
        <v>0</v>
      </c>
      <c r="AX47" s="60">
        <f ca="1">+GETPIVOTDATA("XXB4",'xabang (2016)'!$A$3,"MA_HT","DTS","MA_QH","SKX")</f>
        <v>0</v>
      </c>
      <c r="AY47" s="60">
        <f ca="1">+GETPIVOTDATA("XXB4",'xabang (2016)'!$A$3,"MA_HT","DTS","MA_QH","DSH")</f>
        <v>0</v>
      </c>
      <c r="AZ47" s="60">
        <f ca="1">+GETPIVOTDATA("XXB4",'xabang (2016)'!$A$3,"MA_HT","DTS","MA_QH","DKV")</f>
        <v>0</v>
      </c>
      <c r="BA47" s="90">
        <f ca="1">+GETPIVOTDATA("XXB4",'xabang (2016)'!$A$3,"MA_HT","DTS","MA_QH","TIN")</f>
        <v>0</v>
      </c>
      <c r="BB47" s="91">
        <f ca="1">+GETPIVOTDATA("XXB4",'xabang (2016)'!$A$3,"MA_HT","DTS","MA_QH","SON")</f>
        <v>0</v>
      </c>
      <c r="BC47" s="91">
        <f ca="1">+GETPIVOTDATA("XXB4",'xabang (2016)'!$A$3,"MA_HT","DTS","MA_QH","MNC")</f>
        <v>0</v>
      </c>
      <c r="BD47" s="60">
        <f ca="1">+GETPIVOTDATA("XXB4",'xabang (2016)'!$A$3,"MA_HT","DTS","MA_QH","PNK")</f>
        <v>0</v>
      </c>
      <c r="BE47" s="111">
        <f ca="1">+GETPIVOTDATA("XXB4",'xabang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+GETPIVOTDATA("XXB4",'xabang (2016)'!$A$3,"MA_HT","DNG","MA_QH","LUC")</f>
        <v>0</v>
      </c>
      <c r="H48" s="22">
        <f ca="1">+GETPIVOTDATA("XXB4",'xabang (2016)'!$A$3,"MA_HT","DNG","MA_QH","LUK")</f>
        <v>0</v>
      </c>
      <c r="I48" s="22">
        <f ca="1">+GETPIVOTDATA("XXB4",'xabang (2016)'!$A$3,"MA_HT","DNG","MA_QH","LUN")</f>
        <v>0</v>
      </c>
      <c r="J48" s="22">
        <f ca="1">+GETPIVOTDATA("XXB4",'xabang (2016)'!$A$3,"MA_HT","DNG","MA_QH","HNK")</f>
        <v>0</v>
      </c>
      <c r="K48" s="22">
        <f ca="1">+GETPIVOTDATA("XXB4",'xabang (2016)'!$A$3,"MA_HT","DNG","MA_QH","CLN")</f>
        <v>0</v>
      </c>
      <c r="L48" s="22">
        <f ca="1">+GETPIVOTDATA("XXB4",'xabang (2016)'!$A$3,"MA_HT","DNG","MA_QH","RSX")</f>
        <v>0</v>
      </c>
      <c r="M48" s="22">
        <f ca="1">+GETPIVOTDATA("XXB4",'xabang (2016)'!$A$3,"MA_HT","DNG","MA_QH","RPH")</f>
        <v>0</v>
      </c>
      <c r="N48" s="22">
        <f ca="1">+GETPIVOTDATA("XXB4",'xabang (2016)'!$A$3,"MA_HT","DNG","MA_QH","RDD")</f>
        <v>0</v>
      </c>
      <c r="O48" s="22">
        <f ca="1">+GETPIVOTDATA("XXB4",'xabang (2016)'!$A$3,"MA_HT","DNG","MA_QH","NTS")</f>
        <v>0</v>
      </c>
      <c r="P48" s="22">
        <f ca="1">+GETPIVOTDATA("XXB4",'xabang (2016)'!$A$3,"MA_HT","DNG","MA_QH","LMU")</f>
        <v>0</v>
      </c>
      <c r="Q48" s="22">
        <f ca="1">+GETPIVOTDATA("XXB4",'xabang (2016)'!$A$3,"MA_HT","DNG","MA_QH","NKH")</f>
        <v>0</v>
      </c>
      <c r="R48" s="79">
        <f ca="1">SUM(S48:AA48,AN48:AT48,AV48:BD48)</f>
        <v>0</v>
      </c>
      <c r="S48" s="22">
        <f ca="1">+GETPIVOTDATA("XXB4",'xabang (2016)'!$A$3,"MA_HT","DNG","MA_QH","CQP")</f>
        <v>0</v>
      </c>
      <c r="T48" s="22">
        <f ca="1">+GETPIVOTDATA("XXB4",'xabang (2016)'!$A$3,"MA_HT","DNG","MA_QH","CAN")</f>
        <v>0</v>
      </c>
      <c r="U48" s="22">
        <f ca="1">+GETPIVOTDATA("XXB4",'xabang (2016)'!$A$3,"MA_HT","DNG","MA_QH","SKK")</f>
        <v>0</v>
      </c>
      <c r="V48" s="22">
        <f ca="1">+GETPIVOTDATA("XXB4",'xabang (2016)'!$A$3,"MA_HT","DNG","MA_QH","SKT")</f>
        <v>0</v>
      </c>
      <c r="W48" s="22">
        <f ca="1">+GETPIVOTDATA("XXB4",'xabang (2016)'!$A$3,"MA_HT","DNG","MA_QH","SKN")</f>
        <v>0</v>
      </c>
      <c r="X48" s="22">
        <f ca="1">+GETPIVOTDATA("XXB4",'xabang (2016)'!$A$3,"MA_HT","DNG","MA_QH","TMD")</f>
        <v>0</v>
      </c>
      <c r="Y48" s="22">
        <f ca="1">+GETPIVOTDATA("XXB4",'xabang (2016)'!$A$3,"MA_HT","DNG","MA_QH","SKC")</f>
        <v>0</v>
      </c>
      <c r="Z48" s="22">
        <f ca="1">+GETPIVOTDATA("XXB4",'xabang (2016)'!$A$3,"MA_HT","DNG","MA_QH","SKS")</f>
        <v>0</v>
      </c>
      <c r="AA48" s="52">
        <f ca="1" t="shared" si="21"/>
        <v>0</v>
      </c>
      <c r="AB48" s="22">
        <f ca="1">+GETPIVOTDATA("XXB4",'xabang (2016)'!$A$3,"MA_HT","DNG","MA_QH","DGT")</f>
        <v>0</v>
      </c>
      <c r="AC48" s="22">
        <f ca="1">+GETPIVOTDATA("XXB4",'xabang (2016)'!$A$3,"MA_HT","DNG","MA_QH","DTL")</f>
        <v>0</v>
      </c>
      <c r="AD48" s="22">
        <f ca="1">+GETPIVOTDATA("XXB4",'xabang (2016)'!$A$3,"MA_HT","DNG","MA_QH","DNL")</f>
        <v>0</v>
      </c>
      <c r="AE48" s="22">
        <f ca="1">+GETPIVOTDATA("XXB4",'xabang (2016)'!$A$3,"MA_HT","DNG","MA_QH","DBV")</f>
        <v>0</v>
      </c>
      <c r="AF48" s="22">
        <f ca="1">+GETPIVOTDATA("XXB4",'xabang (2016)'!$A$3,"MA_HT","DNG","MA_QH","DVH")</f>
        <v>0</v>
      </c>
      <c r="AG48" s="22">
        <f ca="1">+GETPIVOTDATA("XXB4",'xabang (2016)'!$A$3,"MA_HT","DNG","MA_QH","DYT")</f>
        <v>0</v>
      </c>
      <c r="AH48" s="22">
        <f ca="1">+GETPIVOTDATA("XXB4",'xabang (2016)'!$A$3,"MA_HT","DNG","MA_QH","DGD")</f>
        <v>0</v>
      </c>
      <c r="AI48" s="22">
        <f ca="1">+GETPIVOTDATA("XXB4",'xabang (2016)'!$A$3,"MA_HT","DNG","MA_QH","DTT")</f>
        <v>0</v>
      </c>
      <c r="AJ48" s="22">
        <f ca="1">+GETPIVOTDATA("XXB4",'xabang (2016)'!$A$3,"MA_HT","DNG","MA_QH","NCK")</f>
        <v>0</v>
      </c>
      <c r="AK48" s="22">
        <f ca="1">+GETPIVOTDATA("XXB4",'xabang (2016)'!$A$3,"MA_HT","DNG","MA_QH","DXH")</f>
        <v>0</v>
      </c>
      <c r="AL48" s="22">
        <f ca="1">+GETPIVOTDATA("XXB4",'xabang (2016)'!$A$3,"MA_HT","DNG","MA_QH","DCH")</f>
        <v>0</v>
      </c>
      <c r="AM48" s="22">
        <f ca="1">+GETPIVOTDATA("XXB4",'xabang (2016)'!$A$3,"MA_HT","DNG","MA_QH","DKG")</f>
        <v>0</v>
      </c>
      <c r="AN48" s="22">
        <f ca="1">+GETPIVOTDATA("XXB4",'xabang (2016)'!$A$3,"MA_HT","DNG","MA_QH","DDT")</f>
        <v>0</v>
      </c>
      <c r="AO48" s="22">
        <f ca="1">+GETPIVOTDATA("XXB4",'xabang (2016)'!$A$3,"MA_HT","DNG","MA_QH","DDL")</f>
        <v>0</v>
      </c>
      <c r="AP48" s="22">
        <f ca="1">+GETPIVOTDATA("XXB4",'xabang (2016)'!$A$3,"MA_HT","DNG","MA_QH","DRA")</f>
        <v>0</v>
      </c>
      <c r="AQ48" s="22">
        <f ca="1">+GETPIVOTDATA("XXB4",'xabang (2016)'!$A$3,"MA_HT","DNG","MA_QH","ONT")</f>
        <v>0</v>
      </c>
      <c r="AR48" s="22">
        <f ca="1">+GETPIVOTDATA("XXB4",'xabang (2016)'!$A$3,"MA_HT","DNG","MA_QH","ODT")</f>
        <v>0</v>
      </c>
      <c r="AS48" s="22">
        <f ca="1">+GETPIVOTDATA("XXB4",'xabang (2016)'!$A$3,"MA_HT","DNG","MA_QH","TSC")</f>
        <v>0</v>
      </c>
      <c r="AT48" s="22">
        <f ca="1">+GETPIVOTDATA("XXB4",'xabang (2016)'!$A$3,"MA_HT","DNG","MA_QH","DTS")</f>
        <v>0</v>
      </c>
      <c r="AU48" s="43" t="e">
        <f ca="1">$D48-$BF48</f>
        <v>#REF!</v>
      </c>
      <c r="AV48" s="22">
        <f ca="1">+GETPIVOTDATA("XXB4",'xabang (2016)'!$A$3,"MA_HT","DNG","MA_QH","TON")</f>
        <v>0</v>
      </c>
      <c r="AW48" s="22">
        <f ca="1">+GETPIVOTDATA("XXB4",'xabang (2016)'!$A$3,"MA_HT","DNG","MA_QH","NTD")</f>
        <v>0</v>
      </c>
      <c r="AX48" s="22">
        <f ca="1">+GETPIVOTDATA("XXB4",'xabang (2016)'!$A$3,"MA_HT","DNG","MA_QH","SKX")</f>
        <v>0</v>
      </c>
      <c r="AY48" s="22">
        <f ca="1">+GETPIVOTDATA("XXB4",'xabang (2016)'!$A$3,"MA_HT","DNG","MA_QH","DSH")</f>
        <v>0</v>
      </c>
      <c r="AZ48" s="22">
        <f ca="1">+GETPIVOTDATA("XXB4",'xabang (2016)'!$A$3,"MA_HT","DNG","MA_QH","DKV")</f>
        <v>0</v>
      </c>
      <c r="BA48" s="89">
        <f ca="1">+GETPIVOTDATA("XXB4",'xabang (2016)'!$A$3,"MA_HT","DNG","MA_QH","TIN")</f>
        <v>0</v>
      </c>
      <c r="BB48" s="50">
        <f ca="1">+GETPIVOTDATA("XXB4",'xabang (2016)'!$A$3,"MA_HT","DNG","MA_QH","SON")</f>
        <v>0</v>
      </c>
      <c r="BC48" s="50">
        <f ca="1">+GETPIVOTDATA("XXB4",'xabang (2016)'!$A$3,"MA_HT","DNG","MA_QH","MNC")</f>
        <v>0</v>
      </c>
      <c r="BD48" s="22">
        <f ca="1">+GETPIVOTDATA("XXB4",'xabang (2016)'!$A$3,"MA_HT","DNG","MA_QH","PNK")</f>
        <v>0</v>
      </c>
      <c r="BE48" s="71">
        <f ca="1">+GETPIVOTDATA("XXB4",'xabang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+GETPIVOTDATA("XXB4",'xabang (2016)'!$A$3,"MA_HT","TON","MA_QH","LUC")</f>
        <v>0</v>
      </c>
      <c r="H49" s="22">
        <f ca="1">+GETPIVOTDATA("XXB4",'xabang (2016)'!$A$3,"MA_HT","TON","MA_QH","LUK")</f>
        <v>0</v>
      </c>
      <c r="I49" s="22">
        <f ca="1">+GETPIVOTDATA("XXB4",'xabang (2016)'!$A$3,"MA_HT","TON","MA_QH","LUN")</f>
        <v>0</v>
      </c>
      <c r="J49" s="22">
        <f ca="1">+GETPIVOTDATA("XXB4",'xabang (2016)'!$A$3,"MA_HT","TON","MA_QH","HNK")</f>
        <v>0</v>
      </c>
      <c r="K49" s="22">
        <f ca="1">+GETPIVOTDATA("XXB4",'xabang (2016)'!$A$3,"MA_HT","TON","MA_QH","CLN")</f>
        <v>0</v>
      </c>
      <c r="L49" s="22">
        <f ca="1">+GETPIVOTDATA("XXB4",'xabang (2016)'!$A$3,"MA_HT","TON","MA_QH","RSX")</f>
        <v>0</v>
      </c>
      <c r="M49" s="22">
        <f ca="1">+GETPIVOTDATA("XXB4",'xabang (2016)'!$A$3,"MA_HT","TON","MA_QH","RPH")</f>
        <v>0</v>
      </c>
      <c r="N49" s="22">
        <f ca="1">+GETPIVOTDATA("XXB4",'xabang (2016)'!$A$3,"MA_HT","TON","MA_QH","RDD")</f>
        <v>0</v>
      </c>
      <c r="O49" s="22">
        <f ca="1">+GETPIVOTDATA("XXB4",'xabang (2016)'!$A$3,"MA_HT","TON","MA_QH","NTS")</f>
        <v>0</v>
      </c>
      <c r="P49" s="22">
        <f ca="1">+GETPIVOTDATA("XXB4",'xabang (2016)'!$A$3,"MA_HT","TON","MA_QH","LMU")</f>
        <v>0</v>
      </c>
      <c r="Q49" s="22">
        <f ca="1">+GETPIVOTDATA("XXB4",'xabang (2016)'!$A$3,"MA_HT","TON","MA_QH","NKH")</f>
        <v>0</v>
      </c>
      <c r="R49" s="79">
        <f ca="1">SUM(S49:AA49,AN49:AU49,AW49:BD49)</f>
        <v>0</v>
      </c>
      <c r="S49" s="22">
        <f ca="1">+GETPIVOTDATA("XXB4",'xabang (2016)'!$A$3,"MA_HT","TON","MA_QH","CQP")</f>
        <v>0</v>
      </c>
      <c r="T49" s="22">
        <f ca="1">+GETPIVOTDATA("XXB4",'xabang (2016)'!$A$3,"MA_HT","TON","MA_QH","CAN")</f>
        <v>0</v>
      </c>
      <c r="U49" s="22">
        <f ca="1">+GETPIVOTDATA("XXB4",'xabang (2016)'!$A$3,"MA_HT","TON","MA_QH","SKK")</f>
        <v>0</v>
      </c>
      <c r="V49" s="22">
        <f ca="1">+GETPIVOTDATA("XXB4",'xabang (2016)'!$A$3,"MA_HT","TON","MA_QH","SKT")</f>
        <v>0</v>
      </c>
      <c r="W49" s="22">
        <f ca="1">+GETPIVOTDATA("XXB4",'xabang (2016)'!$A$3,"MA_HT","TON","MA_QH","SKN")</f>
        <v>0</v>
      </c>
      <c r="X49" s="22">
        <f ca="1">+GETPIVOTDATA("XXB4",'xabang (2016)'!$A$3,"MA_HT","TON","MA_QH","TMD")</f>
        <v>0</v>
      </c>
      <c r="Y49" s="22">
        <f ca="1">+GETPIVOTDATA("XXB4",'xabang (2016)'!$A$3,"MA_HT","TON","MA_QH","SKC")</f>
        <v>0</v>
      </c>
      <c r="Z49" s="22">
        <f ca="1">+GETPIVOTDATA("XXB4",'xabang (2016)'!$A$3,"MA_HT","TON","MA_QH","SKS")</f>
        <v>0</v>
      </c>
      <c r="AA49" s="52">
        <f ca="1" t="shared" si="21"/>
        <v>0</v>
      </c>
      <c r="AB49" s="22">
        <f ca="1">+GETPIVOTDATA("XXB4",'xabang (2016)'!$A$3,"MA_HT","TON","MA_QH","DGT")</f>
        <v>0</v>
      </c>
      <c r="AC49" s="22">
        <f ca="1">+GETPIVOTDATA("XXB4",'xabang (2016)'!$A$3,"MA_HT","TON","MA_QH","DTL")</f>
        <v>0</v>
      </c>
      <c r="AD49" s="22">
        <f ca="1">+GETPIVOTDATA("XXB4",'xabang (2016)'!$A$3,"MA_HT","TON","MA_QH","DNL")</f>
        <v>0</v>
      </c>
      <c r="AE49" s="22">
        <f ca="1">+GETPIVOTDATA("XXB4",'xabang (2016)'!$A$3,"MA_HT","TON","MA_QH","DBV")</f>
        <v>0</v>
      </c>
      <c r="AF49" s="22">
        <f ca="1">+GETPIVOTDATA("XXB4",'xabang (2016)'!$A$3,"MA_HT","TON","MA_QH","DVH")</f>
        <v>0</v>
      </c>
      <c r="AG49" s="22">
        <f ca="1">+GETPIVOTDATA("XXB4",'xabang (2016)'!$A$3,"MA_HT","TON","MA_QH","DYT")</f>
        <v>0</v>
      </c>
      <c r="AH49" s="22">
        <f ca="1">+GETPIVOTDATA("XXB4",'xabang (2016)'!$A$3,"MA_HT","TON","MA_QH","DGD")</f>
        <v>0</v>
      </c>
      <c r="AI49" s="22">
        <f ca="1">+GETPIVOTDATA("XXB4",'xabang (2016)'!$A$3,"MA_HT","TON","MA_QH","DTT")</f>
        <v>0</v>
      </c>
      <c r="AJ49" s="22">
        <f ca="1">+GETPIVOTDATA("XXB4",'xabang (2016)'!$A$3,"MA_HT","TON","MA_QH","NCK")</f>
        <v>0</v>
      </c>
      <c r="AK49" s="22">
        <f ca="1">+GETPIVOTDATA("XXB4",'xabang (2016)'!$A$3,"MA_HT","TON","MA_QH","DXH")</f>
        <v>0</v>
      </c>
      <c r="AL49" s="22">
        <f ca="1">+GETPIVOTDATA("XXB4",'xabang (2016)'!$A$3,"MA_HT","TON","MA_QH","DCH")</f>
        <v>0</v>
      </c>
      <c r="AM49" s="22">
        <f ca="1">+GETPIVOTDATA("XXB4",'xabang (2016)'!$A$3,"MA_HT","TON","MA_QH","DKG")</f>
        <v>0</v>
      </c>
      <c r="AN49" s="22">
        <f ca="1">+GETPIVOTDATA("XXB4",'xabang (2016)'!$A$3,"MA_HT","TON","MA_QH","DDT")</f>
        <v>0</v>
      </c>
      <c r="AO49" s="22">
        <f ca="1">+GETPIVOTDATA("XXB4",'xabang (2016)'!$A$3,"MA_HT","TON","MA_QH","DDL")</f>
        <v>0</v>
      </c>
      <c r="AP49" s="22">
        <f ca="1">+GETPIVOTDATA("XXB4",'xabang (2016)'!$A$3,"MA_HT","TON","MA_QH","DRA")</f>
        <v>0</v>
      </c>
      <c r="AQ49" s="22">
        <f ca="1">+GETPIVOTDATA("XXB4",'xabang (2016)'!$A$3,"MA_HT","TON","MA_QH","ONT")</f>
        <v>0</v>
      </c>
      <c r="AR49" s="22">
        <f ca="1">+GETPIVOTDATA("XXB4",'xabang (2016)'!$A$3,"MA_HT","TON","MA_QH","ODT")</f>
        <v>0</v>
      </c>
      <c r="AS49" s="22">
        <f ca="1">+GETPIVOTDATA("XXB4",'xabang (2016)'!$A$3,"MA_HT","TON","MA_QH","TSC")</f>
        <v>0</v>
      </c>
      <c r="AT49" s="22">
        <f ca="1">+GETPIVOTDATA("XXB4",'xabang (2016)'!$A$3,"MA_HT","TON","MA_QH","DTS")</f>
        <v>0</v>
      </c>
      <c r="AU49" s="22">
        <f ca="1">+GETPIVOTDATA("XXB4",'xabang (2016)'!$A$3,"MA_HT","TON","MA_QH","DNG")</f>
        <v>0</v>
      </c>
      <c r="AV49" s="43" t="e">
        <f ca="1">$D49-$BF49</f>
        <v>#REF!</v>
      </c>
      <c r="AW49" s="22">
        <f ca="1">+GETPIVOTDATA("XXB4",'xabang (2016)'!$A$3,"MA_HT","TON","MA_QH","NTD")</f>
        <v>0</v>
      </c>
      <c r="AX49" s="22">
        <f ca="1">+GETPIVOTDATA("XXB4",'xabang (2016)'!$A$3,"MA_HT","TON","MA_QH","SKX")</f>
        <v>0</v>
      </c>
      <c r="AY49" s="22">
        <f ca="1">+GETPIVOTDATA("XXB4",'xabang (2016)'!$A$3,"MA_HT","TON","MA_QH","DSH")</f>
        <v>0</v>
      </c>
      <c r="AZ49" s="22">
        <f ca="1">+GETPIVOTDATA("XXB4",'xabang (2016)'!$A$3,"MA_HT","TON","MA_QH","DKV")</f>
        <v>0</v>
      </c>
      <c r="BA49" s="89">
        <f ca="1">+GETPIVOTDATA("XXB4",'xabang (2016)'!$A$3,"MA_HT","TON","MA_QH","TIN")</f>
        <v>0</v>
      </c>
      <c r="BB49" s="50">
        <f ca="1">+GETPIVOTDATA("XXB4",'xabang (2016)'!$A$3,"MA_HT","TON","MA_QH","SON")</f>
        <v>0</v>
      </c>
      <c r="BC49" s="50">
        <f ca="1">+GETPIVOTDATA("XXB4",'xabang (2016)'!$A$3,"MA_HT","TON","MA_QH","MNC")</f>
        <v>0</v>
      </c>
      <c r="BD49" s="22">
        <f ca="1">+GETPIVOTDATA("XXB4",'xabang (2016)'!$A$3,"MA_HT","TON","MA_QH","PNK")</f>
        <v>0</v>
      </c>
      <c r="BE49" s="71">
        <f ca="1">+GETPIVOTDATA("XXB4",'xabang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+GETPIVOTDATA("XXB4",'xabang (2016)'!$A$3,"MA_HT","NTD","MA_QH","LUC")</f>
        <v>0</v>
      </c>
      <c r="H50" s="22">
        <f ca="1">+GETPIVOTDATA("XXB4",'xabang (2016)'!$A$3,"MA_HT","NTD","MA_QH","LUK")</f>
        <v>0</v>
      </c>
      <c r="I50" s="22">
        <f ca="1">+GETPIVOTDATA("XXB4",'xabang (2016)'!$A$3,"MA_HT","NTD","MA_QH","LUN")</f>
        <v>0</v>
      </c>
      <c r="J50" s="22">
        <f ca="1">+GETPIVOTDATA("XXB4",'xabang (2016)'!$A$3,"MA_HT","NTD","MA_QH","HNK")</f>
        <v>0</v>
      </c>
      <c r="K50" s="22">
        <f ca="1">+GETPIVOTDATA("XXB4",'xabang (2016)'!$A$3,"MA_HT","NTD","MA_QH","CLN")</f>
        <v>0</v>
      </c>
      <c r="L50" s="22">
        <f ca="1">+GETPIVOTDATA("XXB4",'xabang (2016)'!$A$3,"MA_HT","NTD","MA_QH","RSX")</f>
        <v>0</v>
      </c>
      <c r="M50" s="22">
        <f ca="1">+GETPIVOTDATA("XXB4",'xabang (2016)'!$A$3,"MA_HT","NTD","MA_QH","RPH")</f>
        <v>0</v>
      </c>
      <c r="N50" s="22">
        <f ca="1">+GETPIVOTDATA("XXB4",'xabang (2016)'!$A$3,"MA_HT","NTD","MA_QH","RDD")</f>
        <v>0</v>
      </c>
      <c r="O50" s="22">
        <f ca="1">+GETPIVOTDATA("XXB4",'xabang (2016)'!$A$3,"MA_HT","NTD","MA_QH","NTS")</f>
        <v>0</v>
      </c>
      <c r="P50" s="22">
        <f ca="1">+GETPIVOTDATA("XXB4",'xabang (2016)'!$A$3,"MA_HT","NTD","MA_QH","LMU")</f>
        <v>0</v>
      </c>
      <c r="Q50" s="22">
        <f ca="1">+GETPIVOTDATA("XXB4",'xabang (2016)'!$A$3,"MA_HT","NTD","MA_QH","NKH")</f>
        <v>0</v>
      </c>
      <c r="R50" s="79">
        <f ca="1">SUM(S50:AA50,AN50:AV50,AX50:BD50)</f>
        <v>0</v>
      </c>
      <c r="S50" s="22">
        <f ca="1">+GETPIVOTDATA("XXB4",'xabang (2016)'!$A$3,"MA_HT","NTD","MA_QH","CQP")</f>
        <v>0</v>
      </c>
      <c r="T50" s="22">
        <f ca="1">+GETPIVOTDATA("XXB4",'xabang (2016)'!$A$3,"MA_HT","NTD","MA_QH","CAN")</f>
        <v>0</v>
      </c>
      <c r="U50" s="22">
        <f ca="1">+GETPIVOTDATA("XXB4",'xabang (2016)'!$A$3,"MA_HT","NTD","MA_QH","SKK")</f>
        <v>0</v>
      </c>
      <c r="V50" s="22">
        <f ca="1">+GETPIVOTDATA("XXB4",'xabang (2016)'!$A$3,"MA_HT","NTD","MA_QH","SKT")</f>
        <v>0</v>
      </c>
      <c r="W50" s="22">
        <f ca="1">+GETPIVOTDATA("XXB4",'xabang (2016)'!$A$3,"MA_HT","NTD","MA_QH","SKN")</f>
        <v>0</v>
      </c>
      <c r="X50" s="22">
        <f ca="1">+GETPIVOTDATA("XXB4",'xabang (2016)'!$A$3,"MA_HT","NTD","MA_QH","TMD")</f>
        <v>0</v>
      </c>
      <c r="Y50" s="22">
        <f ca="1">+GETPIVOTDATA("XXB4",'xabang (2016)'!$A$3,"MA_HT","NTD","MA_QH","SKC")</f>
        <v>0</v>
      </c>
      <c r="Z50" s="22">
        <f ca="1">+GETPIVOTDATA("XXB4",'xabang (2016)'!$A$3,"MA_HT","NTD","MA_QH","SKS")</f>
        <v>0</v>
      </c>
      <c r="AA50" s="52">
        <f ca="1" t="shared" si="21"/>
        <v>0</v>
      </c>
      <c r="AB50" s="22">
        <f ca="1">+GETPIVOTDATA("XXB4",'xabang (2016)'!$A$3,"MA_HT","NTD","MA_QH","DGT")</f>
        <v>0</v>
      </c>
      <c r="AC50" s="22">
        <f ca="1">+GETPIVOTDATA("XXB4",'xabang (2016)'!$A$3,"MA_HT","NTD","MA_QH","DTL")</f>
        <v>0</v>
      </c>
      <c r="AD50" s="22">
        <f ca="1">+GETPIVOTDATA("XXB4",'xabang (2016)'!$A$3,"MA_HT","NTD","MA_QH","DNL")</f>
        <v>0</v>
      </c>
      <c r="AE50" s="22">
        <f ca="1">+GETPIVOTDATA("XXB4",'xabang (2016)'!$A$3,"MA_HT","NTD","MA_QH","DBV")</f>
        <v>0</v>
      </c>
      <c r="AF50" s="22">
        <f ca="1">+GETPIVOTDATA("XXB4",'xabang (2016)'!$A$3,"MA_HT","NTD","MA_QH","DVH")</f>
        <v>0</v>
      </c>
      <c r="AG50" s="22">
        <f ca="1">+GETPIVOTDATA("XXB4",'xabang (2016)'!$A$3,"MA_HT","NTD","MA_QH","DYT")</f>
        <v>0</v>
      </c>
      <c r="AH50" s="22">
        <f ca="1">+GETPIVOTDATA("XXB4",'xabang (2016)'!$A$3,"MA_HT","NTD","MA_QH","DGD")</f>
        <v>0</v>
      </c>
      <c r="AI50" s="22">
        <f ca="1">+GETPIVOTDATA("XXB4",'xabang (2016)'!$A$3,"MA_HT","NTD","MA_QH","DTT")</f>
        <v>0</v>
      </c>
      <c r="AJ50" s="22">
        <f ca="1">+GETPIVOTDATA("XXB4",'xabang (2016)'!$A$3,"MA_HT","NTD","MA_QH","NCK")</f>
        <v>0</v>
      </c>
      <c r="AK50" s="22">
        <f ca="1">+GETPIVOTDATA("XXB4",'xabang (2016)'!$A$3,"MA_HT","NTD","MA_QH","DXH")</f>
        <v>0</v>
      </c>
      <c r="AL50" s="22">
        <f ca="1">+GETPIVOTDATA("XXB4",'xabang (2016)'!$A$3,"MA_HT","NTD","MA_QH","DCH")</f>
        <v>0</v>
      </c>
      <c r="AM50" s="22">
        <f ca="1">+GETPIVOTDATA("XXB4",'xabang (2016)'!$A$3,"MA_HT","NTD","MA_QH","DKG")</f>
        <v>0</v>
      </c>
      <c r="AN50" s="22">
        <f ca="1">+GETPIVOTDATA("XXB4",'xabang (2016)'!$A$3,"MA_HT","NTD","MA_QH","DDT")</f>
        <v>0</v>
      </c>
      <c r="AO50" s="22">
        <f ca="1">+GETPIVOTDATA("XXB4",'xabang (2016)'!$A$3,"MA_HT","NTD","MA_QH","DDL")</f>
        <v>0</v>
      </c>
      <c r="AP50" s="22">
        <f ca="1">+GETPIVOTDATA("XXB4",'xabang (2016)'!$A$3,"MA_HT","NTD","MA_QH","DRA")</f>
        <v>0</v>
      </c>
      <c r="AQ50" s="22">
        <f ca="1">+GETPIVOTDATA("XXB4",'xabang (2016)'!$A$3,"MA_HT","NTD","MA_QH","ONT")</f>
        <v>0</v>
      </c>
      <c r="AR50" s="22">
        <f ca="1">+GETPIVOTDATA("XXB4",'xabang (2016)'!$A$3,"MA_HT","NTD","MA_QH","ODT")</f>
        <v>0</v>
      </c>
      <c r="AS50" s="22">
        <f ca="1">+GETPIVOTDATA("XXB4",'xabang (2016)'!$A$3,"MA_HT","NTD","MA_QH","TSC")</f>
        <v>0</v>
      </c>
      <c r="AT50" s="22">
        <f ca="1">+GETPIVOTDATA("XXB4",'xabang (2016)'!$A$3,"MA_HT","NTD","MA_QH","DTS")</f>
        <v>0</v>
      </c>
      <c r="AU50" s="22">
        <f ca="1">+GETPIVOTDATA("XXB4",'xabang (2016)'!$A$3,"MA_HT","NTD","MA_QH","DNG")</f>
        <v>0</v>
      </c>
      <c r="AV50" s="22">
        <f ca="1">+GETPIVOTDATA("XXB4",'xabang (2016)'!$A$3,"MA_HT","NTD","MA_QH","TON")</f>
        <v>0</v>
      </c>
      <c r="AW50" s="43" t="e">
        <f ca="1">$D50-$BF50</f>
        <v>#REF!</v>
      </c>
      <c r="AX50" s="22">
        <f ca="1">+GETPIVOTDATA("XXB4",'xabang (2016)'!$A$3,"MA_HT","NTD","MA_QH","SKX")</f>
        <v>0</v>
      </c>
      <c r="AY50" s="22">
        <f ca="1">+GETPIVOTDATA("XXB4",'xabang (2016)'!$A$3,"MA_HT","NTD","MA_QH","DSH")</f>
        <v>0</v>
      </c>
      <c r="AZ50" s="22">
        <f ca="1">+GETPIVOTDATA("XXB4",'xabang (2016)'!$A$3,"MA_HT","NTD","MA_QH","DKV")</f>
        <v>0</v>
      </c>
      <c r="BA50" s="89">
        <f ca="1">+GETPIVOTDATA("XXB4",'xabang (2016)'!$A$3,"MA_HT","NTD","MA_QH","TIN")</f>
        <v>0</v>
      </c>
      <c r="BB50" s="50">
        <f ca="1">+GETPIVOTDATA("XXB4",'xabang (2016)'!$A$3,"MA_HT","NTD","MA_QH","SON")</f>
        <v>0</v>
      </c>
      <c r="BC50" s="50">
        <f ca="1">+GETPIVOTDATA("XXB4",'xabang (2016)'!$A$3,"MA_HT","NTD","MA_QH","MNC")</f>
        <v>0</v>
      </c>
      <c r="BD50" s="22">
        <f ca="1">+GETPIVOTDATA("XXB4",'xabang (2016)'!$A$3,"MA_HT","NTD","MA_QH","PNK")</f>
        <v>0</v>
      </c>
      <c r="BE50" s="71">
        <f ca="1">+GETPIVOTDATA("XXB4",'xabang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+GETPIVOTDATA("XXB4",'xabang (2016)'!$A$3,"MA_HT","SKX","MA_QH","LUC")</f>
        <v>0</v>
      </c>
      <c r="H51" s="22">
        <f ca="1">+GETPIVOTDATA("XXB4",'xabang (2016)'!$A$3,"MA_HT","SKX","MA_QH","LUK")</f>
        <v>0</v>
      </c>
      <c r="I51" s="22">
        <f ca="1">+GETPIVOTDATA("XXB4",'xabang (2016)'!$A$3,"MA_HT","SKX","MA_QH","LUN")</f>
        <v>0</v>
      </c>
      <c r="J51" s="22">
        <f ca="1">+GETPIVOTDATA("XXB4",'xabang (2016)'!$A$3,"MA_HT","SKX","MA_QH","HNK")</f>
        <v>0</v>
      </c>
      <c r="K51" s="22">
        <f ca="1">+GETPIVOTDATA("XXB4",'xabang (2016)'!$A$3,"MA_HT","SKX","MA_QH","CLN")</f>
        <v>0</v>
      </c>
      <c r="L51" s="22">
        <f ca="1">+GETPIVOTDATA("XXB4",'xabang (2016)'!$A$3,"MA_HT","SKX","MA_QH","RSX")</f>
        <v>0</v>
      </c>
      <c r="M51" s="22">
        <f ca="1">+GETPIVOTDATA("XXB4",'xabang (2016)'!$A$3,"MA_HT","SKX","MA_QH","RPH")</f>
        <v>0</v>
      </c>
      <c r="N51" s="22">
        <f ca="1">+GETPIVOTDATA("XXB4",'xabang (2016)'!$A$3,"MA_HT","SKX","MA_QH","RDD")</f>
        <v>0</v>
      </c>
      <c r="O51" s="22">
        <f ca="1">+GETPIVOTDATA("XXB4",'xabang (2016)'!$A$3,"MA_HT","SKX","MA_QH","NTS")</f>
        <v>0</v>
      </c>
      <c r="P51" s="22">
        <f ca="1">+GETPIVOTDATA("XXB4",'xabang (2016)'!$A$3,"MA_HT","SKX","MA_QH","LMU")</f>
        <v>0</v>
      </c>
      <c r="Q51" s="22">
        <f ca="1">+GETPIVOTDATA("XXB4",'xabang (2016)'!$A$3,"MA_HT","SKX","MA_QH","NKH")</f>
        <v>0</v>
      </c>
      <c r="R51" s="79">
        <f ca="1">SUM(S51:AA51,AN51:AW51,AY51:BD51)</f>
        <v>0</v>
      </c>
      <c r="S51" s="22">
        <f ca="1">+GETPIVOTDATA("XXB4",'xabang (2016)'!$A$3,"MA_HT","SKX","MA_QH","CQP")</f>
        <v>0</v>
      </c>
      <c r="T51" s="22">
        <f ca="1">+GETPIVOTDATA("XXB4",'xabang (2016)'!$A$3,"MA_HT","SKX","MA_QH","CAN")</f>
        <v>0</v>
      </c>
      <c r="U51" s="22">
        <f ca="1">+GETPIVOTDATA("XXB4",'xabang (2016)'!$A$3,"MA_HT","SKX","MA_QH","SKK")</f>
        <v>0</v>
      </c>
      <c r="V51" s="22">
        <f ca="1">+GETPIVOTDATA("XXB4",'xabang (2016)'!$A$3,"MA_HT","SKX","MA_QH","SKT")</f>
        <v>0</v>
      </c>
      <c r="W51" s="22">
        <f ca="1">+GETPIVOTDATA("XXB4",'xabang (2016)'!$A$3,"MA_HT","SKX","MA_QH","SKN")</f>
        <v>0</v>
      </c>
      <c r="X51" s="22">
        <f ca="1">+GETPIVOTDATA("XXB4",'xabang (2016)'!$A$3,"MA_HT","SKX","MA_QH","TMD")</f>
        <v>0</v>
      </c>
      <c r="Y51" s="22">
        <f ca="1">+GETPIVOTDATA("XXB4",'xabang (2016)'!$A$3,"MA_HT","SKX","MA_QH","SKC")</f>
        <v>0</v>
      </c>
      <c r="Z51" s="22">
        <f ca="1">+GETPIVOTDATA("XXB4",'xabang (2016)'!$A$3,"MA_HT","SKX","MA_QH","SKS")</f>
        <v>0</v>
      </c>
      <c r="AA51" s="52">
        <f ca="1" t="shared" si="21"/>
        <v>0</v>
      </c>
      <c r="AB51" s="22">
        <f ca="1">+GETPIVOTDATA("XXB4",'xabang (2016)'!$A$3,"MA_HT","SKX","MA_QH","DGT")</f>
        <v>0</v>
      </c>
      <c r="AC51" s="22">
        <f ca="1">+GETPIVOTDATA("XXB4",'xabang (2016)'!$A$3,"MA_HT","SKX","MA_QH","DTL")</f>
        <v>0</v>
      </c>
      <c r="AD51" s="22">
        <f ca="1">+GETPIVOTDATA("XXB4",'xabang (2016)'!$A$3,"MA_HT","SKX","MA_QH","DNL")</f>
        <v>0</v>
      </c>
      <c r="AE51" s="22">
        <f ca="1">+GETPIVOTDATA("XXB4",'xabang (2016)'!$A$3,"MA_HT","SKX","MA_QH","DBV")</f>
        <v>0</v>
      </c>
      <c r="AF51" s="22">
        <f ca="1">+GETPIVOTDATA("XXB4",'xabang (2016)'!$A$3,"MA_HT","SKX","MA_QH","DVH")</f>
        <v>0</v>
      </c>
      <c r="AG51" s="22">
        <f ca="1">+GETPIVOTDATA("XXB4",'xabang (2016)'!$A$3,"MA_HT","SKX","MA_QH","DYT")</f>
        <v>0</v>
      </c>
      <c r="AH51" s="22">
        <f ca="1">+GETPIVOTDATA("XXB4",'xabang (2016)'!$A$3,"MA_HT","SKX","MA_QH","DGD")</f>
        <v>0</v>
      </c>
      <c r="AI51" s="22">
        <f ca="1">+GETPIVOTDATA("XXB4",'xabang (2016)'!$A$3,"MA_HT","SKX","MA_QH","DTT")</f>
        <v>0</v>
      </c>
      <c r="AJ51" s="22">
        <f ca="1">+GETPIVOTDATA("XXB4",'xabang (2016)'!$A$3,"MA_HT","SKX","MA_QH","NCK")</f>
        <v>0</v>
      </c>
      <c r="AK51" s="22">
        <f ca="1">+GETPIVOTDATA("XXB4",'xabang (2016)'!$A$3,"MA_HT","SKX","MA_QH","DXH")</f>
        <v>0</v>
      </c>
      <c r="AL51" s="22">
        <f ca="1">+GETPIVOTDATA("XXB4",'xabang (2016)'!$A$3,"MA_HT","SKX","MA_QH","DCH")</f>
        <v>0</v>
      </c>
      <c r="AM51" s="22">
        <f ca="1">+GETPIVOTDATA("XXB4",'xabang (2016)'!$A$3,"MA_HT","SKX","MA_QH","DKG")</f>
        <v>0</v>
      </c>
      <c r="AN51" s="22">
        <f ca="1">+GETPIVOTDATA("XXB4",'xabang (2016)'!$A$3,"MA_HT","SKX","MA_QH","DDT")</f>
        <v>0</v>
      </c>
      <c r="AO51" s="22">
        <f ca="1">+GETPIVOTDATA("XXB4",'xabang (2016)'!$A$3,"MA_HT","SKX","MA_QH","DDL")</f>
        <v>0</v>
      </c>
      <c r="AP51" s="22">
        <f ca="1">+GETPIVOTDATA("XXB4",'xabang (2016)'!$A$3,"MA_HT","SKX","MA_QH","DRA")</f>
        <v>0</v>
      </c>
      <c r="AQ51" s="22">
        <f ca="1">+GETPIVOTDATA("XXB4",'xabang (2016)'!$A$3,"MA_HT","SKX","MA_QH","ONT")</f>
        <v>0</v>
      </c>
      <c r="AR51" s="22">
        <f ca="1">+GETPIVOTDATA("XXB4",'xabang (2016)'!$A$3,"MA_HT","SKX","MA_QH","ODT")</f>
        <v>0</v>
      </c>
      <c r="AS51" s="22">
        <f ca="1">+GETPIVOTDATA("XXB4",'xabang (2016)'!$A$3,"MA_HT","SKX","MA_QH","TSC")</f>
        <v>0</v>
      </c>
      <c r="AT51" s="22">
        <f ca="1">+GETPIVOTDATA("XXB4",'xabang (2016)'!$A$3,"MA_HT","SKX","MA_QH","DTS")</f>
        <v>0</v>
      </c>
      <c r="AU51" s="22">
        <f ca="1">+GETPIVOTDATA("XXB4",'xabang (2016)'!$A$3,"MA_HT","SKX","MA_QH","DNG")</f>
        <v>0</v>
      </c>
      <c r="AV51" s="22">
        <f ca="1">+GETPIVOTDATA("XXB4",'xabang (2016)'!$A$3,"MA_HT","SKX","MA_QH","TON")</f>
        <v>0</v>
      </c>
      <c r="AW51" s="22">
        <f ca="1">+GETPIVOTDATA("XXB4",'xabang (2016)'!$A$3,"MA_HT","SKX","MA_QH","NTD")</f>
        <v>0</v>
      </c>
      <c r="AX51" s="43" t="e">
        <f ca="1">$D51-$BF51</f>
        <v>#REF!</v>
      </c>
      <c r="AY51" s="22">
        <f ca="1">+GETPIVOTDATA("XXB4",'xabang (2016)'!$A$3,"MA_HT","SKX","MA_QH","DSH")</f>
        <v>0</v>
      </c>
      <c r="AZ51" s="22">
        <f ca="1">+GETPIVOTDATA("XXB4",'xabang (2016)'!$A$3,"MA_HT","SKX","MA_QH","DKV")</f>
        <v>0</v>
      </c>
      <c r="BA51" s="89">
        <f ca="1">+GETPIVOTDATA("XXB4",'xabang (2016)'!$A$3,"MA_HT","SKX","MA_QH","TIN")</f>
        <v>0</v>
      </c>
      <c r="BB51" s="50">
        <f ca="1">+GETPIVOTDATA("XXB4",'xabang (2016)'!$A$3,"MA_HT","SKX","MA_QH","SON")</f>
        <v>0</v>
      </c>
      <c r="BC51" s="50">
        <f ca="1">+GETPIVOTDATA("XXB4",'xabang (2016)'!$A$3,"MA_HT","SKX","MA_QH","MNC")</f>
        <v>0</v>
      </c>
      <c r="BD51" s="22">
        <f ca="1">+GETPIVOTDATA("XXB4",'xabang (2016)'!$A$3,"MA_HT","SKX","MA_QH","PNK")</f>
        <v>0</v>
      </c>
      <c r="BE51" s="71">
        <f ca="1">+GETPIVOTDATA("XXB4",'xabang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+GETPIVOTDATA("XXB4",'xabang (2016)'!$A$3,"MA_HT","DSH","MA_QH","LUC")</f>
        <v>0</v>
      </c>
      <c r="H52" s="22">
        <f ca="1">+GETPIVOTDATA("XXB4",'xabang (2016)'!$A$3,"MA_HT","DSH","MA_QH","LUK")</f>
        <v>0</v>
      </c>
      <c r="I52" s="22">
        <f ca="1">+GETPIVOTDATA("XXB4",'xabang (2016)'!$A$3,"MA_HT","DSH","MA_QH","LUN")</f>
        <v>0</v>
      </c>
      <c r="J52" s="22">
        <f ca="1">+GETPIVOTDATA("XXB4",'xabang (2016)'!$A$3,"MA_HT","DSH","MA_QH","HNK")</f>
        <v>0</v>
      </c>
      <c r="K52" s="22">
        <f ca="1">+GETPIVOTDATA("XXB4",'xabang (2016)'!$A$3,"MA_HT","DSH","MA_QH","CLN")</f>
        <v>0</v>
      </c>
      <c r="L52" s="22">
        <f ca="1">+GETPIVOTDATA("XXB4",'xabang (2016)'!$A$3,"MA_HT","DSH","MA_QH","RSX")</f>
        <v>0</v>
      </c>
      <c r="M52" s="22">
        <f ca="1">+GETPIVOTDATA("XXB4",'xabang (2016)'!$A$3,"MA_HT","DSH","MA_QH","RPH")</f>
        <v>0</v>
      </c>
      <c r="N52" s="22">
        <f ca="1">+GETPIVOTDATA("XXB4",'xabang (2016)'!$A$3,"MA_HT","DSH","MA_QH","RDD")</f>
        <v>0</v>
      </c>
      <c r="O52" s="22">
        <f ca="1">+GETPIVOTDATA("XXB4",'xabang (2016)'!$A$3,"MA_HT","DSH","MA_QH","NTS")</f>
        <v>0</v>
      </c>
      <c r="P52" s="22">
        <f ca="1">+GETPIVOTDATA("XXB4",'xabang (2016)'!$A$3,"MA_HT","DSH","MA_QH","LMU")</f>
        <v>0</v>
      </c>
      <c r="Q52" s="22">
        <f ca="1">+GETPIVOTDATA("XXB4",'xabang (2016)'!$A$3,"MA_HT","DSH","MA_QH","NKH")</f>
        <v>0</v>
      </c>
      <c r="R52" s="79">
        <f ca="1">SUM(S52:AA52,AN52:AX52,AZ52:BD52)</f>
        <v>0</v>
      </c>
      <c r="S52" s="22">
        <f ca="1">+GETPIVOTDATA("XXB4",'xabang (2016)'!$A$3,"MA_HT","DSH","MA_QH","CQP")</f>
        <v>0</v>
      </c>
      <c r="T52" s="22">
        <f ca="1">+GETPIVOTDATA("XXB4",'xabang (2016)'!$A$3,"MA_HT","DSH","MA_QH","CAN")</f>
        <v>0</v>
      </c>
      <c r="U52" s="22">
        <f ca="1">+GETPIVOTDATA("XXB4",'xabang (2016)'!$A$3,"MA_HT","DSH","MA_QH","SKK")</f>
        <v>0</v>
      </c>
      <c r="V52" s="22">
        <f ca="1">+GETPIVOTDATA("XXB4",'xabang (2016)'!$A$3,"MA_HT","DSH","MA_QH","SKT")</f>
        <v>0</v>
      </c>
      <c r="W52" s="22">
        <f ca="1">+GETPIVOTDATA("XXB4",'xabang (2016)'!$A$3,"MA_HT","DSH","MA_QH","SKN")</f>
        <v>0</v>
      </c>
      <c r="X52" s="22">
        <f ca="1">+GETPIVOTDATA("XXB4",'xabang (2016)'!$A$3,"MA_HT","DSH","MA_QH","TMD")</f>
        <v>0</v>
      </c>
      <c r="Y52" s="22">
        <f ca="1">+GETPIVOTDATA("XXB4",'xabang (2016)'!$A$3,"MA_HT","DSH","MA_QH","SKC")</f>
        <v>0</v>
      </c>
      <c r="Z52" s="22">
        <f ca="1">+GETPIVOTDATA("XXB4",'xabang (2016)'!$A$3,"MA_HT","DSH","MA_QH","SKS")</f>
        <v>0</v>
      </c>
      <c r="AA52" s="52">
        <f ca="1" t="shared" si="21"/>
        <v>0</v>
      </c>
      <c r="AB52" s="22">
        <f ca="1">+GETPIVOTDATA("XXB4",'xabang (2016)'!$A$3,"MA_HT","DSH","MA_QH","DGT")</f>
        <v>0</v>
      </c>
      <c r="AC52" s="22">
        <f ca="1">+GETPIVOTDATA("XXB4",'xabang (2016)'!$A$3,"MA_HT","DSH","MA_QH","DTL")</f>
        <v>0</v>
      </c>
      <c r="AD52" s="22">
        <f ca="1">+GETPIVOTDATA("XXB4",'xabang (2016)'!$A$3,"MA_HT","DSH","MA_QH","DNL")</f>
        <v>0</v>
      </c>
      <c r="AE52" s="22">
        <f ca="1">+GETPIVOTDATA("XXB4",'xabang (2016)'!$A$3,"MA_HT","DSH","MA_QH","DBV")</f>
        <v>0</v>
      </c>
      <c r="AF52" s="22">
        <f ca="1">+GETPIVOTDATA("XXB4",'xabang (2016)'!$A$3,"MA_HT","DSH","MA_QH","DVH")</f>
        <v>0</v>
      </c>
      <c r="AG52" s="22">
        <f ca="1">+GETPIVOTDATA("XXB4",'xabang (2016)'!$A$3,"MA_HT","DSH","MA_QH","DYT")</f>
        <v>0</v>
      </c>
      <c r="AH52" s="22">
        <f ca="1">+GETPIVOTDATA("XXB4",'xabang (2016)'!$A$3,"MA_HT","DSH","MA_QH","DGD")</f>
        <v>0</v>
      </c>
      <c r="AI52" s="22">
        <f ca="1">+GETPIVOTDATA("XXB4",'xabang (2016)'!$A$3,"MA_HT","DSH","MA_QH","DTT")</f>
        <v>0</v>
      </c>
      <c r="AJ52" s="22">
        <f ca="1">+GETPIVOTDATA("XXB4",'xabang (2016)'!$A$3,"MA_HT","DSH","MA_QH","NCK")</f>
        <v>0</v>
      </c>
      <c r="AK52" s="22">
        <f ca="1">+GETPIVOTDATA("XXB4",'xabang (2016)'!$A$3,"MA_HT","DSH","MA_QH","DXH")</f>
        <v>0</v>
      </c>
      <c r="AL52" s="22">
        <f ca="1">+GETPIVOTDATA("XXB4",'xabang (2016)'!$A$3,"MA_HT","DSH","MA_QH","DCH")</f>
        <v>0</v>
      </c>
      <c r="AM52" s="22">
        <f ca="1">+GETPIVOTDATA("XXB4",'xabang (2016)'!$A$3,"MA_HT","DSH","MA_QH","DKG")</f>
        <v>0</v>
      </c>
      <c r="AN52" s="22">
        <f ca="1">+GETPIVOTDATA("XXB4",'xabang (2016)'!$A$3,"MA_HT","DSH","MA_QH","DDT")</f>
        <v>0</v>
      </c>
      <c r="AO52" s="22">
        <f ca="1">+GETPIVOTDATA("XXB4",'xabang (2016)'!$A$3,"MA_HT","DSH","MA_QH","DDL")</f>
        <v>0</v>
      </c>
      <c r="AP52" s="22">
        <f ca="1">+GETPIVOTDATA("XXB4",'xabang (2016)'!$A$3,"MA_HT","DSH","MA_QH","DRA")</f>
        <v>0</v>
      </c>
      <c r="AQ52" s="22">
        <f ca="1">+GETPIVOTDATA("XXB4",'xabang (2016)'!$A$3,"MA_HT","DSH","MA_QH","ONT")</f>
        <v>0</v>
      </c>
      <c r="AR52" s="22">
        <f ca="1">+GETPIVOTDATA("XXB4",'xabang (2016)'!$A$3,"MA_HT","DSH","MA_QH","ODT")</f>
        <v>0</v>
      </c>
      <c r="AS52" s="22">
        <f ca="1">+GETPIVOTDATA("XXB4",'xabang (2016)'!$A$3,"MA_HT","DSH","MA_QH","TSC")</f>
        <v>0</v>
      </c>
      <c r="AT52" s="22">
        <f ca="1">+GETPIVOTDATA("XXB4",'xabang (2016)'!$A$3,"MA_HT","DSH","MA_QH","DTS")</f>
        <v>0</v>
      </c>
      <c r="AU52" s="22">
        <f ca="1">+GETPIVOTDATA("XXB4",'xabang (2016)'!$A$3,"MA_HT","DSH","MA_QH","DNG")</f>
        <v>0</v>
      </c>
      <c r="AV52" s="22">
        <f ca="1">+GETPIVOTDATA("XXB4",'xabang (2016)'!$A$3,"MA_HT","DSH","MA_QH","TON")</f>
        <v>0</v>
      </c>
      <c r="AW52" s="22">
        <f ca="1">+GETPIVOTDATA("XXB4",'xabang (2016)'!$A$3,"MA_HT","DSH","MA_QH","NTD")</f>
        <v>0</v>
      </c>
      <c r="AX52" s="22">
        <f ca="1">+GETPIVOTDATA("XXB4",'xabang (2016)'!$A$3,"MA_HT","DSH","MA_QH","SKX")</f>
        <v>0</v>
      </c>
      <c r="AY52" s="43" t="e">
        <f ca="1">$D52-$BF52</f>
        <v>#REF!</v>
      </c>
      <c r="AZ52" s="22">
        <f ca="1">+GETPIVOTDATA("XXB4",'xabang (2016)'!$A$3,"MA_HT","DSH","MA_QH","DKV")</f>
        <v>0</v>
      </c>
      <c r="BA52" s="89">
        <f ca="1">+GETPIVOTDATA("XXB4",'xabang (2016)'!$A$3,"MA_HT","DSH","MA_QH","TIN")</f>
        <v>0</v>
      </c>
      <c r="BB52" s="50">
        <f ca="1">+GETPIVOTDATA("XXB4",'xabang (2016)'!$A$3,"MA_HT","DSH","MA_QH","SON")</f>
        <v>0</v>
      </c>
      <c r="BC52" s="50">
        <f ca="1">+GETPIVOTDATA("XXB4",'xabang (2016)'!$A$3,"MA_HT","DSH","MA_QH","MNC")</f>
        <v>0</v>
      </c>
      <c r="BD52" s="22">
        <f ca="1">+GETPIVOTDATA("XXB4",'xabang (2016)'!$A$3,"MA_HT","DSH","MA_QH","PNK")</f>
        <v>0</v>
      </c>
      <c r="BE52" s="71">
        <f ca="1">+GETPIVOTDATA("XXB4",'xabang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+GETPIVOTDATA("XXB4",'xabang (2016)'!$A$3,"MA_HT","DKV","MA_QH","LUC")</f>
        <v>0</v>
      </c>
      <c r="H53" s="22">
        <f ca="1">+GETPIVOTDATA("XXB4",'xabang (2016)'!$A$3,"MA_HT","DKV","MA_QH","LUK")</f>
        <v>0</v>
      </c>
      <c r="I53" s="22">
        <f ca="1">+GETPIVOTDATA("XXB4",'xabang (2016)'!$A$3,"MA_HT","DKV","MA_QH","LUN")</f>
        <v>0</v>
      </c>
      <c r="J53" s="22">
        <f ca="1">+GETPIVOTDATA("XXB4",'xabang (2016)'!$A$3,"MA_HT","DKV","MA_QH","HNK")</f>
        <v>0</v>
      </c>
      <c r="K53" s="22">
        <f ca="1">+GETPIVOTDATA("XXB4",'xabang (2016)'!$A$3,"MA_HT","DKV","MA_QH","CLN")</f>
        <v>0</v>
      </c>
      <c r="L53" s="22">
        <f ca="1">+GETPIVOTDATA("XXB4",'xabang (2016)'!$A$3,"MA_HT","DKV","MA_QH","RSX")</f>
        <v>0</v>
      </c>
      <c r="M53" s="22">
        <f ca="1">+GETPIVOTDATA("XXB4",'xabang (2016)'!$A$3,"MA_HT","DKV","MA_QH","RPH")</f>
        <v>0</v>
      </c>
      <c r="N53" s="22">
        <f ca="1">+GETPIVOTDATA("XXB4",'xabang (2016)'!$A$3,"MA_HT","DKV","MA_QH","RDD")</f>
        <v>0</v>
      </c>
      <c r="O53" s="22">
        <f ca="1">+GETPIVOTDATA("XXB4",'xabang (2016)'!$A$3,"MA_HT","DKV","MA_QH","NTS")</f>
        <v>0</v>
      </c>
      <c r="P53" s="22">
        <f ca="1">+GETPIVOTDATA("XXB4",'xabang (2016)'!$A$3,"MA_HT","DKV","MA_QH","LMU")</f>
        <v>0</v>
      </c>
      <c r="Q53" s="22">
        <f ca="1">+GETPIVOTDATA("XXB4",'xabang (2016)'!$A$3,"MA_HT","DKV","MA_QH","NKH")</f>
        <v>0</v>
      </c>
      <c r="R53" s="79">
        <f ca="1">SUM(S53:AA53,AN53:AY53,BB53:BD53)</f>
        <v>0</v>
      </c>
      <c r="S53" s="22">
        <f ca="1">+GETPIVOTDATA("XXB4",'xabang (2016)'!$A$3,"MA_HT","DKV","MA_QH","CQP")</f>
        <v>0</v>
      </c>
      <c r="T53" s="22">
        <f ca="1">+GETPIVOTDATA("XXB4",'xabang (2016)'!$A$3,"MA_HT","DKV","MA_QH","CAN")</f>
        <v>0</v>
      </c>
      <c r="U53" s="22">
        <f ca="1">+GETPIVOTDATA("XXB4",'xabang (2016)'!$A$3,"MA_HT","DKV","MA_QH","SKK")</f>
        <v>0</v>
      </c>
      <c r="V53" s="22">
        <f ca="1">+GETPIVOTDATA("XXB4",'xabang (2016)'!$A$3,"MA_HT","DKV","MA_QH","SKT")</f>
        <v>0</v>
      </c>
      <c r="W53" s="22">
        <f ca="1">+GETPIVOTDATA("XXB4",'xabang (2016)'!$A$3,"MA_HT","DKV","MA_QH","SKN")</f>
        <v>0</v>
      </c>
      <c r="X53" s="22">
        <f ca="1">+GETPIVOTDATA("XXB4",'xabang (2016)'!$A$3,"MA_HT","DKV","MA_QH","TMD")</f>
        <v>0</v>
      </c>
      <c r="Y53" s="22">
        <f ca="1">+GETPIVOTDATA("XXB4",'xabang (2016)'!$A$3,"MA_HT","DKV","MA_QH","SKC")</f>
        <v>0</v>
      </c>
      <c r="Z53" s="22">
        <f ca="1">+GETPIVOTDATA("XXB4",'xabang (2016)'!$A$3,"MA_HT","DKV","MA_QH","SKS")</f>
        <v>0</v>
      </c>
      <c r="AA53" s="52">
        <f ca="1" t="shared" si="21"/>
        <v>0</v>
      </c>
      <c r="AB53" s="22">
        <f ca="1">+GETPIVOTDATA("XXB4",'xabang (2016)'!$A$3,"MA_HT","DKV","MA_QH","DGT")</f>
        <v>0</v>
      </c>
      <c r="AC53" s="22">
        <f ca="1">+GETPIVOTDATA("XXB4",'xabang (2016)'!$A$3,"MA_HT","DKV","MA_QH","DTL")</f>
        <v>0</v>
      </c>
      <c r="AD53" s="22">
        <f ca="1">+GETPIVOTDATA("XXB4",'xabang (2016)'!$A$3,"MA_HT","DKV","MA_QH","DNL")</f>
        <v>0</v>
      </c>
      <c r="AE53" s="22">
        <f ca="1">+GETPIVOTDATA("XXB4",'xabang (2016)'!$A$3,"MA_HT","DKV","MA_QH","DBV")</f>
        <v>0</v>
      </c>
      <c r="AF53" s="22">
        <f ca="1">+GETPIVOTDATA("XXB4",'xabang (2016)'!$A$3,"MA_HT","DKV","MA_QH","DVH")</f>
        <v>0</v>
      </c>
      <c r="AG53" s="22">
        <f ca="1">+GETPIVOTDATA("XXB4",'xabang (2016)'!$A$3,"MA_HT","DKV","MA_QH","DYT")</f>
        <v>0</v>
      </c>
      <c r="AH53" s="22">
        <f ca="1">+GETPIVOTDATA("XXB4",'xabang (2016)'!$A$3,"MA_HT","DKV","MA_QH","DGD")</f>
        <v>0</v>
      </c>
      <c r="AI53" s="22">
        <f ca="1">+GETPIVOTDATA("XXB4",'xabang (2016)'!$A$3,"MA_HT","DKV","MA_QH","DTT")</f>
        <v>0</v>
      </c>
      <c r="AJ53" s="22">
        <f ca="1">+GETPIVOTDATA("XXB4",'xabang (2016)'!$A$3,"MA_HT","DKV","MA_QH","NCK")</f>
        <v>0</v>
      </c>
      <c r="AK53" s="22">
        <f ca="1">+GETPIVOTDATA("XXB4",'xabang (2016)'!$A$3,"MA_HT","DKV","MA_QH","DXH")</f>
        <v>0</v>
      </c>
      <c r="AL53" s="22">
        <f ca="1">+GETPIVOTDATA("XXB4",'xabang (2016)'!$A$3,"MA_HT","DKV","MA_QH","DCH")</f>
        <v>0</v>
      </c>
      <c r="AM53" s="22">
        <f ca="1">+GETPIVOTDATA("XXB4",'xabang (2016)'!$A$3,"MA_HT","DKV","MA_QH","DKG")</f>
        <v>0</v>
      </c>
      <c r="AN53" s="22">
        <f ca="1">+GETPIVOTDATA("XXB4",'xabang (2016)'!$A$3,"MA_HT","DKV","MA_QH","DDT")</f>
        <v>0</v>
      </c>
      <c r="AO53" s="22">
        <f ca="1">+GETPIVOTDATA("XXB4",'xabang (2016)'!$A$3,"MA_HT","DKV","MA_QH","DDL")</f>
        <v>0</v>
      </c>
      <c r="AP53" s="22">
        <f ca="1">+GETPIVOTDATA("XXB4",'xabang (2016)'!$A$3,"MA_HT","DKV","MA_QH","DRA")</f>
        <v>0</v>
      </c>
      <c r="AQ53" s="22">
        <f ca="1">+GETPIVOTDATA("XXB4",'xabang (2016)'!$A$3,"MA_HT","DKV","MA_QH","ONT")</f>
        <v>0</v>
      </c>
      <c r="AR53" s="22">
        <f ca="1">+GETPIVOTDATA("XXB4",'xabang (2016)'!$A$3,"MA_HT","DKV","MA_QH","ODT")</f>
        <v>0</v>
      </c>
      <c r="AS53" s="22">
        <f ca="1">+GETPIVOTDATA("XXB4",'xabang (2016)'!$A$3,"MA_HT","DKV","MA_QH","TSC")</f>
        <v>0</v>
      </c>
      <c r="AT53" s="22">
        <f ca="1">+GETPIVOTDATA("XXB4",'xabang (2016)'!$A$3,"MA_HT","DKV","MA_QH","DTS")</f>
        <v>0</v>
      </c>
      <c r="AU53" s="22">
        <f ca="1">+GETPIVOTDATA("XXB4",'xabang (2016)'!$A$3,"MA_HT","DKV","MA_QH","DNG")</f>
        <v>0</v>
      </c>
      <c r="AV53" s="22">
        <f ca="1">+GETPIVOTDATA("XXB4",'xabang (2016)'!$A$3,"MA_HT","DKV","MA_QH","TON")</f>
        <v>0</v>
      </c>
      <c r="AW53" s="22">
        <f ca="1">+GETPIVOTDATA("XXB4",'xabang (2016)'!$A$3,"MA_HT","DKV","MA_QH","NTD")</f>
        <v>0</v>
      </c>
      <c r="AX53" s="22">
        <f ca="1">+GETPIVOTDATA("XXB4",'xabang (2016)'!$A$3,"MA_HT","DKV","MA_QH","SKX")</f>
        <v>0</v>
      </c>
      <c r="AY53" s="22">
        <f ca="1">+GETPIVOTDATA("XXB4",'xabang (2016)'!$A$3,"MA_HT","DKV","MA_QH","DSH")</f>
        <v>0</v>
      </c>
      <c r="AZ53" s="43" t="e">
        <f ca="1">$D53-$BF53</f>
        <v>#REF!</v>
      </c>
      <c r="BA53" s="89">
        <f ca="1">+GETPIVOTDATA("XXB4",'xabang (2016)'!$A$3,"MA_HT","DKV","MA_QH","TIN")</f>
        <v>0</v>
      </c>
      <c r="BB53" s="50">
        <f ca="1">+GETPIVOTDATA("XXB4",'xabang (2016)'!$A$3,"MA_HT","DKV","MA_QH","SON")</f>
        <v>0</v>
      </c>
      <c r="BC53" s="50">
        <f ca="1">+GETPIVOTDATA("XXB4",'xabang (2016)'!$A$3,"MA_HT","DKV","MA_QH","MNC")</f>
        <v>0</v>
      </c>
      <c r="BD53" s="22">
        <f ca="1">+GETPIVOTDATA("XXB4",'xabang (2016)'!$A$3,"MA_HT","DKV","MA_QH","PNK")</f>
        <v>0</v>
      </c>
      <c r="BE53" s="71">
        <f ca="1">+GETPIVOTDATA("XXB4",'xabang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+GETPIVOTDATA("XXB4",'xabang (2016)'!$A$3,"MA_HT","TIN","MA_QH","LUC")</f>
        <v>0</v>
      </c>
      <c r="H54" s="22">
        <f ca="1">+GETPIVOTDATA("XXB4",'xabang (2016)'!$A$3,"MA_HT","TIN","MA_QH","LUK")</f>
        <v>0</v>
      </c>
      <c r="I54" s="22">
        <f ca="1">+GETPIVOTDATA("XXB4",'xabang (2016)'!$A$3,"MA_HT","TIN","MA_QH","LUN")</f>
        <v>0</v>
      </c>
      <c r="J54" s="22">
        <f ca="1">+GETPIVOTDATA("XXB4",'xabang (2016)'!$A$3,"MA_HT","TIN","MA_QH","HNK")</f>
        <v>0</v>
      </c>
      <c r="K54" s="22">
        <f ca="1">+GETPIVOTDATA("XXB4",'xabang (2016)'!$A$3,"MA_HT","TIN","MA_QH","CLN")</f>
        <v>0</v>
      </c>
      <c r="L54" s="22">
        <f ca="1">+GETPIVOTDATA("XXB4",'xabang (2016)'!$A$3,"MA_HT","TIN","MA_QH","RSX")</f>
        <v>0</v>
      </c>
      <c r="M54" s="22">
        <f ca="1">+GETPIVOTDATA("XXB4",'xabang (2016)'!$A$3,"MA_HT","TIN","MA_QH","RPH")</f>
        <v>0</v>
      </c>
      <c r="N54" s="22">
        <f ca="1">+GETPIVOTDATA("XXB4",'xabang (2016)'!$A$3,"MA_HT","TIN","MA_QH","RDD")</f>
        <v>0</v>
      </c>
      <c r="O54" s="22">
        <f ca="1">+GETPIVOTDATA("XXB4",'xabang (2016)'!$A$3,"MA_HT","TIN","MA_QH","NTS")</f>
        <v>0</v>
      </c>
      <c r="P54" s="22">
        <f ca="1">+GETPIVOTDATA("XXB4",'xabang (2016)'!$A$3,"MA_HT","TIN","MA_QH","LMU")</f>
        <v>0</v>
      </c>
      <c r="Q54" s="22">
        <f ca="1">+GETPIVOTDATA("XXB4",'xabang (2016)'!$A$3,"MA_HT","TIN","MA_QH","NKH")</f>
        <v>0</v>
      </c>
      <c r="R54" s="79">
        <f ca="1">SUM(S54:AA54,AN54:AZ54,BB54:BD54)</f>
        <v>0</v>
      </c>
      <c r="S54" s="22">
        <f ca="1">+GETPIVOTDATA("XXB4",'xabang (2016)'!$A$3,"MA_HT","TIN","MA_QH","CQP")</f>
        <v>0</v>
      </c>
      <c r="T54" s="22">
        <f ca="1">+GETPIVOTDATA("XXB4",'xabang (2016)'!$A$3,"MA_HT","TIN","MA_QH","CAN")</f>
        <v>0</v>
      </c>
      <c r="U54" s="22">
        <f ca="1">+GETPIVOTDATA("XXB4",'xabang (2016)'!$A$3,"MA_HT","TIN","MA_QH","SKK")</f>
        <v>0</v>
      </c>
      <c r="V54" s="22">
        <f ca="1">+GETPIVOTDATA("XXB4",'xabang (2016)'!$A$3,"MA_HT","TIN","MA_QH","SKT")</f>
        <v>0</v>
      </c>
      <c r="W54" s="22">
        <f ca="1">+GETPIVOTDATA("XXB4",'xabang (2016)'!$A$3,"MA_HT","TIN","MA_QH","SKN")</f>
        <v>0</v>
      </c>
      <c r="X54" s="22">
        <f ca="1">+GETPIVOTDATA("XXB4",'xabang (2016)'!$A$3,"MA_HT","TIN","MA_QH","TMD")</f>
        <v>0</v>
      </c>
      <c r="Y54" s="22">
        <f ca="1">+GETPIVOTDATA("XXB4",'xabang (2016)'!$A$3,"MA_HT","TIN","MA_QH","SKC")</f>
        <v>0</v>
      </c>
      <c r="Z54" s="22">
        <f ca="1">+GETPIVOTDATA("XXB4",'xabang (2016)'!$A$3,"MA_HT","TIN","MA_QH","SKS")</f>
        <v>0</v>
      </c>
      <c r="AA54" s="52">
        <f ca="1" t="shared" si="21"/>
        <v>0</v>
      </c>
      <c r="AB54" s="22">
        <f ca="1">+GETPIVOTDATA("XXB4",'xabang (2016)'!$A$3,"MA_HT","TIN","MA_QH","DGT")</f>
        <v>0</v>
      </c>
      <c r="AC54" s="22">
        <f ca="1">+GETPIVOTDATA("XXB4",'xabang (2016)'!$A$3,"MA_HT","TIN","MA_QH","DTL")</f>
        <v>0</v>
      </c>
      <c r="AD54" s="22">
        <f ca="1">+GETPIVOTDATA("XXB4",'xabang (2016)'!$A$3,"MA_HT","TIN","MA_QH","DNL")</f>
        <v>0</v>
      </c>
      <c r="AE54" s="22">
        <f ca="1">+GETPIVOTDATA("XXB4",'xabang (2016)'!$A$3,"MA_HT","TIN","MA_QH","DBV")</f>
        <v>0</v>
      </c>
      <c r="AF54" s="22">
        <f ca="1">+GETPIVOTDATA("XXB4",'xabang (2016)'!$A$3,"MA_HT","TIN","MA_QH","DVH")</f>
        <v>0</v>
      </c>
      <c r="AG54" s="22">
        <f ca="1">+GETPIVOTDATA("XXB4",'xabang (2016)'!$A$3,"MA_HT","TIN","MA_QH","DYT")</f>
        <v>0</v>
      </c>
      <c r="AH54" s="22">
        <f ca="1">+GETPIVOTDATA("XXB4",'xabang (2016)'!$A$3,"MA_HT","TIN","MA_QH","DGD")</f>
        <v>0</v>
      </c>
      <c r="AI54" s="22">
        <f ca="1">+GETPIVOTDATA("XXB4",'xabang (2016)'!$A$3,"MA_HT","TIN","MA_QH","DTT")</f>
        <v>0</v>
      </c>
      <c r="AJ54" s="22">
        <f ca="1">+GETPIVOTDATA("XXB4",'xabang (2016)'!$A$3,"MA_HT","TIN","MA_QH","NCK")</f>
        <v>0</v>
      </c>
      <c r="AK54" s="22">
        <f ca="1">+GETPIVOTDATA("XXB4",'xabang (2016)'!$A$3,"MA_HT","TIN","MA_QH","DXH")</f>
        <v>0</v>
      </c>
      <c r="AL54" s="22">
        <f ca="1">+GETPIVOTDATA("XXB4",'xabang (2016)'!$A$3,"MA_HT","TIN","MA_QH","DCH")</f>
        <v>0</v>
      </c>
      <c r="AM54" s="22">
        <f ca="1">+GETPIVOTDATA("XXB4",'xabang (2016)'!$A$3,"MA_HT","TIN","MA_QH","DKG")</f>
        <v>0</v>
      </c>
      <c r="AN54" s="22">
        <f ca="1">+GETPIVOTDATA("XXB4",'xabang (2016)'!$A$3,"MA_HT","TIN","MA_QH","DDT")</f>
        <v>0</v>
      </c>
      <c r="AO54" s="22">
        <f ca="1">+GETPIVOTDATA("XXB4",'xabang (2016)'!$A$3,"MA_HT","TIN","MA_QH","DDL")</f>
        <v>0</v>
      </c>
      <c r="AP54" s="22">
        <f ca="1">+GETPIVOTDATA("XXB4",'xabang (2016)'!$A$3,"MA_HT","TIN","MA_QH","DRA")</f>
        <v>0</v>
      </c>
      <c r="AQ54" s="22">
        <f ca="1">+GETPIVOTDATA("XXB4",'xabang (2016)'!$A$3,"MA_HT","TIN","MA_QH","ONT")</f>
        <v>0</v>
      </c>
      <c r="AR54" s="22">
        <f ca="1">+GETPIVOTDATA("XXB4",'xabang (2016)'!$A$3,"MA_HT","TIN","MA_QH","ODT")</f>
        <v>0</v>
      </c>
      <c r="AS54" s="22">
        <f ca="1">+GETPIVOTDATA("XXB4",'xabang (2016)'!$A$3,"MA_HT","TIN","MA_QH","TSC")</f>
        <v>0</v>
      </c>
      <c r="AT54" s="22">
        <f ca="1">+GETPIVOTDATA("XXB4",'xabang (2016)'!$A$3,"MA_HT","TIN","MA_QH","DTS")</f>
        <v>0</v>
      </c>
      <c r="AU54" s="22">
        <f ca="1">+GETPIVOTDATA("XXB4",'xabang (2016)'!$A$3,"MA_HT","TIN","MA_QH","DNG")</f>
        <v>0</v>
      </c>
      <c r="AV54" s="22">
        <f ca="1">+GETPIVOTDATA("XXB4",'xabang (2016)'!$A$3,"MA_HT","TIN","MA_QH","TON")</f>
        <v>0</v>
      </c>
      <c r="AW54" s="22">
        <f ca="1">+GETPIVOTDATA("XXB4",'xabang (2016)'!$A$3,"MA_HT","TIN","MA_QH","NTD")</f>
        <v>0</v>
      </c>
      <c r="AX54" s="22">
        <f ca="1">+GETPIVOTDATA("XXB4",'xabang (2016)'!$A$3,"MA_HT","TIN","MA_QH","SKX")</f>
        <v>0</v>
      </c>
      <c r="AY54" s="22">
        <f ca="1">+GETPIVOTDATA("XXB4",'xabang (2016)'!$A$3,"MA_HT","TIN","MA_QH","DSH")</f>
        <v>0</v>
      </c>
      <c r="AZ54" s="22">
        <f ca="1">+GETPIVOTDATA("XXB4",'xabang (2016)'!$A$3,"MA_HT","TIN","MA_QH","DKV")</f>
        <v>0</v>
      </c>
      <c r="BA54" s="43" t="e">
        <f ca="1">$D54-$BF54</f>
        <v>#REF!</v>
      </c>
      <c r="BB54" s="22">
        <f ca="1">+GETPIVOTDATA("XXB4",'xabang (2016)'!$A$3,"MA_HT","TIN","MA_QH","SON")</f>
        <v>0</v>
      </c>
      <c r="BC54" s="22">
        <f ca="1">+GETPIVOTDATA("XXB4",'xabang (2016)'!$A$3,"MA_HT","TIN","MA_QH","MNC")</f>
        <v>0</v>
      </c>
      <c r="BD54" s="22">
        <f ca="1">+GETPIVOTDATA("XXB4",'xabang (2016)'!$A$3,"MA_HT","TIN","MA_QH","PNK")</f>
        <v>0</v>
      </c>
      <c r="BE54" s="71">
        <f ca="1">+GETPIVOTDATA("XXB4",'xabang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+GETPIVOTDATA("XXB4",'xabang (2016)'!$A$3,"MA_HT","SON","MA_QH","LUC")</f>
        <v>0</v>
      </c>
      <c r="H55" s="22">
        <f ca="1">+GETPIVOTDATA("XXB4",'xabang (2016)'!$A$3,"MA_HT","SON","MA_QH","LUK")</f>
        <v>0</v>
      </c>
      <c r="I55" s="22">
        <f ca="1">+GETPIVOTDATA("XXB4",'xabang (2016)'!$A$3,"MA_HT","SON","MA_QH","LUN")</f>
        <v>0</v>
      </c>
      <c r="J55" s="22">
        <f ca="1">+GETPIVOTDATA("XXB4",'xabang (2016)'!$A$3,"MA_HT","SON","MA_QH","HNK")</f>
        <v>0</v>
      </c>
      <c r="K55" s="22">
        <f ca="1">+GETPIVOTDATA("XXB4",'xabang (2016)'!$A$3,"MA_HT","SON","MA_QH","CLN")</f>
        <v>0</v>
      </c>
      <c r="L55" s="22">
        <f ca="1">+GETPIVOTDATA("XXB4",'xabang (2016)'!$A$3,"MA_HT","SON","MA_QH","RSX")</f>
        <v>0</v>
      </c>
      <c r="M55" s="22">
        <f ca="1">+GETPIVOTDATA("XXB4",'xabang (2016)'!$A$3,"MA_HT","SON","MA_QH","RPH")</f>
        <v>0</v>
      </c>
      <c r="N55" s="22">
        <f ca="1">+GETPIVOTDATA("XXB4",'xabang (2016)'!$A$3,"MA_HT","SON","MA_QH","RDD")</f>
        <v>0</v>
      </c>
      <c r="O55" s="22">
        <f ca="1">+GETPIVOTDATA("XXB4",'xabang (2016)'!$A$3,"MA_HT","SON","MA_QH","NTS")</f>
        <v>0</v>
      </c>
      <c r="P55" s="22">
        <f ca="1">+GETPIVOTDATA("XXB4",'xabang (2016)'!$A$3,"MA_HT","SON","MA_QH","LMU")</f>
        <v>0</v>
      </c>
      <c r="Q55" s="22">
        <f ca="1">+GETPIVOTDATA("XXB4",'xabang (2016)'!$A$3,"MA_HT","SON","MA_QH","NKH")</f>
        <v>0</v>
      </c>
      <c r="R55" s="79">
        <f ca="1">SUM(S55:AA55,AN55:AZ55,BC55:BD55)</f>
        <v>0</v>
      </c>
      <c r="S55" s="22">
        <f ca="1">+GETPIVOTDATA("XXB4",'xabang (2016)'!$A$3,"MA_HT","SON","MA_QH","CQP")</f>
        <v>0</v>
      </c>
      <c r="T55" s="22">
        <f ca="1">+GETPIVOTDATA("XXB4",'xabang (2016)'!$A$3,"MA_HT","SON","MA_QH","CAN")</f>
        <v>0</v>
      </c>
      <c r="U55" s="22">
        <f ca="1">+GETPIVOTDATA("XXB4",'xabang (2016)'!$A$3,"MA_HT","SON","MA_QH","SKK")</f>
        <v>0</v>
      </c>
      <c r="V55" s="22">
        <f ca="1">+GETPIVOTDATA("XXB4",'xabang (2016)'!$A$3,"MA_HT","SON","MA_QH","SKT")</f>
        <v>0</v>
      </c>
      <c r="W55" s="22">
        <f ca="1">+GETPIVOTDATA("XXB4",'xabang (2016)'!$A$3,"MA_HT","SON","MA_QH","SKN")</f>
        <v>0</v>
      </c>
      <c r="X55" s="22">
        <f ca="1">+GETPIVOTDATA("XXB4",'xabang (2016)'!$A$3,"MA_HT","SON","MA_QH","TMD")</f>
        <v>0</v>
      </c>
      <c r="Y55" s="22">
        <f ca="1">+GETPIVOTDATA("XXB4",'xabang (2016)'!$A$3,"MA_HT","SON","MA_QH","SKC")</f>
        <v>0</v>
      </c>
      <c r="Z55" s="22">
        <f ca="1">+GETPIVOTDATA("XXB4",'xabang (2016)'!$A$3,"MA_HT","SON","MA_QH","SKS")</f>
        <v>0</v>
      </c>
      <c r="AA55" s="52">
        <f ca="1" t="shared" si="21"/>
        <v>0</v>
      </c>
      <c r="AB55" s="22">
        <f ca="1">+GETPIVOTDATA("XXB4",'xabang (2016)'!$A$3,"MA_HT","SON","MA_QH","DGT")</f>
        <v>0</v>
      </c>
      <c r="AC55" s="22">
        <f ca="1">+GETPIVOTDATA("XXB4",'xabang (2016)'!$A$3,"MA_HT","SON","MA_QH","DTL")</f>
        <v>0</v>
      </c>
      <c r="AD55" s="22">
        <f ca="1">+GETPIVOTDATA("XXB4",'xabang (2016)'!$A$3,"MA_HT","SON","MA_QH","DNL")</f>
        <v>0</v>
      </c>
      <c r="AE55" s="22">
        <f ca="1">+GETPIVOTDATA("XXB4",'xabang (2016)'!$A$3,"MA_HT","SON","MA_QH","DBV")</f>
        <v>0</v>
      </c>
      <c r="AF55" s="22">
        <f ca="1">+GETPIVOTDATA("XXB4",'xabang (2016)'!$A$3,"MA_HT","SON","MA_QH","DVH")</f>
        <v>0</v>
      </c>
      <c r="AG55" s="22">
        <f ca="1">+GETPIVOTDATA("XXB4",'xabang (2016)'!$A$3,"MA_HT","SON","MA_QH","DYT")</f>
        <v>0</v>
      </c>
      <c r="AH55" s="22">
        <f ca="1">+GETPIVOTDATA("XXB4",'xabang (2016)'!$A$3,"MA_HT","SON","MA_QH","DGD")</f>
        <v>0</v>
      </c>
      <c r="AI55" s="22">
        <f ca="1">+GETPIVOTDATA("XXB4",'xabang (2016)'!$A$3,"MA_HT","SON","MA_QH","DTT")</f>
        <v>0</v>
      </c>
      <c r="AJ55" s="22">
        <f ca="1">+GETPIVOTDATA("XXB4",'xabang (2016)'!$A$3,"MA_HT","SON","MA_QH","NCK")</f>
        <v>0</v>
      </c>
      <c r="AK55" s="22">
        <f ca="1">+GETPIVOTDATA("XXB4",'xabang (2016)'!$A$3,"MA_HT","SON","MA_QH","DXH")</f>
        <v>0</v>
      </c>
      <c r="AL55" s="22">
        <f ca="1">+GETPIVOTDATA("XXB4",'xabang (2016)'!$A$3,"MA_HT","SON","MA_QH","DCH")</f>
        <v>0</v>
      </c>
      <c r="AM55" s="22">
        <f ca="1">+GETPIVOTDATA("XXB4",'xabang (2016)'!$A$3,"MA_HT","SON","MA_QH","DKG")</f>
        <v>0</v>
      </c>
      <c r="AN55" s="22">
        <f ca="1">+GETPIVOTDATA("XXB4",'xabang (2016)'!$A$3,"MA_HT","SON","MA_QH","DDT")</f>
        <v>0</v>
      </c>
      <c r="AO55" s="22">
        <f ca="1">+GETPIVOTDATA("XXB4",'xabang (2016)'!$A$3,"MA_HT","SON","MA_QH","DDL")</f>
        <v>0</v>
      </c>
      <c r="AP55" s="22">
        <f ca="1">+GETPIVOTDATA("XXB4",'xabang (2016)'!$A$3,"MA_HT","SON","MA_QH","DRA")</f>
        <v>0</v>
      </c>
      <c r="AQ55" s="22">
        <f ca="1">+GETPIVOTDATA("XXB4",'xabang (2016)'!$A$3,"MA_HT","SON","MA_QH","ONT")</f>
        <v>0</v>
      </c>
      <c r="AR55" s="22">
        <f ca="1">+GETPIVOTDATA("XXB4",'xabang (2016)'!$A$3,"MA_HT","SON","MA_QH","ODT")</f>
        <v>0</v>
      </c>
      <c r="AS55" s="22">
        <f ca="1">+GETPIVOTDATA("XXB4",'xabang (2016)'!$A$3,"MA_HT","SON","MA_QH","TSC")</f>
        <v>0</v>
      </c>
      <c r="AT55" s="22">
        <f ca="1">+GETPIVOTDATA("XXB4",'xabang (2016)'!$A$3,"MA_HT","SON","MA_QH","DTS")</f>
        <v>0</v>
      </c>
      <c r="AU55" s="22">
        <f ca="1">+GETPIVOTDATA("XXB4",'xabang (2016)'!$A$3,"MA_HT","SON","MA_QH","DNG")</f>
        <v>0</v>
      </c>
      <c r="AV55" s="22">
        <f ca="1">+GETPIVOTDATA("XXB4",'xabang (2016)'!$A$3,"MA_HT","SON","MA_QH","TON")</f>
        <v>0</v>
      </c>
      <c r="AW55" s="22">
        <f ca="1">+GETPIVOTDATA("XXB4",'xabang (2016)'!$A$3,"MA_HT","SON","MA_QH","NTD")</f>
        <v>0</v>
      </c>
      <c r="AX55" s="22">
        <f ca="1">+GETPIVOTDATA("XXB4",'xabang (2016)'!$A$3,"MA_HT","SON","MA_QH","SKX")</f>
        <v>0</v>
      </c>
      <c r="AY55" s="22">
        <f ca="1">+GETPIVOTDATA("XXB4",'xabang (2016)'!$A$3,"MA_HT","SON","MA_QH","DSH")</f>
        <v>0</v>
      </c>
      <c r="AZ55" s="22">
        <f ca="1">+GETPIVOTDATA("XXB4",'xabang (2016)'!$A$3,"MA_HT","SON","MA_QH","DKV")</f>
        <v>0</v>
      </c>
      <c r="BA55" s="89">
        <f ca="1">+GETPIVOTDATA("XXB4",'xabang (2016)'!$A$3,"MA_HT","SON","MA_QH","TIN")</f>
        <v>0</v>
      </c>
      <c r="BB55" s="43" t="e">
        <f ca="1">$D55-$BF55</f>
        <v>#REF!</v>
      </c>
      <c r="BC55" s="50">
        <f ca="1">+GETPIVOTDATA("XXB4",'xabang (2016)'!$A$3,"MA_HT","SON","MA_QH","MNC")</f>
        <v>0</v>
      </c>
      <c r="BD55" s="22">
        <f ca="1">+GETPIVOTDATA("XXB4",'xabang (2016)'!$A$3,"MA_HT","SON","MA_QH","PNK")</f>
        <v>0</v>
      </c>
      <c r="BE55" s="71">
        <f ca="1">+GETPIVOTDATA("XXB4",'xabang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+GETPIVOTDATA("XXB4",'xabang (2016)'!$A$3,"MA_HT","MNC","MA_QH","LUC")</f>
        <v>0</v>
      </c>
      <c r="H56" s="22">
        <f ca="1">+GETPIVOTDATA("XXB4",'xabang (2016)'!$A$3,"MA_HT","MNC","MA_QH","LUK")</f>
        <v>0</v>
      </c>
      <c r="I56" s="22">
        <f ca="1">+GETPIVOTDATA("XXB4",'xabang (2016)'!$A$3,"MA_HT","MNC","MA_QH","LUN")</f>
        <v>0</v>
      </c>
      <c r="J56" s="22">
        <f ca="1">+GETPIVOTDATA("XXB4",'xabang (2016)'!$A$3,"MA_HT","MNC","MA_QH","HNK")</f>
        <v>0</v>
      </c>
      <c r="K56" s="22">
        <f ca="1">+GETPIVOTDATA("XXB4",'xabang (2016)'!$A$3,"MA_HT","MNC","MA_QH","CLN")</f>
        <v>0</v>
      </c>
      <c r="L56" s="22">
        <f ca="1">+GETPIVOTDATA("XXB4",'xabang (2016)'!$A$3,"MA_HT","MNC","MA_QH","RSX")</f>
        <v>0</v>
      </c>
      <c r="M56" s="22">
        <f ca="1">+GETPIVOTDATA("XXB4",'xabang (2016)'!$A$3,"MA_HT","MNC","MA_QH","RPH")</f>
        <v>0</v>
      </c>
      <c r="N56" s="22">
        <f ca="1">+GETPIVOTDATA("XXB4",'xabang (2016)'!$A$3,"MA_HT","MNC","MA_QH","RDD")</f>
        <v>0</v>
      </c>
      <c r="O56" s="22">
        <f ca="1">+GETPIVOTDATA("XXB4",'xabang (2016)'!$A$3,"MA_HT","MNC","MA_QH","NTS")</f>
        <v>0</v>
      </c>
      <c r="P56" s="22">
        <f ca="1">+GETPIVOTDATA("XXB4",'xabang (2016)'!$A$3,"MA_HT","MNC","MA_QH","LMU")</f>
        <v>0</v>
      </c>
      <c r="Q56" s="22">
        <f ca="1">+GETPIVOTDATA("XXB4",'xabang (2016)'!$A$3,"MA_HT","MNC","MA_QH","NKH")</f>
        <v>0</v>
      </c>
      <c r="R56" s="79">
        <f ca="1">SUM(S56:AA56,AN56:BB56,BD56)</f>
        <v>0</v>
      </c>
      <c r="S56" s="22">
        <f ca="1">+GETPIVOTDATA("XXB4",'xabang (2016)'!$A$3,"MA_HT","MNC","MA_QH","CQP")</f>
        <v>0</v>
      </c>
      <c r="T56" s="22">
        <f ca="1">+GETPIVOTDATA("XXB4",'xabang (2016)'!$A$3,"MA_HT","MNC","MA_QH","CAN")</f>
        <v>0</v>
      </c>
      <c r="U56" s="22">
        <f ca="1">+GETPIVOTDATA("XXB4",'xabang (2016)'!$A$3,"MA_HT","MNC","MA_QH","SKK")</f>
        <v>0</v>
      </c>
      <c r="V56" s="22">
        <f ca="1">+GETPIVOTDATA("XXB4",'xabang (2016)'!$A$3,"MA_HT","MNC","MA_QH","SKT")</f>
        <v>0</v>
      </c>
      <c r="W56" s="22">
        <f ca="1">+GETPIVOTDATA("XXB4",'xabang (2016)'!$A$3,"MA_HT","MNC","MA_QH","SKN")</f>
        <v>0</v>
      </c>
      <c r="X56" s="22">
        <f ca="1">+GETPIVOTDATA("XXB4",'xabang (2016)'!$A$3,"MA_HT","MNC","MA_QH","TMD")</f>
        <v>0</v>
      </c>
      <c r="Y56" s="22">
        <f ca="1">+GETPIVOTDATA("XXB4",'xabang (2016)'!$A$3,"MA_HT","MNC","MA_QH","SKC")</f>
        <v>0</v>
      </c>
      <c r="Z56" s="22">
        <f ca="1">+GETPIVOTDATA("XXB4",'xabang (2016)'!$A$3,"MA_HT","MNC","MA_QH","SKS")</f>
        <v>0</v>
      </c>
      <c r="AA56" s="52">
        <f ca="1" t="shared" si="21"/>
        <v>0</v>
      </c>
      <c r="AB56" s="22">
        <f ca="1">+GETPIVOTDATA("XXB4",'xabang (2016)'!$A$3,"MA_HT","MNC","MA_QH","DGT")</f>
        <v>0</v>
      </c>
      <c r="AC56" s="22">
        <f ca="1">+GETPIVOTDATA("XXB4",'xabang (2016)'!$A$3,"MA_HT","MNC","MA_QH","DTL")</f>
        <v>0</v>
      </c>
      <c r="AD56" s="22">
        <f ca="1">+GETPIVOTDATA("XXB4",'xabang (2016)'!$A$3,"MA_HT","MNC","MA_QH","DNL")</f>
        <v>0</v>
      </c>
      <c r="AE56" s="22">
        <f ca="1">+GETPIVOTDATA("XXB4",'xabang (2016)'!$A$3,"MA_HT","MNC","MA_QH","DBV")</f>
        <v>0</v>
      </c>
      <c r="AF56" s="22">
        <f ca="1">+GETPIVOTDATA("XXB4",'xabang (2016)'!$A$3,"MA_HT","MNC","MA_QH","DVH")</f>
        <v>0</v>
      </c>
      <c r="AG56" s="22">
        <f ca="1">+GETPIVOTDATA("XXB4",'xabang (2016)'!$A$3,"MA_HT","MNC","MA_QH","DYT")</f>
        <v>0</v>
      </c>
      <c r="AH56" s="22">
        <f ca="1">+GETPIVOTDATA("XXB4",'xabang (2016)'!$A$3,"MA_HT","MNC","MA_QH","DGD")</f>
        <v>0</v>
      </c>
      <c r="AI56" s="22">
        <f ca="1">+GETPIVOTDATA("XXB4",'xabang (2016)'!$A$3,"MA_HT","MNC","MA_QH","DTT")</f>
        <v>0</v>
      </c>
      <c r="AJ56" s="22">
        <f ca="1">+GETPIVOTDATA("XXB4",'xabang (2016)'!$A$3,"MA_HT","MNC","MA_QH","NCK")</f>
        <v>0</v>
      </c>
      <c r="AK56" s="22">
        <f ca="1">+GETPIVOTDATA("XXB4",'xabang (2016)'!$A$3,"MA_HT","MNC","MA_QH","DXH")</f>
        <v>0</v>
      </c>
      <c r="AL56" s="22">
        <f ca="1">+GETPIVOTDATA("XXB4",'xabang (2016)'!$A$3,"MA_HT","MNC","MA_QH","DCH")</f>
        <v>0</v>
      </c>
      <c r="AM56" s="22">
        <f ca="1">+GETPIVOTDATA("XXB4",'xabang (2016)'!$A$3,"MA_HT","MNC","MA_QH","DKG")</f>
        <v>0</v>
      </c>
      <c r="AN56" s="22">
        <f ca="1">+GETPIVOTDATA("XXB4",'xabang (2016)'!$A$3,"MA_HT","MNC","MA_QH","DDT")</f>
        <v>0</v>
      </c>
      <c r="AO56" s="22">
        <f ca="1">+GETPIVOTDATA("XXB4",'xabang (2016)'!$A$3,"MA_HT","MNC","MA_QH","DDL")</f>
        <v>0</v>
      </c>
      <c r="AP56" s="22">
        <f ca="1">+GETPIVOTDATA("XXB4",'xabang (2016)'!$A$3,"MA_HT","MNC","MA_QH","DRA")</f>
        <v>0</v>
      </c>
      <c r="AQ56" s="22">
        <f ca="1">+GETPIVOTDATA("XXB4",'xabang (2016)'!$A$3,"MA_HT","MNC","MA_QH","ONT")</f>
        <v>0</v>
      </c>
      <c r="AR56" s="22">
        <f ca="1">+GETPIVOTDATA("XXB4",'xabang (2016)'!$A$3,"MA_HT","MNC","MA_QH","ODT")</f>
        <v>0</v>
      </c>
      <c r="AS56" s="22">
        <f ca="1">+GETPIVOTDATA("XXB4",'xabang (2016)'!$A$3,"MA_HT","MNC","MA_QH","TSC")</f>
        <v>0</v>
      </c>
      <c r="AT56" s="22">
        <f ca="1">+GETPIVOTDATA("XXB4",'xabang (2016)'!$A$3,"MA_HT","MNC","MA_QH","DTS")</f>
        <v>0</v>
      </c>
      <c r="AU56" s="22">
        <f ca="1">+GETPIVOTDATA("XXB4",'xabang (2016)'!$A$3,"MA_HT","MNC","MA_QH","DNG")</f>
        <v>0</v>
      </c>
      <c r="AV56" s="22">
        <f ca="1">+GETPIVOTDATA("XXB4",'xabang (2016)'!$A$3,"MA_HT","MNC","MA_QH","TON")</f>
        <v>0</v>
      </c>
      <c r="AW56" s="22">
        <f ca="1">+GETPIVOTDATA("XXB4",'xabang (2016)'!$A$3,"MA_HT","MNC","MA_QH","NTD")</f>
        <v>0</v>
      </c>
      <c r="AX56" s="22">
        <f ca="1">+GETPIVOTDATA("XXB4",'xabang (2016)'!$A$3,"MA_HT","MNC","MA_QH","SKX")</f>
        <v>0</v>
      </c>
      <c r="AY56" s="22">
        <f ca="1">+GETPIVOTDATA("XXB4",'xabang (2016)'!$A$3,"MA_HT","MNC","MA_QH","DSH")</f>
        <v>0</v>
      </c>
      <c r="AZ56" s="22">
        <f ca="1">+GETPIVOTDATA("XXB4",'xabang (2016)'!$A$3,"MA_HT","MNC","MA_QH","DKV")</f>
        <v>0</v>
      </c>
      <c r="BA56" s="89">
        <f ca="1">+GETPIVOTDATA("XXB4",'xabang (2016)'!$A$3,"MA_HT","MNC","MA_QH","TIN")</f>
        <v>0</v>
      </c>
      <c r="BB56" s="50">
        <f ca="1">+GETPIVOTDATA("XXB4",'xabang (2016)'!$A$3,"MA_HT","MNC","MA_QH","SON")</f>
        <v>0</v>
      </c>
      <c r="BC56" s="43" t="e">
        <f ca="1">$D56-$BF56</f>
        <v>#REF!</v>
      </c>
      <c r="BD56" s="22">
        <f ca="1">+GETPIVOTDATA("XXB4",'xabang (2016)'!$A$3,"MA_HT","MNC","MA_QH","PNK")</f>
        <v>0</v>
      </c>
      <c r="BE56" s="71">
        <f ca="1">+GETPIVOTDATA("XXB4",'xabang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+GETPIVOTDATA("XXB4",'xabang (2016)'!$A$3,"MA_HT","PNK","MA_QH","LUC")</f>
        <v>0</v>
      </c>
      <c r="H57" s="22">
        <f ca="1">+GETPIVOTDATA("XXB4",'xabang (2016)'!$A$3,"MA_HT","PNK","MA_QH","LUK")</f>
        <v>0</v>
      </c>
      <c r="I57" s="22">
        <f ca="1">+GETPIVOTDATA("XXB4",'xabang (2016)'!$A$3,"MA_HT","PNK","MA_QH","LUN")</f>
        <v>0</v>
      </c>
      <c r="J57" s="22">
        <f ca="1">+GETPIVOTDATA("XXB4",'xabang (2016)'!$A$3,"MA_HT","PNK","MA_QH","HNK")</f>
        <v>0</v>
      </c>
      <c r="K57" s="22">
        <f ca="1">+GETPIVOTDATA("XXB4",'xabang (2016)'!$A$3,"MA_HT","PNK","MA_QH","CLN")</f>
        <v>0</v>
      </c>
      <c r="L57" s="22">
        <f ca="1">+GETPIVOTDATA("XXB4",'xabang (2016)'!$A$3,"MA_HT","PNK","MA_QH","RSX")</f>
        <v>0</v>
      </c>
      <c r="M57" s="22">
        <f ca="1">+GETPIVOTDATA("XXB4",'xabang (2016)'!$A$3,"MA_HT","PNK","MA_QH","RPH")</f>
        <v>0</v>
      </c>
      <c r="N57" s="22">
        <f ca="1">+GETPIVOTDATA("XXB4",'xabang (2016)'!$A$3,"MA_HT","PNK","MA_QH","RDD")</f>
        <v>0</v>
      </c>
      <c r="O57" s="22">
        <f ca="1">+GETPIVOTDATA("XXB4",'xabang (2016)'!$A$3,"MA_HT","PNK","MA_QH","NTS")</f>
        <v>0</v>
      </c>
      <c r="P57" s="22">
        <f ca="1">+GETPIVOTDATA("XXB4",'xabang (2016)'!$A$3,"MA_HT","PNK","MA_QH","LMU")</f>
        <v>0</v>
      </c>
      <c r="Q57" s="22">
        <f ca="1">+GETPIVOTDATA("XXB4",'xabang (2016)'!$A$3,"MA_HT","PNK","MA_QH","NKH")</f>
        <v>0</v>
      </c>
      <c r="R57" s="79">
        <f ca="1">SUM(S57:AA57,AN57:BC57)</f>
        <v>0</v>
      </c>
      <c r="S57" s="22">
        <f ca="1">+GETPIVOTDATA("XXB4",'xabang (2016)'!$A$3,"MA_HT","PNK","MA_QH","CQP")</f>
        <v>0</v>
      </c>
      <c r="T57" s="22">
        <f ca="1">+GETPIVOTDATA("XXB4",'xabang (2016)'!$A$3,"MA_HT","PNK","MA_QH","CAN")</f>
        <v>0</v>
      </c>
      <c r="U57" s="22">
        <f ca="1">+GETPIVOTDATA("XXB4",'xabang (2016)'!$A$3,"MA_HT","PNK","MA_QH","SKK")</f>
        <v>0</v>
      </c>
      <c r="V57" s="22">
        <f ca="1">+GETPIVOTDATA("XXB4",'xabang (2016)'!$A$3,"MA_HT","PNK","MA_QH","SKT")</f>
        <v>0</v>
      </c>
      <c r="W57" s="22">
        <f ca="1">+GETPIVOTDATA("XXB4",'xabang (2016)'!$A$3,"MA_HT","PNK","MA_QH","SKN")</f>
        <v>0</v>
      </c>
      <c r="X57" s="22">
        <f ca="1">+GETPIVOTDATA("XXB4",'xabang (2016)'!$A$3,"MA_HT","PNK","MA_QH","TMD")</f>
        <v>0</v>
      </c>
      <c r="Y57" s="22">
        <f ca="1">+GETPIVOTDATA("XXB4",'xabang (2016)'!$A$3,"MA_HT","PNK","MA_QH","SKC")</f>
        <v>0</v>
      </c>
      <c r="Z57" s="22">
        <f ca="1">+GETPIVOTDATA("XXB4",'xabang (2016)'!$A$3,"MA_HT","PNK","MA_QH","SKS")</f>
        <v>0</v>
      </c>
      <c r="AA57" s="52">
        <f ca="1" t="shared" si="21"/>
        <v>0</v>
      </c>
      <c r="AB57" s="22">
        <f ca="1">+GETPIVOTDATA("XXB4",'xabang (2016)'!$A$3,"MA_HT","PNK","MA_QH","DGT")</f>
        <v>0</v>
      </c>
      <c r="AC57" s="22">
        <f ca="1">+GETPIVOTDATA("XXB4",'xabang (2016)'!$A$3,"MA_HT","PNK","MA_QH","DTL")</f>
        <v>0</v>
      </c>
      <c r="AD57" s="22">
        <f ca="1">+GETPIVOTDATA("XXB4",'xabang (2016)'!$A$3,"MA_HT","PNK","MA_QH","DNL")</f>
        <v>0</v>
      </c>
      <c r="AE57" s="22">
        <f ca="1">+GETPIVOTDATA("XXB4",'xabang (2016)'!$A$3,"MA_HT","PNK","MA_QH","DBV")</f>
        <v>0</v>
      </c>
      <c r="AF57" s="22">
        <f ca="1">+GETPIVOTDATA("XXB4",'xabang (2016)'!$A$3,"MA_HT","PNK","MA_QH","DVH")</f>
        <v>0</v>
      </c>
      <c r="AG57" s="22">
        <f ca="1">+GETPIVOTDATA("XXB4",'xabang (2016)'!$A$3,"MA_HT","PNK","MA_QH","DYT")</f>
        <v>0</v>
      </c>
      <c r="AH57" s="22">
        <f ca="1">+GETPIVOTDATA("XXB4",'xabang (2016)'!$A$3,"MA_HT","PNK","MA_QH","DGD")</f>
        <v>0</v>
      </c>
      <c r="AI57" s="22">
        <f ca="1">+GETPIVOTDATA("XXB4",'xabang (2016)'!$A$3,"MA_HT","PNK","MA_QH","DTT")</f>
        <v>0</v>
      </c>
      <c r="AJ57" s="22">
        <f ca="1">+GETPIVOTDATA("XXB4",'xabang (2016)'!$A$3,"MA_HT","PNK","MA_QH","NCK")</f>
        <v>0</v>
      </c>
      <c r="AK57" s="22">
        <f ca="1">+GETPIVOTDATA("XXB4",'xabang (2016)'!$A$3,"MA_HT","PNK","MA_QH","DXH")</f>
        <v>0</v>
      </c>
      <c r="AL57" s="22">
        <f ca="1">+GETPIVOTDATA("XXB4",'xabang (2016)'!$A$3,"MA_HT","PNK","MA_QH","DCH")</f>
        <v>0</v>
      </c>
      <c r="AM57" s="22">
        <f ca="1">+GETPIVOTDATA("XXB4",'xabang (2016)'!$A$3,"MA_HT","PNK","MA_QH","DKG")</f>
        <v>0</v>
      </c>
      <c r="AN57" s="22">
        <f ca="1">+GETPIVOTDATA("XXB4",'xabang (2016)'!$A$3,"MA_HT","PNK","MA_QH","DDT")</f>
        <v>0</v>
      </c>
      <c r="AO57" s="22">
        <f ca="1">+GETPIVOTDATA("XXB4",'xabang (2016)'!$A$3,"MA_HT","PNK","MA_QH","DDL")</f>
        <v>0</v>
      </c>
      <c r="AP57" s="22">
        <f ca="1">+GETPIVOTDATA("XXB4",'xabang (2016)'!$A$3,"MA_HT","PNK","MA_QH","DRA")</f>
        <v>0</v>
      </c>
      <c r="AQ57" s="22">
        <f ca="1">+GETPIVOTDATA("XXB4",'xabang (2016)'!$A$3,"MA_HT","PNK","MA_QH","ONT")</f>
        <v>0</v>
      </c>
      <c r="AR57" s="22">
        <f ca="1">+GETPIVOTDATA("XXB4",'xabang (2016)'!$A$3,"MA_HT","PNK","MA_QH","ODT")</f>
        <v>0</v>
      </c>
      <c r="AS57" s="22">
        <f ca="1">+GETPIVOTDATA("XXB4",'xabang (2016)'!$A$3,"MA_HT","PNK","MA_QH","TSC")</f>
        <v>0</v>
      </c>
      <c r="AT57" s="22">
        <f ca="1">+GETPIVOTDATA("XXB4",'xabang (2016)'!$A$3,"MA_HT","PNK","MA_QH","DTS")</f>
        <v>0</v>
      </c>
      <c r="AU57" s="22">
        <f ca="1">+GETPIVOTDATA("XXB4",'xabang (2016)'!$A$3,"MA_HT","PNK","MA_QH","DNG")</f>
        <v>0</v>
      </c>
      <c r="AV57" s="22">
        <f ca="1">+GETPIVOTDATA("XXB4",'xabang (2016)'!$A$3,"MA_HT","PNK","MA_QH","TON")</f>
        <v>0</v>
      </c>
      <c r="AW57" s="22">
        <f ca="1">+GETPIVOTDATA("XXB4",'xabang (2016)'!$A$3,"MA_HT","PNK","MA_QH","NTD")</f>
        <v>0</v>
      </c>
      <c r="AX57" s="22">
        <f ca="1">+GETPIVOTDATA("XXB4",'xabang (2016)'!$A$3,"MA_HT","PNK","MA_QH","SKX")</f>
        <v>0</v>
      </c>
      <c r="AY57" s="22">
        <f ca="1">+GETPIVOTDATA("XXB4",'xabang (2016)'!$A$3,"MA_HT","PNK","MA_QH","DSH")</f>
        <v>0</v>
      </c>
      <c r="AZ57" s="22">
        <f ca="1">+GETPIVOTDATA("XXB4",'xabang (2016)'!$A$3,"MA_HT","PNK","MA_QH","DKV")</f>
        <v>0</v>
      </c>
      <c r="BA57" s="89">
        <f ca="1">+GETPIVOTDATA("XXB4",'xabang (2016)'!$A$3,"MA_HT","PNK","MA_QH","TIN")</f>
        <v>0</v>
      </c>
      <c r="BB57" s="50">
        <f ca="1">+GETPIVOTDATA("XXB4",'xabang (2016)'!$A$3,"MA_HT","PNK","MA_QH","SON")</f>
        <v>0</v>
      </c>
      <c r="BC57" s="50">
        <f ca="1">+GETPIVOTDATA("XXB4",'xabang (2016)'!$A$3,"MA_HT","PNK","MA_QH","MNC")</f>
        <v>0</v>
      </c>
      <c r="BD57" s="43" t="e">
        <f ca="1">$D57-$BF57</f>
        <v>#REF!</v>
      </c>
      <c r="BE57" s="71">
        <f ca="1">+GETPIVOTDATA("XXB4",'xabang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+GETPIVOTDATA("XXB4",'xabang (2016)'!$A$3,"MA_HT","CSD","MA_QH","LUC")</f>
        <v>0</v>
      </c>
      <c r="H58" s="71">
        <f ca="1">+GETPIVOTDATA("XXB4",'xabang (2016)'!$A$3,"MA_HT","CSD","MA_QH","LUK")</f>
        <v>0</v>
      </c>
      <c r="I58" s="71">
        <f ca="1">+GETPIVOTDATA("XXB4",'xabang (2016)'!$A$3,"MA_HT","CSD","MA_QH","LUN")</f>
        <v>0</v>
      </c>
      <c r="J58" s="71">
        <f ca="1">+GETPIVOTDATA("XXB4",'xabang (2016)'!$A$3,"MA_HT","CSD","MA_QH","HNK")</f>
        <v>0</v>
      </c>
      <c r="K58" s="71">
        <f ca="1">+GETPIVOTDATA("XXB4",'xabang (2016)'!$A$3,"MA_HT","CSD","MA_QH","CLN")</f>
        <v>0</v>
      </c>
      <c r="L58" s="71">
        <f ca="1">+GETPIVOTDATA("XXB4",'xabang (2016)'!$A$3,"MA_HT","CSD","MA_QH","RSX")</f>
        <v>0</v>
      </c>
      <c r="M58" s="71">
        <f ca="1">+GETPIVOTDATA("XXB4",'xabang (2016)'!$A$3,"MA_HT","CSD","MA_QH","RPH")</f>
        <v>0</v>
      </c>
      <c r="N58" s="71">
        <f ca="1">+GETPIVOTDATA("XXB4",'xabang (2016)'!$A$3,"MA_HT","CSD","MA_QH","RDD")</f>
        <v>0</v>
      </c>
      <c r="O58" s="71">
        <f ca="1">+GETPIVOTDATA("XXB4",'xabang (2016)'!$A$3,"MA_HT","CSD","MA_QH","NTS")</f>
        <v>0</v>
      </c>
      <c r="P58" s="71">
        <f ca="1">+GETPIVOTDATA("XXB4",'xabang (2016)'!$A$3,"MA_HT","CSD","MA_QH","LMU")</f>
        <v>0</v>
      </c>
      <c r="Q58" s="71">
        <f ca="1">+GETPIVOTDATA("XXB4",'xabang (2016)'!$A$3,"MA_HT","CSD","MA_QH","NKH")</f>
        <v>0</v>
      </c>
      <c r="R58" s="79">
        <f ca="1">SUM(S58:AA58,AN58:BD58)</f>
        <v>0</v>
      </c>
      <c r="S58" s="80">
        <f ca="1">+GETPIVOTDATA("XXB4",'xabang (2016)'!$A$3,"MA_HT","CSD","MA_QH","CQP")</f>
        <v>0</v>
      </c>
      <c r="T58" s="80">
        <f ca="1">+GETPIVOTDATA("XXB4",'xabang (2016)'!$A$3,"MA_HT","CSD","MA_QH","CAN")</f>
        <v>0</v>
      </c>
      <c r="U58" s="71">
        <f ca="1">+GETPIVOTDATA("XXB4",'xabang (2016)'!$A$3,"MA_HT","CSD","MA_QH","SKK")</f>
        <v>0</v>
      </c>
      <c r="V58" s="71">
        <f ca="1">+GETPIVOTDATA("XXB4",'xabang (2016)'!$A$3,"MA_HT","CSD","MA_QH","SKT")</f>
        <v>0</v>
      </c>
      <c r="W58" s="71">
        <f ca="1">+GETPIVOTDATA("XXB4",'xabang (2016)'!$A$3,"MA_HT","CSD","MA_QH","SKN")</f>
        <v>0</v>
      </c>
      <c r="X58" s="71">
        <f ca="1">+GETPIVOTDATA("XXB4",'xabang (2016)'!$A$3,"MA_HT","CSD","MA_QH","TMD")</f>
        <v>0</v>
      </c>
      <c r="Y58" s="71">
        <f ca="1">+GETPIVOTDATA("XXB4",'xabang (2016)'!$A$3,"MA_HT","CSD","MA_QH","SKC")</f>
        <v>0</v>
      </c>
      <c r="Z58" s="71">
        <f ca="1">+GETPIVOTDATA("XXB4",'xabang (2016)'!$A$3,"MA_HT","CSD","MA_QH","SKS")</f>
        <v>0</v>
      </c>
      <c r="AA58" s="52">
        <f ca="1" t="shared" si="21"/>
        <v>0</v>
      </c>
      <c r="AB58" s="80">
        <f ca="1">+GETPIVOTDATA("XXB4",'xabang (2016)'!$A$3,"MA_HT","CSD","MA_QH","DGT")</f>
        <v>0</v>
      </c>
      <c r="AC58" s="80">
        <f ca="1">+GETPIVOTDATA("XXB4",'xabang (2016)'!$A$3,"MA_HT","CSD","MA_QH","DTL")</f>
        <v>0</v>
      </c>
      <c r="AD58" s="80">
        <f ca="1">+GETPIVOTDATA("XXB4",'xabang (2016)'!$A$3,"MA_HT","CSD","MA_QH","DNL")</f>
        <v>0</v>
      </c>
      <c r="AE58" s="80">
        <f ca="1">+GETPIVOTDATA("XXB4",'xabang (2016)'!$A$3,"MA_HT","CSD","MA_QH","DBV")</f>
        <v>0</v>
      </c>
      <c r="AF58" s="80">
        <f ca="1">+GETPIVOTDATA("XXB4",'xabang (2016)'!$A$3,"MA_HT","CSD","MA_QH","DVH")</f>
        <v>0</v>
      </c>
      <c r="AG58" s="80">
        <f ca="1">+GETPIVOTDATA("XXB4",'xabang (2016)'!$A$3,"MA_HT","CSD","MA_QH","DYT")</f>
        <v>0</v>
      </c>
      <c r="AH58" s="80">
        <f ca="1">+GETPIVOTDATA("XXB4",'xabang (2016)'!$A$3,"MA_HT","CSD","MA_QH","DGD")</f>
        <v>0</v>
      </c>
      <c r="AI58" s="80">
        <f ca="1">+GETPIVOTDATA("XXB4",'xabang (2016)'!$A$3,"MA_HT","CSD","MA_QH","DTT")</f>
        <v>0</v>
      </c>
      <c r="AJ58" s="80">
        <f ca="1">+GETPIVOTDATA("XXB4",'xabang (2016)'!$A$3,"MA_HT","CSD","MA_QH","NCK")</f>
        <v>0</v>
      </c>
      <c r="AK58" s="80">
        <f ca="1">+GETPIVOTDATA("XXB4",'xabang (2016)'!$A$3,"MA_HT","CSD","MA_QH","DXH")</f>
        <v>0</v>
      </c>
      <c r="AL58" s="80">
        <f ca="1">+GETPIVOTDATA("XXB4",'xabang (2016)'!$A$3,"MA_HT","CSD","MA_QH","DCH")</f>
        <v>0</v>
      </c>
      <c r="AM58" s="80">
        <f ca="1">+GETPIVOTDATA("XXB4",'xabang (2016)'!$A$3,"MA_HT","CSD","MA_QH","DKG")</f>
        <v>0</v>
      </c>
      <c r="AN58" s="71">
        <f ca="1">+GETPIVOTDATA("XXB4",'xabang (2016)'!$A$3,"MA_HT","CSD","MA_QH","DDT")</f>
        <v>0</v>
      </c>
      <c r="AO58" s="71">
        <f ca="1">+GETPIVOTDATA("XXB4",'xabang (2016)'!$A$3,"MA_HT","CSD","MA_QH","DDL")</f>
        <v>0</v>
      </c>
      <c r="AP58" s="71">
        <f ca="1">+GETPIVOTDATA("XXB4",'xabang (2016)'!$A$3,"MA_HT","CSD","MA_QH","DRA")</f>
        <v>0</v>
      </c>
      <c r="AQ58" s="71">
        <f ca="1">+GETPIVOTDATA("XXB4",'xabang (2016)'!$A$3,"MA_HT","CSD","MA_QH","ONT")</f>
        <v>0</v>
      </c>
      <c r="AR58" s="71">
        <f ca="1">+GETPIVOTDATA("XXB4",'xabang (2016)'!$A$3,"MA_HT","CSD","MA_QH","ODT")</f>
        <v>0</v>
      </c>
      <c r="AS58" s="71">
        <f ca="1">+GETPIVOTDATA("XXB4",'xabang (2016)'!$A$3,"MA_HT","CSD","MA_QH","TSC")</f>
        <v>0</v>
      </c>
      <c r="AT58" s="71">
        <f ca="1">+GETPIVOTDATA("XXB4",'xabang (2016)'!$A$3,"MA_HT","CSD","MA_QH","DTS")</f>
        <v>0</v>
      </c>
      <c r="AU58" s="71">
        <f ca="1">+GETPIVOTDATA("XXB4",'xabang (2016)'!$A$3,"MA_HT","CSD","MA_QH","DNG")</f>
        <v>0</v>
      </c>
      <c r="AV58" s="71">
        <f ca="1">+GETPIVOTDATA("XXB4",'xabang (2016)'!$A$3,"MA_HT","CSD","MA_QH","TON")</f>
        <v>0</v>
      </c>
      <c r="AW58" s="71">
        <f ca="1">+GETPIVOTDATA("XXB4",'xabang (2016)'!$A$3,"MA_HT","CSD","MA_QH","NTD")</f>
        <v>0</v>
      </c>
      <c r="AX58" s="71">
        <f ca="1">+GETPIVOTDATA("XXB4",'xabang (2016)'!$A$3,"MA_HT","CSD","MA_QH","SKX")</f>
        <v>0</v>
      </c>
      <c r="AY58" s="71">
        <f ca="1">+GETPIVOTDATA("XXB4",'xabang (2016)'!$A$3,"MA_HT","CSD","MA_QH","DSH")</f>
        <v>0</v>
      </c>
      <c r="AZ58" s="71">
        <f ca="1">+GETPIVOTDATA("XXB4",'xabang (2016)'!$A$3,"MA_HT","CSD","MA_QH","DKV")</f>
        <v>0</v>
      </c>
      <c r="BA58" s="89">
        <f ca="1">+GETPIVOTDATA("XXB4",'xabang (2016)'!$A$3,"MA_HT","CSD","MA_QH","TIN")</f>
        <v>0</v>
      </c>
      <c r="BB58" s="80">
        <f ca="1">+GETPIVOTDATA("XXB4",'xabang (2016)'!$A$3,"MA_HT","CSD","MA_QH","SON")</f>
        <v>0</v>
      </c>
      <c r="BC58" s="80">
        <f ca="1">+GETPIVOTDATA("XXB4",'xabang (2016)'!$A$3,"MA_HT","CSD","MA_QH","MNC")</f>
        <v>0</v>
      </c>
      <c r="BD58" s="71">
        <f ca="1">+GETPIVOTDATA("XXB4",'xabang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4">
    <tabColor rgb="FFFF0000"/>
  </sheetPr>
  <dimension ref="A1:IL61"/>
  <sheetViews>
    <sheetView workbookViewId="0">
      <selection activeCell="A1" sqref="A1"/>
    </sheetView>
  </sheetViews>
  <sheetFormatPr defaultColWidth="9" defaultRowHeight="15"/>
  <cols>
    <col min="1" max="1" width="6.4" style="7" customWidth="1"/>
    <col min="2" max="2" width="29.1" style="7" customWidth="1"/>
    <col min="3" max="3" width="6" style="7" customWidth="1"/>
    <col min="4" max="4" width="9.7" style="8" customWidth="1"/>
    <col min="5" max="5" width="9.4" style="9" customWidth="1"/>
    <col min="6" max="6" width="7" style="8" customWidth="1"/>
    <col min="7" max="7" width="7.7" style="8" customWidth="1"/>
    <col min="8" max="8" width="7" style="8" customWidth="1"/>
    <col min="9" max="9" width="6.9" style="8" customWidth="1"/>
    <col min="10" max="10" width="7.6" style="8" customWidth="1"/>
    <col min="11" max="11" width="9.1" style="8" customWidth="1"/>
    <col min="12" max="12" width="8.2" style="8" customWidth="1"/>
    <col min="13" max="13" width="6" style="8" customWidth="1"/>
    <col min="14" max="14" width="6.2" style="8" customWidth="1"/>
    <col min="15" max="15" width="5.9" style="8" customWidth="1"/>
    <col min="16" max="16" width="5.7" style="8" customWidth="1"/>
    <col min="17" max="17" width="6.2" style="8" customWidth="1"/>
    <col min="18" max="18" width="8.7" style="10" customWidth="1"/>
    <col min="19" max="19" width="7.1" style="8" customWidth="1"/>
    <col min="20" max="20" width="7.7" style="8" customWidth="1"/>
    <col min="21" max="23" width="6.1" style="8" customWidth="1"/>
    <col min="24" max="24" width="7.1" style="8" customWidth="1"/>
    <col min="25" max="25" width="7.7" style="8" customWidth="1"/>
    <col min="26" max="26" width="6.9" style="8" customWidth="1"/>
    <col min="27" max="27" width="7.4" style="8" customWidth="1"/>
    <col min="28" max="28" width="9" style="8"/>
    <col min="29" max="29" width="7.2" style="8" customWidth="1"/>
    <col min="30" max="30" width="7" style="8" customWidth="1"/>
    <col min="31" max="31" width="6.1" style="8" customWidth="1"/>
    <col min="32" max="33" width="6.6" style="8" customWidth="1"/>
    <col min="34" max="34" width="6.1" style="8" customWidth="1"/>
    <col min="35" max="35" width="8.5" style="8" customWidth="1"/>
    <col min="36" max="36" width="8.9" style="8" customWidth="1"/>
    <col min="37" max="37" width="8.7" style="8" customWidth="1"/>
    <col min="38" max="39" width="6.6" style="8" customWidth="1"/>
    <col min="40" max="41" width="6.9" style="8" customWidth="1"/>
    <col min="42" max="42" width="6.7" style="8" customWidth="1"/>
    <col min="43" max="43" width="6.4" style="8" customWidth="1"/>
    <col min="44" max="44" width="6.1" style="8" customWidth="1"/>
    <col min="45" max="46" width="5.7" style="8" customWidth="1"/>
    <col min="47" max="47" width="6.5" style="8" customWidth="1"/>
    <col min="48" max="49" width="5.6" style="8" customWidth="1"/>
    <col min="50" max="51" width="6.1" style="8" customWidth="1"/>
    <col min="52" max="52" width="7.6" style="8" customWidth="1"/>
    <col min="53" max="53" width="9.4" style="11" customWidth="1"/>
    <col min="54" max="54" width="6.6" style="12" customWidth="1"/>
    <col min="55" max="55" width="6.2" style="12" customWidth="1"/>
    <col min="56" max="56" width="7.1" style="8" customWidth="1"/>
    <col min="57" max="57" width="6.2" style="9" customWidth="1"/>
    <col min="58" max="58" width="7.2" style="11" customWidth="1"/>
    <col min="59" max="59" width="8.2" style="11" customWidth="1"/>
    <col min="60" max="60" width="10.1" style="11" customWidth="1"/>
    <col min="61" max="61" width="5.1" style="7" customWidth="1"/>
    <col min="62" max="62" width="8.4" style="7" hidden="1" customWidth="1"/>
    <col min="63" max="63" width="9" style="7" hidden="1" customWidth="1"/>
    <col min="64" max="64" width="4.9" style="7" customWidth="1"/>
    <col min="65" max="65" width="6.2" style="7" customWidth="1"/>
    <col min="66" max="66" width="5" style="7" customWidth="1"/>
    <col min="67" max="67" width="4.2" style="7" customWidth="1"/>
    <col min="68" max="68" width="5.4" style="7" customWidth="1"/>
    <col min="69" max="69" width="5.1" style="7" customWidth="1"/>
    <col min="70" max="70" width="4.6" style="7" customWidth="1"/>
    <col min="71" max="71" width="5.6" style="7" customWidth="1"/>
    <col min="72" max="72" width="5.9" style="7" customWidth="1"/>
    <col min="73" max="73" width="5" style="7" customWidth="1"/>
    <col min="74" max="74" width="3.9" style="7" customWidth="1"/>
    <col min="75" max="75" width="4.6" style="7" customWidth="1"/>
    <col min="76" max="76" width="5.5" style="7" customWidth="1"/>
    <col min="77" max="77" width="7.6" style="13" customWidth="1"/>
    <col min="78" max="79" width="8.4" style="13" customWidth="1"/>
    <col min="80" max="80" width="7.5" style="7" customWidth="1"/>
    <col min="81" max="16384" width="9" style="7"/>
  </cols>
  <sheetData>
    <row r="1" ht="21" customHeight="1" spans="1:82">
      <c r="A1" s="14" t="s">
        <v>705</v>
      </c>
      <c r="B1" s="15"/>
      <c r="C1" s="16" t="e">
        <f>+"CHU CHUYỂN ĐẤT ĐAI TRONG KẾ HOẠCH SỬ DỤNG ĐẤT NĂM 2015 CỦA "&amp;#REF!</f>
        <v>#REF!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83"/>
      <c r="BC1" s="83"/>
      <c r="BD1" s="18"/>
      <c r="BE1" s="18"/>
      <c r="BF1" s="18"/>
      <c r="BG1" s="18"/>
      <c r="BH1" s="18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7"/>
      <c r="BZ1" s="7"/>
      <c r="CA1" s="7"/>
      <c r="CB1" s="8"/>
      <c r="CC1" s="8"/>
      <c r="CD1" s="8"/>
    </row>
    <row r="2" s="1" customFormat="1" ht="7.5" customHeight="1" spans="1:82">
      <c r="A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9"/>
      <c r="BA2" s="20"/>
      <c r="BB2" s="84"/>
      <c r="BC2" s="84"/>
      <c r="BD2" s="20"/>
      <c r="BE2" s="20"/>
      <c r="BF2" s="20"/>
      <c r="BG2" s="20"/>
      <c r="BH2" s="95" t="s">
        <v>153</v>
      </c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CB2" s="9"/>
      <c r="CC2" s="9"/>
      <c r="CD2" s="9"/>
    </row>
    <row r="3" s="2" customFormat="1" ht="15.75" customHeight="1" spans="1:79">
      <c r="A3" s="21" t="s">
        <v>154</v>
      </c>
      <c r="B3" s="21" t="s">
        <v>706</v>
      </c>
      <c r="C3" s="21" t="s">
        <v>707</v>
      </c>
      <c r="D3" s="22"/>
      <c r="E3" s="23" t="s">
        <v>708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5"/>
      <c r="BC3" s="85"/>
      <c r="BD3" s="24"/>
      <c r="BE3" s="97"/>
      <c r="BF3" s="22"/>
      <c r="BG3" s="22"/>
      <c r="BH3" s="2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="2" customFormat="1" ht="31.5" customHeight="1" spans="1:79">
      <c r="A4" s="25"/>
      <c r="B4" s="25"/>
      <c r="C4" s="25"/>
      <c r="D4" s="26" t="s">
        <v>709</v>
      </c>
      <c r="E4" s="27" t="s">
        <v>18</v>
      </c>
      <c r="F4" s="28" t="s">
        <v>22</v>
      </c>
      <c r="G4" s="29" t="s">
        <v>24</v>
      </c>
      <c r="H4" s="29" t="s">
        <v>465</v>
      </c>
      <c r="I4" s="29" t="s">
        <v>684</v>
      </c>
      <c r="J4" s="28" t="s">
        <v>27</v>
      </c>
      <c r="K4" s="28" t="s">
        <v>30</v>
      </c>
      <c r="L4" s="28" t="s">
        <v>38</v>
      </c>
      <c r="M4" s="28" t="s">
        <v>33</v>
      </c>
      <c r="N4" s="28" t="s">
        <v>182</v>
      </c>
      <c r="O4" s="76" t="s">
        <v>43</v>
      </c>
      <c r="P4" s="28" t="s">
        <v>46</v>
      </c>
      <c r="Q4" s="28" t="s">
        <v>49</v>
      </c>
      <c r="R4" s="37" t="s">
        <v>51</v>
      </c>
      <c r="S4" s="40" t="s">
        <v>54</v>
      </c>
      <c r="T4" s="40" t="s">
        <v>57</v>
      </c>
      <c r="U4" s="40" t="s">
        <v>60</v>
      </c>
      <c r="V4" s="40" t="s">
        <v>686</v>
      </c>
      <c r="W4" s="40" t="s">
        <v>63</v>
      </c>
      <c r="X4" s="40" t="s">
        <v>66</v>
      </c>
      <c r="Y4" s="40" t="s">
        <v>69</v>
      </c>
      <c r="Z4" s="40" t="s">
        <v>72</v>
      </c>
      <c r="AA4" s="40" t="s">
        <v>78</v>
      </c>
      <c r="AB4" s="46" t="s">
        <v>81</v>
      </c>
      <c r="AC4" s="46" t="s">
        <v>83</v>
      </c>
      <c r="AD4" s="46" t="s">
        <v>93</v>
      </c>
      <c r="AE4" s="46" t="s">
        <v>95</v>
      </c>
      <c r="AF4" s="46" t="s">
        <v>85</v>
      </c>
      <c r="AG4" s="46" t="s">
        <v>87</v>
      </c>
      <c r="AH4" s="46" t="s">
        <v>89</v>
      </c>
      <c r="AI4" s="46" t="s">
        <v>91</v>
      </c>
      <c r="AJ4" s="46" t="s">
        <v>685</v>
      </c>
      <c r="AK4" s="46" t="s">
        <v>109</v>
      </c>
      <c r="AL4" s="46" t="s">
        <v>111</v>
      </c>
      <c r="AM4" s="46" t="s">
        <v>97</v>
      </c>
      <c r="AN4" s="40" t="s">
        <v>99</v>
      </c>
      <c r="AO4" s="40" t="s">
        <v>114</v>
      </c>
      <c r="AP4" s="40" t="s">
        <v>101</v>
      </c>
      <c r="AQ4" s="40" t="s">
        <v>123</v>
      </c>
      <c r="AR4" s="40" t="s">
        <v>126</v>
      </c>
      <c r="AS4" s="40" t="s">
        <v>129</v>
      </c>
      <c r="AT4" s="40" t="s">
        <v>132</v>
      </c>
      <c r="AU4" s="40" t="s">
        <v>135</v>
      </c>
      <c r="AV4" s="40" t="s">
        <v>103</v>
      </c>
      <c r="AW4" s="40" t="s">
        <v>105</v>
      </c>
      <c r="AX4" s="40" t="s">
        <v>75</v>
      </c>
      <c r="AY4" s="40" t="s">
        <v>117</v>
      </c>
      <c r="AZ4" s="40" t="s">
        <v>120</v>
      </c>
      <c r="BA4" s="40" t="s">
        <v>138</v>
      </c>
      <c r="BB4" s="40" t="s">
        <v>141</v>
      </c>
      <c r="BC4" s="40" t="s">
        <v>144</v>
      </c>
      <c r="BD4" s="40" t="s">
        <v>147</v>
      </c>
      <c r="BE4" s="27" t="s">
        <v>150</v>
      </c>
      <c r="BF4" s="99" t="s">
        <v>710</v>
      </c>
      <c r="BG4" s="100" t="s">
        <v>711</v>
      </c>
      <c r="BH4" s="26" t="s">
        <v>709</v>
      </c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="2" customFormat="1" ht="15.75" customHeight="1" spans="1:79">
      <c r="A5" s="30"/>
      <c r="B5" s="30" t="s">
        <v>712</v>
      </c>
      <c r="C5" s="31"/>
      <c r="D5" s="32" t="e">
        <f>+#REF!</f>
        <v>#REF!</v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86"/>
      <c r="BC5" s="86"/>
      <c r="BD5" s="34"/>
      <c r="BE5" s="33"/>
      <c r="BF5" s="34"/>
      <c r="BG5" s="34"/>
      <c r="BH5" s="34" t="e">
        <f ca="1">BH6+BH19+BH58</f>
        <v>#REF!</v>
      </c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</row>
    <row r="6" s="3" customFormat="1" ht="15.75" customHeight="1" spans="1:79">
      <c r="A6" s="35">
        <v>1</v>
      </c>
      <c r="B6" s="36" t="s">
        <v>17</v>
      </c>
      <c r="C6" s="37" t="s">
        <v>18</v>
      </c>
      <c r="D6" s="33" t="e">
        <f>+#REF!</f>
        <v>#REF!</v>
      </c>
      <c r="E6" s="38" t="e">
        <f ca="1">$D6-$BF6</f>
        <v>#REF!</v>
      </c>
      <c r="F6" s="33">
        <f ca="1">SUM(F11:F18)</f>
        <v>0</v>
      </c>
      <c r="G6" s="33">
        <f ca="1">SUM(G7,G11:G18)</f>
        <v>0</v>
      </c>
      <c r="H6" s="33">
        <f ca="1">SUM(H7,H11:H18)</f>
        <v>0</v>
      </c>
      <c r="I6" s="33">
        <f ca="1">SUM(I7,I11:I18)</f>
        <v>0</v>
      </c>
      <c r="J6" s="33">
        <f ca="1">SUM(J7,J12:J18)</f>
        <v>0</v>
      </c>
      <c r="K6" s="33">
        <f ca="1">SUM(K7,K11,K13:K18)</f>
        <v>0</v>
      </c>
      <c r="L6" s="33">
        <f ca="1">SUM(L7,L11:L12,L14:L18)</f>
        <v>0</v>
      </c>
      <c r="M6" s="33">
        <f ca="1">SUM(M7,M11:M13,M15:M18)</f>
        <v>0</v>
      </c>
      <c r="N6" s="33">
        <f ca="1">SUM(N7,N11:N14,N16:N18)</f>
        <v>0</v>
      </c>
      <c r="O6" s="33">
        <f ca="1">SUM(O7,O11:O15,O17:O18)</f>
        <v>0</v>
      </c>
      <c r="P6" s="33">
        <f ca="1">SUM(P7,P11:P16,P18:P18)</f>
        <v>0</v>
      </c>
      <c r="Q6" s="33">
        <f ca="1">SUM(Q7,Q11:Q17)</f>
        <v>0</v>
      </c>
      <c r="R6" s="33">
        <f ca="1">SUM(R7,R11:R18)</f>
        <v>0</v>
      </c>
      <c r="S6" s="33">
        <f ca="1">SUM(S7,S11:S18)</f>
        <v>0</v>
      </c>
      <c r="T6" s="33">
        <f ca="1" t="shared" ref="T6:BE6" si="0">SUM(T7,T11:T18)</f>
        <v>0</v>
      </c>
      <c r="U6" s="33">
        <f ca="1" t="shared" si="0"/>
        <v>0</v>
      </c>
      <c r="V6" s="33">
        <f ca="1" t="shared" si="0"/>
        <v>0</v>
      </c>
      <c r="W6" s="33">
        <f ca="1" t="shared" si="0"/>
        <v>0</v>
      </c>
      <c r="X6" s="33">
        <f ca="1" t="shared" si="0"/>
        <v>0</v>
      </c>
      <c r="Y6" s="33">
        <f ca="1" t="shared" si="0"/>
        <v>0</v>
      </c>
      <c r="Z6" s="33">
        <f ca="1" t="shared" si="0"/>
        <v>0</v>
      </c>
      <c r="AA6" s="33">
        <f ca="1" t="shared" si="0"/>
        <v>0</v>
      </c>
      <c r="AB6" s="33">
        <f ca="1" t="shared" si="0"/>
        <v>0</v>
      </c>
      <c r="AC6" s="33">
        <f ca="1" t="shared" si="0"/>
        <v>0</v>
      </c>
      <c r="AD6" s="33">
        <f ca="1" t="shared" si="0"/>
        <v>0</v>
      </c>
      <c r="AE6" s="33">
        <f ca="1" t="shared" si="0"/>
        <v>0</v>
      </c>
      <c r="AF6" s="33">
        <f ca="1" t="shared" si="0"/>
        <v>0</v>
      </c>
      <c r="AG6" s="33">
        <f ca="1" t="shared" si="0"/>
        <v>0</v>
      </c>
      <c r="AH6" s="33">
        <f ca="1" t="shared" si="0"/>
        <v>0</v>
      </c>
      <c r="AI6" s="33">
        <f ca="1" t="shared" si="0"/>
        <v>0</v>
      </c>
      <c r="AJ6" s="33">
        <f ca="1" t="shared" si="0"/>
        <v>0</v>
      </c>
      <c r="AK6" s="33">
        <f ca="1" t="shared" si="0"/>
        <v>0</v>
      </c>
      <c r="AL6" s="33">
        <f ca="1" t="shared" si="0"/>
        <v>0</v>
      </c>
      <c r="AM6" s="33">
        <f ca="1" t="shared" si="0"/>
        <v>0</v>
      </c>
      <c r="AN6" s="33">
        <f ca="1" t="shared" si="0"/>
        <v>0</v>
      </c>
      <c r="AO6" s="33">
        <f ca="1" t="shared" si="0"/>
        <v>0</v>
      </c>
      <c r="AP6" s="33">
        <f ca="1" t="shared" si="0"/>
        <v>0</v>
      </c>
      <c r="AQ6" s="33">
        <f ca="1" t="shared" si="0"/>
        <v>0</v>
      </c>
      <c r="AR6" s="33">
        <f ca="1" t="shared" si="0"/>
        <v>0</v>
      </c>
      <c r="AS6" s="33">
        <f ca="1" t="shared" si="0"/>
        <v>0</v>
      </c>
      <c r="AT6" s="33">
        <f ca="1" t="shared" si="0"/>
        <v>0</v>
      </c>
      <c r="AU6" s="33">
        <f ca="1" t="shared" si="0"/>
        <v>0</v>
      </c>
      <c r="AV6" s="33">
        <f ca="1" t="shared" si="0"/>
        <v>0</v>
      </c>
      <c r="AW6" s="33">
        <f ca="1" t="shared" si="0"/>
        <v>0</v>
      </c>
      <c r="AX6" s="33">
        <f ca="1" t="shared" si="0"/>
        <v>0</v>
      </c>
      <c r="AY6" s="33">
        <f ca="1" t="shared" si="0"/>
        <v>0</v>
      </c>
      <c r="AZ6" s="33">
        <f ca="1" t="shared" si="0"/>
        <v>0</v>
      </c>
      <c r="BA6" s="33">
        <f ca="1" t="shared" si="0"/>
        <v>0</v>
      </c>
      <c r="BB6" s="33">
        <f ca="1" t="shared" si="0"/>
        <v>0</v>
      </c>
      <c r="BC6" s="33">
        <f ca="1" t="shared" si="0"/>
        <v>0</v>
      </c>
      <c r="BD6" s="33">
        <f ca="1" t="shared" si="0"/>
        <v>0</v>
      </c>
      <c r="BE6" s="33">
        <f ca="1" t="shared" si="0"/>
        <v>0</v>
      </c>
      <c r="BF6" s="74">
        <f ca="1">BE6+R6</f>
        <v>0</v>
      </c>
      <c r="BG6" s="101">
        <f ca="1">E$59-$BF6</f>
        <v>0</v>
      </c>
      <c r="BH6" s="33" t="e">
        <f ca="1">SUM(BH7,BH11:BH18)</f>
        <v>#REF!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="2" customFormat="1" ht="15.75" customHeight="1" spans="1:79">
      <c r="A7" s="39" t="s">
        <v>20</v>
      </c>
      <c r="B7" s="39" t="s">
        <v>21</v>
      </c>
      <c r="C7" s="40" t="s">
        <v>22</v>
      </c>
      <c r="D7" s="41" t="e">
        <f>+#REF!</f>
        <v>#REF!</v>
      </c>
      <c r="E7" s="42">
        <f ca="1">SUM(J7:Q7)</f>
        <v>0</v>
      </c>
      <c r="F7" s="43" t="e">
        <f ca="1">$D7-$BF7</f>
        <v>#REF!</v>
      </c>
      <c r="G7" s="44">
        <f ca="1">SUM(G9:G10)</f>
        <v>0</v>
      </c>
      <c r="H7" s="44">
        <f ca="1">SUM(H8,H10)</f>
        <v>0</v>
      </c>
      <c r="I7" s="44">
        <f ca="1">SUM(I8:I9)</f>
        <v>0</v>
      </c>
      <c r="J7" s="44">
        <f ca="1">SUM(J8:J10)</f>
        <v>0</v>
      </c>
      <c r="K7" s="44">
        <f ca="1" t="shared" ref="K7:Q7" si="1">SUM(K8:K10)</f>
        <v>0</v>
      </c>
      <c r="L7" s="44">
        <f ca="1" t="shared" si="1"/>
        <v>0</v>
      </c>
      <c r="M7" s="44">
        <f ca="1" t="shared" si="1"/>
        <v>0</v>
      </c>
      <c r="N7" s="44">
        <f ca="1" t="shared" si="1"/>
        <v>0</v>
      </c>
      <c r="O7" s="44">
        <f ca="1" t="shared" si="1"/>
        <v>0</v>
      </c>
      <c r="P7" s="44">
        <f ca="1" t="shared" si="1"/>
        <v>0</v>
      </c>
      <c r="Q7" s="44">
        <f ca="1" t="shared" si="1"/>
        <v>0</v>
      </c>
      <c r="R7" s="42">
        <f ca="1" t="shared" ref="R7:R18" si="2">SUM(S7:AA7,AN7:BD7)</f>
        <v>0</v>
      </c>
      <c r="S7" s="52">
        <f ca="1" t="shared" ref="S7:AY7" si="3">SUM(S8:S10)</f>
        <v>0</v>
      </c>
      <c r="T7" s="52">
        <f ca="1" t="shared" si="3"/>
        <v>0</v>
      </c>
      <c r="U7" s="52">
        <f ca="1" t="shared" si="3"/>
        <v>0</v>
      </c>
      <c r="V7" s="52">
        <f ca="1" t="shared" si="3"/>
        <v>0</v>
      </c>
      <c r="W7" s="52">
        <f ca="1" t="shared" si="3"/>
        <v>0</v>
      </c>
      <c r="X7" s="52">
        <f ca="1" t="shared" si="3"/>
        <v>0</v>
      </c>
      <c r="Y7" s="52">
        <f ca="1" t="shared" si="3"/>
        <v>0</v>
      </c>
      <c r="Z7" s="52">
        <f ca="1" t="shared" si="3"/>
        <v>0</v>
      </c>
      <c r="AA7" s="52">
        <f ca="1" t="shared" ref="AA7:AA18" si="4">+SUM(AB7:AM7)</f>
        <v>0</v>
      </c>
      <c r="AB7" s="52">
        <f ca="1" t="shared" ref="AB7:AM7" si="5">SUM(AB8:AB10)</f>
        <v>0</v>
      </c>
      <c r="AC7" s="52">
        <f ca="1" t="shared" si="5"/>
        <v>0</v>
      </c>
      <c r="AD7" s="52">
        <f ca="1" t="shared" si="5"/>
        <v>0</v>
      </c>
      <c r="AE7" s="52">
        <f ca="1" t="shared" si="5"/>
        <v>0</v>
      </c>
      <c r="AF7" s="52">
        <f ca="1" t="shared" si="5"/>
        <v>0</v>
      </c>
      <c r="AG7" s="52">
        <f ca="1" t="shared" si="5"/>
        <v>0</v>
      </c>
      <c r="AH7" s="52">
        <f ca="1" t="shared" si="5"/>
        <v>0</v>
      </c>
      <c r="AI7" s="52">
        <f ca="1" t="shared" si="5"/>
        <v>0</v>
      </c>
      <c r="AJ7" s="52">
        <f ca="1" t="shared" si="5"/>
        <v>0</v>
      </c>
      <c r="AK7" s="52">
        <f ca="1" t="shared" si="5"/>
        <v>0</v>
      </c>
      <c r="AL7" s="52">
        <f ca="1" t="shared" si="5"/>
        <v>0</v>
      </c>
      <c r="AM7" s="52">
        <f ca="1" t="shared" si="5"/>
        <v>0</v>
      </c>
      <c r="AN7" s="52">
        <f ca="1" t="shared" si="3"/>
        <v>0</v>
      </c>
      <c r="AO7" s="52">
        <f ca="1" t="shared" si="3"/>
        <v>0</v>
      </c>
      <c r="AP7" s="52">
        <f ca="1" t="shared" si="3"/>
        <v>0</v>
      </c>
      <c r="AQ7" s="52">
        <f ca="1" t="shared" si="3"/>
        <v>0</v>
      </c>
      <c r="AR7" s="52">
        <f ca="1" t="shared" si="3"/>
        <v>0</v>
      </c>
      <c r="AS7" s="52">
        <f ca="1" t="shared" si="3"/>
        <v>0</v>
      </c>
      <c r="AT7" s="52">
        <f ca="1" t="shared" si="3"/>
        <v>0</v>
      </c>
      <c r="AU7" s="52">
        <f ca="1" t="shared" si="3"/>
        <v>0</v>
      </c>
      <c r="AV7" s="52">
        <f ca="1" t="shared" si="3"/>
        <v>0</v>
      </c>
      <c r="AW7" s="52">
        <f ca="1" t="shared" si="3"/>
        <v>0</v>
      </c>
      <c r="AX7" s="52">
        <f ca="1" t="shared" si="3"/>
        <v>0</v>
      </c>
      <c r="AY7" s="52">
        <f ca="1" t="shared" si="3"/>
        <v>0</v>
      </c>
      <c r="AZ7" s="52">
        <f ca="1" t="shared" ref="AZ7:BE7" si="6">SUM(AZ8:AZ10)</f>
        <v>0</v>
      </c>
      <c r="BA7" s="87">
        <f ca="1" t="shared" si="6"/>
        <v>0</v>
      </c>
      <c r="BB7" s="52">
        <f ca="1" t="shared" si="6"/>
        <v>0</v>
      </c>
      <c r="BC7" s="52">
        <f ca="1" t="shared" si="6"/>
        <v>0</v>
      </c>
      <c r="BD7" s="52">
        <f ca="1" t="shared" si="6"/>
        <v>0</v>
      </c>
      <c r="BE7" s="52">
        <f ca="1" t="shared" si="6"/>
        <v>0</v>
      </c>
      <c r="BF7" s="74">
        <f ca="1" t="shared" ref="BF7:BF18" si="7">BE7+R7+E7</f>
        <v>0</v>
      </c>
      <c r="BG7" s="101">
        <f ca="1">F$59-$BF7</f>
        <v>0</v>
      </c>
      <c r="BH7" s="41" t="e">
        <f ca="1" t="shared" ref="BH7:BH18" si="8">BG7+D7</f>
        <v>#REF!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="4" customFormat="1" ht="15.75" customHeight="1" spans="1:79">
      <c r="A8" s="45"/>
      <c r="B8" s="662" t="s">
        <v>589</v>
      </c>
      <c r="C8" s="46" t="s">
        <v>24</v>
      </c>
      <c r="D8" s="47" t="e">
        <f>+#REF!</f>
        <v>#REF!</v>
      </c>
      <c r="E8" s="48">
        <f ca="1">SUM(F8,J8:Q8)</f>
        <v>0</v>
      </c>
      <c r="F8" s="44">
        <f ca="1">SUM(H8:I8)</f>
        <v>0</v>
      </c>
      <c r="G8" s="49" t="e">
        <f ca="1">$D8-$BF8</f>
        <v>#REF!</v>
      </c>
      <c r="H8" s="50">
        <f ca="1">+GETPIVOTDATA("XXS4",'xuanson (2016)'!$A$3,"MA_HT","LUC","MA_QH","LUK")</f>
        <v>0</v>
      </c>
      <c r="I8" s="50">
        <f ca="1">+GETPIVOTDATA("XXS4",'xuanson (2016)'!$A$3,"MA_HT","LUC","MA_QH","LUN")</f>
        <v>0</v>
      </c>
      <c r="J8" s="50">
        <f ca="1">+GETPIVOTDATA("XXS4",'xuanson (2016)'!$A$3,"MA_HT","LUC","MA_QH","HNK")</f>
        <v>0</v>
      </c>
      <c r="K8" s="50">
        <f ca="1">+GETPIVOTDATA("XXS4",'xuanson (2016)'!$A$3,"MA_HT","LUC","MA_QH","CLN")</f>
        <v>0</v>
      </c>
      <c r="L8" s="50">
        <f ca="1">+GETPIVOTDATA("XXS4",'xuanson (2016)'!$A$3,"MA_HT","LUC","MA_QH","RSX")</f>
        <v>0</v>
      </c>
      <c r="M8" s="50">
        <f ca="1">+GETPIVOTDATA("XXS4",'xuanson (2016)'!$A$3,"MA_HT","LUC","MA_QH","RPH")</f>
        <v>0</v>
      </c>
      <c r="N8" s="50">
        <f ca="1">+GETPIVOTDATA("XXS4",'xuanson (2016)'!$A$3,"MA_HT","LUC","MA_QH","RDD")</f>
        <v>0</v>
      </c>
      <c r="O8" s="50">
        <f ca="1">+GETPIVOTDATA("XXS4",'xuanson (2016)'!$A$3,"MA_HT","LUC","MA_QH","NTS")</f>
        <v>0</v>
      </c>
      <c r="P8" s="50">
        <f ca="1">+GETPIVOTDATA("XXS4",'xuanson (2016)'!$A$3,"MA_HT","LUC","MA_QH","LMU")</f>
        <v>0</v>
      </c>
      <c r="Q8" s="50">
        <f ca="1">+GETPIVOTDATA("XXS4",'xuanson (2016)'!$A$3,"MA_HT","LUC","MA_QH","NKH")</f>
        <v>0</v>
      </c>
      <c r="R8" s="48">
        <f ca="1" t="shared" si="2"/>
        <v>0</v>
      </c>
      <c r="S8" s="50">
        <f ca="1">+GETPIVOTDATA("XXS4",'xuanson (2016)'!$A$3,"MA_HT","LUC","MA_QH","CQP")</f>
        <v>0</v>
      </c>
      <c r="T8" s="50">
        <f ca="1">+GETPIVOTDATA("XXS4",'xuanson (2016)'!$A$3,"MA_HT","LUC","MA_QH","CAN")</f>
        <v>0</v>
      </c>
      <c r="U8" s="50">
        <f ca="1">+GETPIVOTDATA("XXS4",'xuanson (2016)'!$A$3,"MA_HT","LUC","MA_QH","SKK")</f>
        <v>0</v>
      </c>
      <c r="V8" s="50">
        <f ca="1">+GETPIVOTDATA("XXS4",'xuanson (2016)'!$A$3,"MA_HT","LUC","MA_QH","SKT")</f>
        <v>0</v>
      </c>
      <c r="W8" s="50">
        <f ca="1">+GETPIVOTDATA("XXS4",'xuanson (2016)'!$A$3,"MA_HT","LUC","MA_QH","SKN")</f>
        <v>0</v>
      </c>
      <c r="X8" s="50">
        <f ca="1">+GETPIVOTDATA("XXS4",'xuanson (2016)'!$A$3,"MA_HT","LUC","MA_QH","TMD")</f>
        <v>0</v>
      </c>
      <c r="Y8" s="50">
        <f ca="1">+GETPIVOTDATA("XXS4",'xuanson (2016)'!$A$3,"MA_HT","LUC","MA_QH","SKC")</f>
        <v>0</v>
      </c>
      <c r="Z8" s="50">
        <f ca="1">+GETPIVOTDATA("XXS4",'xuanson (2016)'!$A$3,"MA_HT","LUC","MA_QH","SKS")</f>
        <v>0</v>
      </c>
      <c r="AA8" s="52">
        <f ca="1" t="shared" si="4"/>
        <v>0</v>
      </c>
      <c r="AB8" s="50">
        <f ca="1">+GETPIVOTDATA("XXS4",'xuanson (2016)'!$A$3,"MA_HT","LUC","MA_QH","DGT")</f>
        <v>0</v>
      </c>
      <c r="AC8" s="50">
        <f ca="1">+GETPIVOTDATA("XXS4",'xuanson (2016)'!$A$3,"MA_HT","LUC","MA_QH","DTL")</f>
        <v>0</v>
      </c>
      <c r="AD8" s="50">
        <f ca="1">+GETPIVOTDATA("XXS4",'xuanson (2016)'!$A$3,"MA_HT","LUC","MA_QH","DNL")</f>
        <v>0</v>
      </c>
      <c r="AE8" s="50">
        <f ca="1">+GETPIVOTDATA("XXS4",'xuanson (2016)'!$A$3,"MA_HT","LUC","MA_QH","DBV")</f>
        <v>0</v>
      </c>
      <c r="AF8" s="50">
        <f ca="1">+GETPIVOTDATA("XXS4",'xuanson (2016)'!$A$3,"MA_HT","LUC","MA_QH","DVH")</f>
        <v>0</v>
      </c>
      <c r="AG8" s="50">
        <f ca="1">+GETPIVOTDATA("XXS4",'xuanson (2016)'!$A$3,"MA_HT","LUC","MA_QH","DYT")</f>
        <v>0</v>
      </c>
      <c r="AH8" s="50">
        <f ca="1">+GETPIVOTDATA("XXS4",'xuanson (2016)'!$A$3,"MA_HT","LUC","MA_QH","DGD")</f>
        <v>0</v>
      </c>
      <c r="AI8" s="50">
        <f ca="1">+GETPIVOTDATA("XXS4",'xuanson (2016)'!$A$3,"MA_HT","LUC","MA_QH","DTT")</f>
        <v>0</v>
      </c>
      <c r="AJ8" s="50">
        <f ca="1">+GETPIVOTDATA("XXS4",'xuanson (2016)'!$A$3,"MA_HT","LUC","MA_QH","NCK")</f>
        <v>0</v>
      </c>
      <c r="AK8" s="50">
        <f ca="1">+GETPIVOTDATA("XXS4",'xuanson (2016)'!$A$3,"MA_HT","LUC","MA_QH","DXH")</f>
        <v>0</v>
      </c>
      <c r="AL8" s="50">
        <f ca="1">+GETPIVOTDATA("XXS4",'xuanson (2016)'!$A$3,"MA_HT","LUC","MA_QH","DCH")</f>
        <v>0</v>
      </c>
      <c r="AM8" s="50">
        <f ca="1">+GETPIVOTDATA("XXS4",'xuanson (2016)'!$A$3,"MA_HT","LUC","MA_QH","DKG")</f>
        <v>0</v>
      </c>
      <c r="AN8" s="50">
        <f ca="1">+GETPIVOTDATA("XXS4",'xuanson (2016)'!$A$3,"MA_HT","LUC","MA_QH","DDT")</f>
        <v>0</v>
      </c>
      <c r="AO8" s="50">
        <f ca="1">+GETPIVOTDATA("XXS4",'xuanson (2016)'!$A$3,"MA_HT","LUC","MA_QH","DDL")</f>
        <v>0</v>
      </c>
      <c r="AP8" s="50">
        <f ca="1">+GETPIVOTDATA("XXS4",'xuanson (2016)'!$A$3,"MA_HT","LUC","MA_QH","DRA")</f>
        <v>0</v>
      </c>
      <c r="AQ8" s="50">
        <f ca="1">+GETPIVOTDATA("XXS4",'xuanson (2016)'!$A$3,"MA_HT","LUC","MA_QH","ONT")</f>
        <v>0</v>
      </c>
      <c r="AR8" s="50">
        <f ca="1">+GETPIVOTDATA("XXS4",'xuanson (2016)'!$A$3,"MA_HT","LUC","MA_QH","ODT")</f>
        <v>0</v>
      </c>
      <c r="AS8" s="50">
        <f ca="1">+GETPIVOTDATA("XXS4",'xuanson (2016)'!$A$3,"MA_HT","LUC","MA_QH","TSC")</f>
        <v>0</v>
      </c>
      <c r="AT8" s="50">
        <f ca="1">+GETPIVOTDATA("XXS4",'xuanson (2016)'!$A$3,"MA_HT","LUC","MA_QH","DTS")</f>
        <v>0</v>
      </c>
      <c r="AU8" s="50">
        <f ca="1">+GETPIVOTDATA("XXS4",'xuanson (2016)'!$A$3,"MA_HT","LUC","MA_QH","DNG")</f>
        <v>0</v>
      </c>
      <c r="AV8" s="50">
        <f ca="1">+GETPIVOTDATA("XXS4",'xuanson (2016)'!$A$3,"MA_HT","LUC","MA_QH","TON")</f>
        <v>0</v>
      </c>
      <c r="AW8" s="50">
        <f ca="1">+GETPIVOTDATA("XXS4",'xuanson (2016)'!$A$3,"MA_HT","LUC","MA_QH","NTD")</f>
        <v>0</v>
      </c>
      <c r="AX8" s="50">
        <f ca="1">+GETPIVOTDATA("XXS4",'xuanson (2016)'!$A$3,"MA_HT","LUC","MA_QH","SKX")</f>
        <v>0</v>
      </c>
      <c r="AY8" s="50">
        <f ca="1">+GETPIVOTDATA("XXS4",'xuanson (2016)'!$A$3,"MA_HT","LUC","MA_QH","DSH")</f>
        <v>0</v>
      </c>
      <c r="AZ8" s="50">
        <f ca="1">+GETPIVOTDATA("XXS4",'xuanson (2016)'!$A$3,"MA_HT","LUC","MA_QH","DKV")</f>
        <v>0</v>
      </c>
      <c r="BA8" s="88">
        <f ca="1">+GETPIVOTDATA("XXS4",'xuanson (2016)'!$A$3,"MA_HT","LUC","MA_QH","TIN")</f>
        <v>0</v>
      </c>
      <c r="BB8" s="50">
        <f ca="1">+GETPIVOTDATA("XXS4",'xuanson (2016)'!$A$3,"MA_HT","LUC","MA_QH","SON")</f>
        <v>0</v>
      </c>
      <c r="BC8" s="50">
        <f ca="1">+GETPIVOTDATA("XXS4",'xuanson (2016)'!$A$3,"MA_HT","LUC","MA_QH","MNC")</f>
        <v>0</v>
      </c>
      <c r="BD8" s="50">
        <f ca="1">+GETPIVOTDATA("XXS4",'xuanson (2016)'!$A$3,"MA_HT","LUC","MA_QH","PNK")</f>
        <v>0</v>
      </c>
      <c r="BE8" s="80">
        <f ca="1">+GETPIVOTDATA("XXS4",'xuanson (2016)'!$A$3,"MA_HT","LUC","MA_QH","CSD")</f>
        <v>0</v>
      </c>
      <c r="BF8" s="103">
        <f ca="1" t="shared" si="7"/>
        <v>0</v>
      </c>
      <c r="BG8" s="104">
        <f ca="1">G$59-$BF8</f>
        <v>0</v>
      </c>
      <c r="BH8" s="47" t="e">
        <f ca="1" t="shared" si="8"/>
        <v>#REF!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</row>
    <row r="9" s="4" customFormat="1" ht="15.75" customHeight="1" spans="1:79">
      <c r="A9" s="45"/>
      <c r="B9" s="662" t="s">
        <v>713</v>
      </c>
      <c r="C9" s="46" t="s">
        <v>465</v>
      </c>
      <c r="D9" s="47" t="e">
        <f>+#REF!</f>
        <v>#REF!</v>
      </c>
      <c r="E9" s="48">
        <f ca="1">SUM(F9,J9:Q9)</f>
        <v>0</v>
      </c>
      <c r="F9" s="44">
        <f ca="1">SUM(G9,I9)</f>
        <v>0</v>
      </c>
      <c r="G9" s="51">
        <f ca="1">+GETPIVOTDATA("XXS4",'xuanson (2016)'!$A$3,"MA_HT","LUK","MA_QH","LUC")</f>
        <v>0</v>
      </c>
      <c r="H9" s="49" t="e">
        <f ca="1">$D9-$BF9</f>
        <v>#REF!</v>
      </c>
      <c r="I9" s="50">
        <f ca="1">+GETPIVOTDATA("XXS4",'xuanson (2016)'!$A$3,"MA_HT","LUK","MA_QH","LUN")</f>
        <v>0</v>
      </c>
      <c r="J9" s="50">
        <f ca="1">+GETPIVOTDATA("XXS4",'xuanson (2016)'!$A$3,"MA_HT","LUK","MA_QH","HNK")</f>
        <v>0</v>
      </c>
      <c r="K9" s="50">
        <f ca="1">+GETPIVOTDATA("XXS4",'xuanson (2016)'!$A$3,"MA_HT","LUK","MA_QH","CLN")</f>
        <v>0</v>
      </c>
      <c r="L9" s="50">
        <f ca="1">+GETPIVOTDATA("XXS4",'xuanson (2016)'!$A$3,"MA_HT","LUK","MA_QH","RSX")</f>
        <v>0</v>
      </c>
      <c r="M9" s="50">
        <f ca="1">+GETPIVOTDATA("XXS4",'xuanson (2016)'!$A$3,"MA_HT","LUK","MA_QH","RPH")</f>
        <v>0</v>
      </c>
      <c r="N9" s="50">
        <f ca="1">+GETPIVOTDATA("XXS4",'xuanson (2016)'!$A$3,"MA_HT","LUK","MA_QH","RDD")</f>
        <v>0</v>
      </c>
      <c r="O9" s="50">
        <f ca="1">+GETPIVOTDATA("XXS4",'xuanson (2016)'!$A$3,"MA_HT","LUK","MA_QH","NTS")</f>
        <v>0</v>
      </c>
      <c r="P9" s="50">
        <f ca="1">+GETPIVOTDATA("XXS4",'xuanson (2016)'!$A$3,"MA_HT","LUK","MA_QH","LMU")</f>
        <v>0</v>
      </c>
      <c r="Q9" s="50">
        <f ca="1">+GETPIVOTDATA("XXS4",'xuanson (2016)'!$A$3,"MA_HT","LUK","MA_QH","NKH")</f>
        <v>0</v>
      </c>
      <c r="R9" s="48">
        <f ca="1" t="shared" si="2"/>
        <v>0</v>
      </c>
      <c r="S9" s="50">
        <f ca="1">+GETPIVOTDATA("XXS4",'xuanson (2016)'!$A$3,"MA_HT","LUK","MA_QH","CQP")</f>
        <v>0</v>
      </c>
      <c r="T9" s="50">
        <f ca="1">+GETPIVOTDATA("XXS4",'xuanson (2016)'!$A$3,"MA_HT","LUK","MA_QH","CAN")</f>
        <v>0</v>
      </c>
      <c r="U9" s="50">
        <f ca="1">+GETPIVOTDATA("XXS4",'xuanson (2016)'!$A$3,"MA_HT","LUK","MA_QH","SKK")</f>
        <v>0</v>
      </c>
      <c r="V9" s="50">
        <f ca="1">+GETPIVOTDATA("XXS4",'xuanson (2016)'!$A$3,"MA_HT","LUK","MA_QH","SKT")</f>
        <v>0</v>
      </c>
      <c r="W9" s="50">
        <f ca="1">+GETPIVOTDATA("XXS4",'xuanson (2016)'!$A$3,"MA_HT","LUK","MA_QH","SKN")</f>
        <v>0</v>
      </c>
      <c r="X9" s="50">
        <f ca="1">+GETPIVOTDATA("XXS4",'xuanson (2016)'!$A$3,"MA_HT","LUK","MA_QH","TMD")</f>
        <v>0</v>
      </c>
      <c r="Y9" s="50">
        <f ca="1">+GETPIVOTDATA("XXS4",'xuanson (2016)'!$A$3,"MA_HT","LUK","MA_QH","SKC")</f>
        <v>0</v>
      </c>
      <c r="Z9" s="50">
        <f ca="1">+GETPIVOTDATA("XXS4",'xuanson (2016)'!$A$3,"MA_HT","LUK","MA_QH","SKS")</f>
        <v>0</v>
      </c>
      <c r="AA9" s="52">
        <f ca="1" t="shared" si="4"/>
        <v>0</v>
      </c>
      <c r="AB9" s="50">
        <f ca="1">+GETPIVOTDATA("XXS4",'xuanson (2016)'!$A$3,"MA_HT","LUK","MA_QH","DGT")</f>
        <v>0</v>
      </c>
      <c r="AC9" s="50">
        <f ca="1">+GETPIVOTDATA("XXS4",'xuanson (2016)'!$A$3,"MA_HT","LUK","MA_QH","DTL")</f>
        <v>0</v>
      </c>
      <c r="AD9" s="50">
        <f ca="1">+GETPIVOTDATA("XXS4",'xuanson (2016)'!$A$3,"MA_HT","LUK","MA_QH","DNL")</f>
        <v>0</v>
      </c>
      <c r="AE9" s="50">
        <f ca="1">+GETPIVOTDATA("XXS4",'xuanson (2016)'!$A$3,"MA_HT","LUK","MA_QH","DBV")</f>
        <v>0</v>
      </c>
      <c r="AF9" s="50">
        <f ca="1">+GETPIVOTDATA("XXS4",'xuanson (2016)'!$A$3,"MA_HT","LUK","MA_QH","DVH")</f>
        <v>0</v>
      </c>
      <c r="AG9" s="50">
        <f ca="1">+GETPIVOTDATA("XXS4",'xuanson (2016)'!$A$3,"MA_HT","LUK","MA_QH","DYT")</f>
        <v>0</v>
      </c>
      <c r="AH9" s="50">
        <f ca="1">+GETPIVOTDATA("XXS4",'xuanson (2016)'!$A$3,"MA_HT","LUK","MA_QH","DGD")</f>
        <v>0</v>
      </c>
      <c r="AI9" s="50">
        <f ca="1">+GETPIVOTDATA("XXS4",'xuanson (2016)'!$A$3,"MA_HT","LUK","MA_QH","DTT")</f>
        <v>0</v>
      </c>
      <c r="AJ9" s="50">
        <f ca="1">+GETPIVOTDATA("XXS4",'xuanson (2016)'!$A$3,"MA_HT","LUK","MA_QH","NCK")</f>
        <v>0</v>
      </c>
      <c r="AK9" s="50">
        <f ca="1">+GETPIVOTDATA("XXS4",'xuanson (2016)'!$A$3,"MA_HT","LUK","MA_QH","DXH")</f>
        <v>0</v>
      </c>
      <c r="AL9" s="50">
        <f ca="1">+GETPIVOTDATA("XXS4",'xuanson (2016)'!$A$3,"MA_HT","LUK","MA_QH","DCH")</f>
        <v>0</v>
      </c>
      <c r="AM9" s="50">
        <f ca="1">+GETPIVOTDATA("XXS4",'xuanson (2016)'!$A$3,"MA_HT","LUK","MA_QH","DKG")</f>
        <v>0</v>
      </c>
      <c r="AN9" s="50">
        <f ca="1">+GETPIVOTDATA("XXS4",'xuanson (2016)'!$A$3,"MA_HT","LUK","MA_QH","DDT")</f>
        <v>0</v>
      </c>
      <c r="AO9" s="50">
        <f ca="1">+GETPIVOTDATA("XXS4",'xuanson (2016)'!$A$3,"MA_HT","LUK","MA_QH","DDL")</f>
        <v>0</v>
      </c>
      <c r="AP9" s="50">
        <f ca="1">+GETPIVOTDATA("XXS4",'xuanson (2016)'!$A$3,"MA_HT","LUK","MA_QH","DRA")</f>
        <v>0</v>
      </c>
      <c r="AQ9" s="50">
        <f ca="1">+GETPIVOTDATA("XXS4",'xuanson (2016)'!$A$3,"MA_HT","LUK","MA_QH","ONT")</f>
        <v>0</v>
      </c>
      <c r="AR9" s="50">
        <f ca="1">+GETPIVOTDATA("XXS4",'xuanson (2016)'!$A$3,"MA_HT","LUK","MA_QH","ODT")</f>
        <v>0</v>
      </c>
      <c r="AS9" s="50">
        <f ca="1">+GETPIVOTDATA("XXS4",'xuanson (2016)'!$A$3,"MA_HT","LUK","MA_QH","TSC")</f>
        <v>0</v>
      </c>
      <c r="AT9" s="50">
        <f ca="1">+GETPIVOTDATA("XXS4",'xuanson (2016)'!$A$3,"MA_HT","LUK","MA_QH","DTS")</f>
        <v>0</v>
      </c>
      <c r="AU9" s="50">
        <f ca="1">+GETPIVOTDATA("XXS4",'xuanson (2016)'!$A$3,"MA_HT","LUK","MA_QH","DNG")</f>
        <v>0</v>
      </c>
      <c r="AV9" s="50">
        <f ca="1">+GETPIVOTDATA("XXS4",'xuanson (2016)'!$A$3,"MA_HT","LUK","MA_QH","TON")</f>
        <v>0</v>
      </c>
      <c r="AW9" s="50">
        <f ca="1">+GETPIVOTDATA("XXS4",'xuanson (2016)'!$A$3,"MA_HT","LUK","MA_QH","NTD")</f>
        <v>0</v>
      </c>
      <c r="AX9" s="50">
        <f ca="1">+GETPIVOTDATA("XXS4",'xuanson (2016)'!$A$3,"MA_HT","LUK","MA_QH","SKX")</f>
        <v>0</v>
      </c>
      <c r="AY9" s="50">
        <f ca="1">+GETPIVOTDATA("XXS4",'xuanson (2016)'!$A$3,"MA_HT","LUK","MA_QH","DSH")</f>
        <v>0</v>
      </c>
      <c r="AZ9" s="50">
        <f ca="1">+GETPIVOTDATA("XXS4",'xuanson (2016)'!$A$3,"MA_HT","LUK","MA_QH","DKV")</f>
        <v>0</v>
      </c>
      <c r="BA9" s="88">
        <f ca="1">+GETPIVOTDATA("XXS4",'xuanson (2016)'!$A$3,"MA_HT","LUK","MA_QH","TIN")</f>
        <v>0</v>
      </c>
      <c r="BB9" s="50">
        <f ca="1">+GETPIVOTDATA("XXS4",'xuanson (2016)'!$A$3,"MA_HT","LUK","MA_QH","SON")</f>
        <v>0</v>
      </c>
      <c r="BC9" s="50">
        <f ca="1">+GETPIVOTDATA("XXS4",'xuanson (2016)'!$A$3,"MA_HT","LUK","MA_QH","MNC")</f>
        <v>0</v>
      </c>
      <c r="BD9" s="50">
        <f ca="1">+GETPIVOTDATA("XXS4",'xuanson (2016)'!$A$3,"MA_HT","LUK","MA_QH","PNK")</f>
        <v>0</v>
      </c>
      <c r="BE9" s="80">
        <f ca="1">+GETPIVOTDATA("XXS4",'xuanson (2016)'!$A$3,"MA_HT","LUK","MA_QH","CSD")</f>
        <v>0</v>
      </c>
      <c r="BF9" s="103">
        <f ca="1" t="shared" si="7"/>
        <v>0</v>
      </c>
      <c r="BG9" s="104">
        <f ca="1">H$59-$BF9</f>
        <v>0</v>
      </c>
      <c r="BH9" s="47" t="e">
        <f ca="1" t="shared" si="8"/>
        <v>#REF!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</row>
    <row r="10" s="4" customFormat="1" ht="15.75" customHeight="1" spans="1:79">
      <c r="A10" s="45"/>
      <c r="B10" s="662" t="s">
        <v>714</v>
      </c>
      <c r="C10" s="46" t="s">
        <v>684</v>
      </c>
      <c r="D10" s="47" t="e">
        <f>+#REF!</f>
        <v>#REF!</v>
      </c>
      <c r="E10" s="48">
        <f ca="1">SUM(J10:Q10,F10)</f>
        <v>0</v>
      </c>
      <c r="F10" s="44">
        <f ca="1">SUM(G10:H10)</f>
        <v>0</v>
      </c>
      <c r="G10" s="50">
        <f ca="1">+GETPIVOTDATA("XXS4",'xuanson (2016)'!$A$3,"MA_HT","LUN","MA_QH","LUC")</f>
        <v>0</v>
      </c>
      <c r="H10" s="50">
        <f ca="1">+GETPIVOTDATA("XXS4",'xuanson (2016)'!$A$3,"MA_HT","LUN","MA_QH","LUK")</f>
        <v>0</v>
      </c>
      <c r="I10" s="49" t="e">
        <f ca="1">$D10-$BF10</f>
        <v>#REF!</v>
      </c>
      <c r="J10" s="50">
        <f ca="1">+GETPIVOTDATA("XXS4",'xuanson (2016)'!$A$3,"MA_HT","LUN","MA_QH","HNK")</f>
        <v>0</v>
      </c>
      <c r="K10" s="50">
        <f ca="1">+GETPIVOTDATA("XXS4",'xuanson (2016)'!$A$3,"MA_HT","LUN","MA_QH","CLN")</f>
        <v>0</v>
      </c>
      <c r="L10" s="50">
        <f ca="1">+GETPIVOTDATA("XXS4",'xuanson (2016)'!$A$3,"MA_HT","LUN","MA_QH","RSX")</f>
        <v>0</v>
      </c>
      <c r="M10" s="50">
        <f ca="1">+GETPIVOTDATA("XXS4",'xuanson (2016)'!$A$3,"MA_HT","LUN","MA_QH","RPH")</f>
        <v>0</v>
      </c>
      <c r="N10" s="50">
        <f ca="1">+GETPIVOTDATA("XXS4",'xuanson (2016)'!$A$3,"MA_HT","LUN","MA_QH","RDD")</f>
        <v>0</v>
      </c>
      <c r="O10" s="50">
        <f ca="1">+GETPIVOTDATA("XXS4",'xuanson (2016)'!$A$3,"MA_HT","LUN","MA_QH","NTS")</f>
        <v>0</v>
      </c>
      <c r="P10" s="50">
        <f ca="1">+GETPIVOTDATA("XXS4",'xuanson (2016)'!$A$3,"MA_HT","LUN","MA_QH","LMU")</f>
        <v>0</v>
      </c>
      <c r="Q10" s="50">
        <f ca="1">+GETPIVOTDATA("XXS4",'xuanson (2016)'!$A$3,"MA_HT","LUN","MA_QH","NKH")</f>
        <v>0</v>
      </c>
      <c r="R10" s="48">
        <f ca="1" t="shared" si="2"/>
        <v>0</v>
      </c>
      <c r="S10" s="50">
        <f ca="1">+GETPIVOTDATA("XXS4",'xuanson (2016)'!$A$3,"MA_HT","LUN","MA_QH","CQP")</f>
        <v>0</v>
      </c>
      <c r="T10" s="50">
        <f ca="1">+GETPIVOTDATA("XXS4",'xuanson (2016)'!$A$3,"MA_HT","LUN","MA_QH","CAN")</f>
        <v>0</v>
      </c>
      <c r="U10" s="50">
        <f ca="1">+GETPIVOTDATA("XXS4",'xuanson (2016)'!$A$3,"MA_HT","LUN","MA_QH","SKK")</f>
        <v>0</v>
      </c>
      <c r="V10" s="50">
        <f ca="1">+GETPIVOTDATA("XXS4",'xuanson (2016)'!$A$3,"MA_HT","LUN","MA_QH","SKT")</f>
        <v>0</v>
      </c>
      <c r="W10" s="50">
        <f ca="1">+GETPIVOTDATA("XXS4",'xuanson (2016)'!$A$3,"MA_HT","LUN","MA_QH","SKN")</f>
        <v>0</v>
      </c>
      <c r="X10" s="50">
        <f ca="1">+GETPIVOTDATA("XXS4",'xuanson (2016)'!$A$3,"MA_HT","LUN","MA_QH","TMD")</f>
        <v>0</v>
      </c>
      <c r="Y10" s="50">
        <f ca="1">+GETPIVOTDATA("XXS4",'xuanson (2016)'!$A$3,"MA_HT","LUN","MA_QH","SKC")</f>
        <v>0</v>
      </c>
      <c r="Z10" s="50">
        <f ca="1">+GETPIVOTDATA("XXS4",'xuanson (2016)'!$A$3,"MA_HT","LUN","MA_QH","SKS")</f>
        <v>0</v>
      </c>
      <c r="AA10" s="52">
        <f ca="1" t="shared" si="4"/>
        <v>0</v>
      </c>
      <c r="AB10" s="50">
        <f ca="1">+GETPIVOTDATA("XXS4",'xuanson (2016)'!$A$3,"MA_HT","LUN","MA_QH","DGT")</f>
        <v>0</v>
      </c>
      <c r="AC10" s="50">
        <f ca="1">+GETPIVOTDATA("XXS4",'xuanson (2016)'!$A$3,"MA_HT","LUN","MA_QH","DTL")</f>
        <v>0</v>
      </c>
      <c r="AD10" s="50">
        <f ca="1">+GETPIVOTDATA("XXS4",'xuanson (2016)'!$A$3,"MA_HT","LUN","MA_QH","DNL")</f>
        <v>0</v>
      </c>
      <c r="AE10" s="50">
        <f ca="1">+GETPIVOTDATA("XXS4",'xuanson (2016)'!$A$3,"MA_HT","LUN","MA_QH","DBV")</f>
        <v>0</v>
      </c>
      <c r="AF10" s="50">
        <f ca="1">+GETPIVOTDATA("XXS4",'xuanson (2016)'!$A$3,"MA_HT","LUN","MA_QH","DVH")</f>
        <v>0</v>
      </c>
      <c r="AG10" s="50">
        <f ca="1">+GETPIVOTDATA("XXS4",'xuanson (2016)'!$A$3,"MA_HT","LUN","MA_QH","DYT")</f>
        <v>0</v>
      </c>
      <c r="AH10" s="50">
        <f ca="1">+GETPIVOTDATA("XXS4",'xuanson (2016)'!$A$3,"MA_HT","LUN","MA_QH","DGD")</f>
        <v>0</v>
      </c>
      <c r="AI10" s="50">
        <f ca="1">+GETPIVOTDATA("XXS4",'xuanson (2016)'!$A$3,"MA_HT","LUN","MA_QH","DTT")</f>
        <v>0</v>
      </c>
      <c r="AJ10" s="50">
        <f ca="1">+GETPIVOTDATA("XXS4",'xuanson (2016)'!$A$3,"MA_HT","LUN","MA_QH","NCK")</f>
        <v>0</v>
      </c>
      <c r="AK10" s="50">
        <f ca="1">+GETPIVOTDATA("XXS4",'xuanson (2016)'!$A$3,"MA_HT","LUN","MA_QH","DXH")</f>
        <v>0</v>
      </c>
      <c r="AL10" s="50">
        <f ca="1">+GETPIVOTDATA("XXS4",'xuanson (2016)'!$A$3,"MA_HT","LUN","MA_QH","DCH")</f>
        <v>0</v>
      </c>
      <c r="AM10" s="50">
        <f ca="1">+GETPIVOTDATA("XXS4",'xuanson (2016)'!$A$3,"MA_HT","LUN","MA_QH","DKG")</f>
        <v>0</v>
      </c>
      <c r="AN10" s="50">
        <f ca="1">+GETPIVOTDATA("XXS4",'xuanson (2016)'!$A$3,"MA_HT","LUN","MA_QH","DDT")</f>
        <v>0</v>
      </c>
      <c r="AO10" s="50">
        <f ca="1">+GETPIVOTDATA("XXS4",'xuanson (2016)'!$A$3,"MA_HT","LUN","MA_QH","DDL")</f>
        <v>0</v>
      </c>
      <c r="AP10" s="50">
        <f ca="1">+GETPIVOTDATA("XXS4",'xuanson (2016)'!$A$3,"MA_HT","LUN","MA_QH","DRA")</f>
        <v>0</v>
      </c>
      <c r="AQ10" s="50">
        <f ca="1">+GETPIVOTDATA("XXS4",'xuanson (2016)'!$A$3,"MA_HT","LUN","MA_QH","ONT")</f>
        <v>0</v>
      </c>
      <c r="AR10" s="50">
        <f ca="1">+GETPIVOTDATA("XXS4",'xuanson (2016)'!$A$3,"MA_HT","LUN","MA_QH","ODT")</f>
        <v>0</v>
      </c>
      <c r="AS10" s="50">
        <f ca="1">+GETPIVOTDATA("XXS4",'xuanson (2016)'!$A$3,"MA_HT","LUN","MA_QH","TSC")</f>
        <v>0</v>
      </c>
      <c r="AT10" s="50">
        <f ca="1">+GETPIVOTDATA("XXS4",'xuanson (2016)'!$A$3,"MA_HT","LUN","MA_QH","DTS")</f>
        <v>0</v>
      </c>
      <c r="AU10" s="50">
        <f ca="1">+GETPIVOTDATA("XXS4",'xuanson (2016)'!$A$3,"MA_HT","LUN","MA_QH","DNG")</f>
        <v>0</v>
      </c>
      <c r="AV10" s="50">
        <f ca="1">+GETPIVOTDATA("XXS4",'xuanson (2016)'!$A$3,"MA_HT","LUN","MA_QH","TON")</f>
        <v>0</v>
      </c>
      <c r="AW10" s="50">
        <f ca="1">+GETPIVOTDATA("XXS4",'xuanson (2016)'!$A$3,"MA_HT","LUN","MA_QH","NTD")</f>
        <v>0</v>
      </c>
      <c r="AX10" s="50">
        <f ca="1">+GETPIVOTDATA("XXS4",'xuanson (2016)'!$A$3,"MA_HT","LUN","MA_QH","SKX")</f>
        <v>0</v>
      </c>
      <c r="AY10" s="50">
        <f ca="1">+GETPIVOTDATA("XXS4",'xuanson (2016)'!$A$3,"MA_HT","LUN","MA_QH","DSH")</f>
        <v>0</v>
      </c>
      <c r="AZ10" s="50">
        <f ca="1">+GETPIVOTDATA("XXS4",'xuanson (2016)'!$A$3,"MA_HT","LUN","MA_QH","DKV")</f>
        <v>0</v>
      </c>
      <c r="BA10" s="88">
        <f ca="1">+GETPIVOTDATA("XXS4",'xuanson (2016)'!$A$3,"MA_HT","LUN","MA_QH","TIN")</f>
        <v>0</v>
      </c>
      <c r="BB10" s="50">
        <f ca="1">+GETPIVOTDATA("XXS4",'xuanson (2016)'!$A$3,"MA_HT","LUN","MA_QH","SON")</f>
        <v>0</v>
      </c>
      <c r="BC10" s="50">
        <f ca="1">+GETPIVOTDATA("XXS4",'xuanson (2016)'!$A$3,"MA_HT","LUN","MA_QH","MNC")</f>
        <v>0</v>
      </c>
      <c r="BD10" s="50">
        <f ca="1">+GETPIVOTDATA("XXS4",'xuanson (2016)'!$A$3,"MA_HT","LUN","MA_QH","PNK")</f>
        <v>0</v>
      </c>
      <c r="BE10" s="80">
        <f ca="1">+GETPIVOTDATA("XXS4",'xuanson (2016)'!$A$3,"MA_HT","LUN","MA_QH","CSD")</f>
        <v>0</v>
      </c>
      <c r="BF10" s="103">
        <f ca="1" t="shared" si="7"/>
        <v>0</v>
      </c>
      <c r="BG10" s="104">
        <f ca="1">I$59-$BF10</f>
        <v>0</v>
      </c>
      <c r="BH10" s="47" t="e">
        <f ca="1" t="shared" si="8"/>
        <v>#REF!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</row>
    <row r="11" s="2" customFormat="1" ht="15.75" customHeight="1" spans="1:79">
      <c r="A11" s="39" t="s">
        <v>25</v>
      </c>
      <c r="B11" s="39" t="s">
        <v>715</v>
      </c>
      <c r="C11" s="40" t="s">
        <v>27</v>
      </c>
      <c r="D11" s="47" t="e">
        <f>+#REF!</f>
        <v>#REF!</v>
      </c>
      <c r="E11" s="42">
        <f ca="1">SUM(K11:Q11,F11)</f>
        <v>0</v>
      </c>
      <c r="F11" s="52">
        <f ca="1">SUM(G11:I11)</f>
        <v>0</v>
      </c>
      <c r="G11" s="22">
        <f ca="1">+GETPIVOTDATA("XXS4",'xuanson (2016)'!$A$3,"MA_HT","HNK","MA_QH","LUC")</f>
        <v>0</v>
      </c>
      <c r="H11" s="22">
        <f ca="1">+GETPIVOTDATA("XXS4",'xuanson (2016)'!$A$3,"MA_HT","HNK","MA_QH","LUK")</f>
        <v>0</v>
      </c>
      <c r="I11" s="22">
        <f ca="1">+GETPIVOTDATA("XXS4",'xuanson (2016)'!$A$3,"MA_HT","HNK","MA_QH","LUN")</f>
        <v>0</v>
      </c>
      <c r="J11" s="43" t="e">
        <f ca="1">$D11-$BF11</f>
        <v>#REF!</v>
      </c>
      <c r="K11" s="22">
        <f ca="1">+GETPIVOTDATA("XXS4",'xuanson (2016)'!$A$3,"MA_HT","HNK","MA_QH","CLN")</f>
        <v>0</v>
      </c>
      <c r="L11" s="22">
        <f ca="1">+GETPIVOTDATA("XXS4",'xuanson (2016)'!$A$3,"MA_HT","HNK","MA_QH","RSX")</f>
        <v>0</v>
      </c>
      <c r="M11" s="22">
        <f ca="1">+GETPIVOTDATA("XXS4",'xuanson (2016)'!$A$3,"MA_HT","HNK","MA_QH","RPH")</f>
        <v>0</v>
      </c>
      <c r="N11" s="22">
        <f ca="1">+GETPIVOTDATA("XXS4",'xuanson (2016)'!$A$3,"MA_HT","HNK","MA_QH","RDD")</f>
        <v>0</v>
      </c>
      <c r="O11" s="22">
        <f ca="1">+GETPIVOTDATA("XXS4",'xuanson (2016)'!$A$3,"MA_HT","HNK","MA_QH","NTS")</f>
        <v>0</v>
      </c>
      <c r="P11" s="22">
        <f ca="1">+GETPIVOTDATA("XXS4",'xuanson (2016)'!$A$3,"MA_HT","HNK","MA_QH","LMU")</f>
        <v>0</v>
      </c>
      <c r="Q11" s="22">
        <f ca="1">+GETPIVOTDATA("XXS4",'xuanson (2016)'!$A$3,"MA_HT","HNK","MA_QH","NKH")</f>
        <v>0</v>
      </c>
      <c r="R11" s="42">
        <f ca="1" t="shared" si="2"/>
        <v>0</v>
      </c>
      <c r="S11" s="22">
        <f ca="1">+GETPIVOTDATA("XXS4",'xuanson (2016)'!$A$3,"MA_HT","HNK","MA_QH","CQP")</f>
        <v>0</v>
      </c>
      <c r="T11" s="22">
        <f ca="1">+GETPIVOTDATA("XXS4",'xuanson (2016)'!$A$3,"MA_HT","HNK","MA_QH","CAN")</f>
        <v>0</v>
      </c>
      <c r="U11" s="22">
        <f ca="1">+GETPIVOTDATA("XXS4",'xuanson (2016)'!$A$3,"MA_HT","HNK","MA_QH","SKK")</f>
        <v>0</v>
      </c>
      <c r="V11" s="22">
        <f ca="1">+GETPIVOTDATA("XXS4",'xuanson (2016)'!$A$3,"MA_HT","HNK","MA_QH","SKT")</f>
        <v>0</v>
      </c>
      <c r="W11" s="22">
        <f ca="1">+GETPIVOTDATA("XXS4",'xuanson (2016)'!$A$3,"MA_HT","HNK","MA_QH","SKN")</f>
        <v>0</v>
      </c>
      <c r="X11" s="22">
        <f ca="1">+GETPIVOTDATA("XXS4",'xuanson (2016)'!$A$3,"MA_HT","HNK","MA_QH","TMD")</f>
        <v>0</v>
      </c>
      <c r="Y11" s="22">
        <f ca="1">+GETPIVOTDATA("XXS4",'xuanson (2016)'!$A$3,"MA_HT","HNK","MA_QH","SKC")</f>
        <v>0</v>
      </c>
      <c r="Z11" s="22">
        <f ca="1">+GETPIVOTDATA("XXS4",'xuanson (2016)'!$A$3,"MA_HT","HNK","MA_QH","SKS")</f>
        <v>0</v>
      </c>
      <c r="AA11" s="52">
        <f ca="1" t="shared" si="4"/>
        <v>0</v>
      </c>
      <c r="AB11" s="22">
        <f ca="1">+GETPIVOTDATA("XXS4",'xuanson (2016)'!$A$3,"MA_HT","HNK","MA_QH","DGT")</f>
        <v>0</v>
      </c>
      <c r="AC11" s="22">
        <f ca="1">+GETPIVOTDATA("XXS4",'xuanson (2016)'!$A$3,"MA_HT","HNK","MA_QH","DTL")</f>
        <v>0</v>
      </c>
      <c r="AD11" s="22">
        <f ca="1">+GETPIVOTDATA("XXS4",'xuanson (2016)'!$A$3,"MA_HT","HNK","MA_QH","DNL")</f>
        <v>0</v>
      </c>
      <c r="AE11" s="22">
        <f ca="1">+GETPIVOTDATA("XXS4",'xuanson (2016)'!$A$3,"MA_HT","HNK","MA_QH","DBV")</f>
        <v>0</v>
      </c>
      <c r="AF11" s="22">
        <f ca="1">+GETPIVOTDATA("XXS4",'xuanson (2016)'!$A$3,"MA_HT","HNK","MA_QH","DVH")</f>
        <v>0</v>
      </c>
      <c r="AG11" s="22">
        <f ca="1">+GETPIVOTDATA("XXS4",'xuanson (2016)'!$A$3,"MA_HT","HNK","MA_QH","DYT")</f>
        <v>0</v>
      </c>
      <c r="AH11" s="22">
        <f ca="1">+GETPIVOTDATA("XXS4",'xuanson (2016)'!$A$3,"MA_HT","HNK","MA_QH","DGD")</f>
        <v>0</v>
      </c>
      <c r="AI11" s="22">
        <f ca="1">+GETPIVOTDATA("XXS4",'xuanson (2016)'!$A$3,"MA_HT","HNK","MA_QH","DTT")</f>
        <v>0</v>
      </c>
      <c r="AJ11" s="22">
        <f ca="1">+GETPIVOTDATA("XXS4",'xuanson (2016)'!$A$3,"MA_HT","HNK","MA_QH","NCK")</f>
        <v>0</v>
      </c>
      <c r="AK11" s="22">
        <f ca="1">+GETPIVOTDATA("XXS4",'xuanson (2016)'!$A$3,"MA_HT","HNK","MA_QH","DXH")</f>
        <v>0</v>
      </c>
      <c r="AL11" s="22">
        <f ca="1">+GETPIVOTDATA("XXS4",'xuanson (2016)'!$A$3,"MA_HT","HNK","MA_QH","DCH")</f>
        <v>0</v>
      </c>
      <c r="AM11" s="22">
        <f ca="1">+GETPIVOTDATA("XXS4",'xuanson (2016)'!$A$3,"MA_HT","HNK","MA_QH","DKG")</f>
        <v>0</v>
      </c>
      <c r="AN11" s="22">
        <f ca="1">+GETPIVOTDATA("XXS4",'xuanson (2016)'!$A$3,"MA_HT","HNK","MA_QH","DDT")</f>
        <v>0</v>
      </c>
      <c r="AO11" s="22">
        <f ca="1">+GETPIVOTDATA("XXS4",'xuanson (2016)'!$A$3,"MA_HT","HNK","MA_QH","DDL")</f>
        <v>0</v>
      </c>
      <c r="AP11" s="22">
        <f ca="1">+GETPIVOTDATA("XXS4",'xuanson (2016)'!$A$3,"MA_HT","HNK","MA_QH","DRA")</f>
        <v>0</v>
      </c>
      <c r="AQ11" s="22">
        <f ca="1">+GETPIVOTDATA("XXS4",'xuanson (2016)'!$A$3,"MA_HT","HNK","MA_QH","ONT")</f>
        <v>0</v>
      </c>
      <c r="AR11" s="22">
        <f ca="1">+GETPIVOTDATA("XXS4",'xuanson (2016)'!$A$3,"MA_HT","HNK","MA_QH","ODT")</f>
        <v>0</v>
      </c>
      <c r="AS11" s="22">
        <f ca="1">+GETPIVOTDATA("XXS4",'xuanson (2016)'!$A$3,"MA_HT","HNK","MA_QH","TSC")</f>
        <v>0</v>
      </c>
      <c r="AT11" s="22">
        <f ca="1">+GETPIVOTDATA("XXS4",'xuanson (2016)'!$A$3,"MA_HT","HNK","MA_QH","DTS")</f>
        <v>0</v>
      </c>
      <c r="AU11" s="22">
        <f ca="1">+GETPIVOTDATA("XXS4",'xuanson (2016)'!$A$3,"MA_HT","HNK","MA_QH","DNG")</f>
        <v>0</v>
      </c>
      <c r="AV11" s="22">
        <f ca="1">+GETPIVOTDATA("XXS4",'xuanson (2016)'!$A$3,"MA_HT","HNK","MA_QH","TON")</f>
        <v>0</v>
      </c>
      <c r="AW11" s="22">
        <f ca="1">+GETPIVOTDATA("XXS4",'xuanson (2016)'!$A$3,"MA_HT","HNK","MA_QH","NTD")</f>
        <v>0</v>
      </c>
      <c r="AX11" s="22">
        <f ca="1">+GETPIVOTDATA("XXS4",'xuanson (2016)'!$A$3,"MA_HT","HNK","MA_QH","SKX")</f>
        <v>0</v>
      </c>
      <c r="AY11" s="22">
        <f ca="1">+GETPIVOTDATA("XXS4",'xuanson (2016)'!$A$3,"MA_HT","HNK","MA_QH","DSH")</f>
        <v>0</v>
      </c>
      <c r="AZ11" s="22">
        <f ca="1">+GETPIVOTDATA("XXS4",'xuanson (2016)'!$A$3,"MA_HT","HNK","MA_QH","DKV")</f>
        <v>0</v>
      </c>
      <c r="BA11" s="89">
        <f ca="1">+GETPIVOTDATA("XXS4",'xuanson (2016)'!$A$3,"MA_HT","HNK","MA_QH","TIN")</f>
        <v>0</v>
      </c>
      <c r="BB11" s="50">
        <f ca="1">+GETPIVOTDATA("XXS4",'xuanson (2016)'!$A$3,"MA_HT","HNK","MA_QH","SON")</f>
        <v>0</v>
      </c>
      <c r="BC11" s="50">
        <f ca="1">+GETPIVOTDATA("XXS4",'xuanson (2016)'!$A$3,"MA_HT","HNK","MA_QH","MNC")</f>
        <v>0</v>
      </c>
      <c r="BD11" s="22">
        <f ca="1">+GETPIVOTDATA("XXS4",'xuanson (2016)'!$A$3,"MA_HT","HNK","MA_QH","PNK")</f>
        <v>0</v>
      </c>
      <c r="BE11" s="71">
        <f ca="1">+GETPIVOTDATA("XXS4",'xuanson (2016)'!$A$3,"MA_HT","HNK","MA_QH","CSD")</f>
        <v>0</v>
      </c>
      <c r="BF11" s="74">
        <f ca="1" t="shared" si="7"/>
        <v>0</v>
      </c>
      <c r="BG11" s="101">
        <f ca="1">J$59-$BF11</f>
        <v>0</v>
      </c>
      <c r="BH11" s="41" t="e">
        <f ca="1" t="shared" si="8"/>
        <v>#REF!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="2" customFormat="1" ht="15.75" customHeight="1" spans="1:79">
      <c r="A12" s="39" t="s">
        <v>28</v>
      </c>
      <c r="B12" s="39" t="s">
        <v>29</v>
      </c>
      <c r="C12" s="40" t="s">
        <v>30</v>
      </c>
      <c r="D12" s="47" t="e">
        <f>+#REF!</f>
        <v>#REF!</v>
      </c>
      <c r="E12" s="42">
        <f ca="1">SUM(L12:Q12,F12,J12)</f>
        <v>0</v>
      </c>
      <c r="F12" s="52">
        <f ca="1" t="shared" ref="F12:F58" si="9">SUM(G12:I12)</f>
        <v>0</v>
      </c>
      <c r="G12" s="22">
        <f ca="1">+GETPIVOTDATA("XXS4",'xuanson (2016)'!$A$3,"MA_HT","CLN","MA_QH","LUC")</f>
        <v>0</v>
      </c>
      <c r="H12" s="22">
        <f ca="1">+GETPIVOTDATA("XXS4",'xuanson (2016)'!$A$3,"MA_HT","CLN","MA_QH","LUK")</f>
        <v>0</v>
      </c>
      <c r="I12" s="22">
        <f ca="1">+GETPIVOTDATA("XXS4",'xuanson (2016)'!$A$3,"MA_HT","CLN","MA_QH","LUN")</f>
        <v>0</v>
      </c>
      <c r="J12" s="22">
        <f ca="1">+GETPIVOTDATA("XXS4",'xuanson (2016)'!$A$3,"MA_HT","CLN","MA_QH","HNK")</f>
        <v>0</v>
      </c>
      <c r="K12" s="43" t="e">
        <f ca="1">$D12-$BF12</f>
        <v>#REF!</v>
      </c>
      <c r="L12" s="22">
        <f ca="1">+GETPIVOTDATA("XXS4",'xuanson (2016)'!$A$3,"MA_HT","CLN","MA_QH","RSX")</f>
        <v>0</v>
      </c>
      <c r="M12" s="22">
        <f ca="1">+GETPIVOTDATA("XXS4",'xuanson (2016)'!$A$3,"MA_HT","CLN","MA_QH","RPH")</f>
        <v>0</v>
      </c>
      <c r="N12" s="22">
        <f ca="1">+GETPIVOTDATA("XXS4",'xuanson (2016)'!$A$3,"MA_HT","CLN","MA_QH","RDD")</f>
        <v>0</v>
      </c>
      <c r="O12" s="22">
        <f ca="1">+GETPIVOTDATA("XXS4",'xuanson (2016)'!$A$3,"MA_HT","CLN","MA_QH","NTS")</f>
        <v>0</v>
      </c>
      <c r="P12" s="22">
        <f ca="1">+GETPIVOTDATA("XXS4",'xuanson (2016)'!$A$3,"MA_HT","CLN","MA_QH","LMU")</f>
        <v>0</v>
      </c>
      <c r="Q12" s="22">
        <f ca="1">+GETPIVOTDATA("XXS4",'xuanson (2016)'!$A$3,"MA_HT","CLN","MA_QH","NKH")</f>
        <v>0</v>
      </c>
      <c r="R12" s="42">
        <f ca="1" t="shared" si="2"/>
        <v>0</v>
      </c>
      <c r="S12" s="22">
        <f ca="1">+GETPIVOTDATA("XXS4",'xuanson (2016)'!$A$3,"MA_HT","CLN","MA_QH","CQP")</f>
        <v>0</v>
      </c>
      <c r="T12" s="22">
        <f ca="1">+GETPIVOTDATA("XXS4",'xuanson (2016)'!$A$3,"MA_HT","CLN","MA_QH","CAN")</f>
        <v>0</v>
      </c>
      <c r="U12" s="22">
        <f ca="1">+GETPIVOTDATA("XXS4",'xuanson (2016)'!$A$3,"MA_HT","CLN","MA_QH","SKK")</f>
        <v>0</v>
      </c>
      <c r="V12" s="22">
        <f ca="1">+GETPIVOTDATA("XXS4",'xuanson (2016)'!$A$3,"MA_HT","CLN","MA_QH","SKT")</f>
        <v>0</v>
      </c>
      <c r="W12" s="22">
        <f ca="1">+GETPIVOTDATA("XXS4",'xuanson (2016)'!$A$3,"MA_HT","CLN","MA_QH","SKN")</f>
        <v>0</v>
      </c>
      <c r="X12" s="22">
        <f ca="1">+GETPIVOTDATA("XXS4",'xuanson (2016)'!$A$3,"MA_HT","CLN","MA_QH","TMD")</f>
        <v>0</v>
      </c>
      <c r="Y12" s="22">
        <f ca="1">+GETPIVOTDATA("XXS4",'xuanson (2016)'!$A$3,"MA_HT","CLN","MA_QH","SKC")</f>
        <v>0</v>
      </c>
      <c r="Z12" s="22">
        <f ca="1">+GETPIVOTDATA("XXS4",'xuanson (2016)'!$A$3,"MA_HT","CLN","MA_QH","SKS")</f>
        <v>0</v>
      </c>
      <c r="AA12" s="52">
        <f ca="1" t="shared" si="4"/>
        <v>0</v>
      </c>
      <c r="AB12" s="22">
        <f ca="1">+GETPIVOTDATA("XXS4",'xuanson (2016)'!$A$3,"MA_HT","CLN","MA_QH","DGT")</f>
        <v>0</v>
      </c>
      <c r="AC12" s="22">
        <f ca="1">+GETPIVOTDATA("XXS4",'xuanson (2016)'!$A$3,"MA_HT","CLN","MA_QH","DTL")</f>
        <v>0</v>
      </c>
      <c r="AD12" s="22">
        <f ca="1">+GETPIVOTDATA("XXS4",'xuanson (2016)'!$A$3,"MA_HT","CLN","MA_QH","DNL")</f>
        <v>0</v>
      </c>
      <c r="AE12" s="22">
        <f ca="1">+GETPIVOTDATA("XXS4",'xuanson (2016)'!$A$3,"MA_HT","CLN","MA_QH","DBV")</f>
        <v>0</v>
      </c>
      <c r="AF12" s="22">
        <f ca="1">+GETPIVOTDATA("XXS4",'xuanson (2016)'!$A$3,"MA_HT","CLN","MA_QH","DVH")</f>
        <v>0</v>
      </c>
      <c r="AG12" s="22">
        <f ca="1">+GETPIVOTDATA("XXS4",'xuanson (2016)'!$A$3,"MA_HT","CLN","MA_QH","DYT")</f>
        <v>0</v>
      </c>
      <c r="AH12" s="22">
        <f ca="1">+GETPIVOTDATA("XXS4",'xuanson (2016)'!$A$3,"MA_HT","CLN","MA_QH","DGD")</f>
        <v>0</v>
      </c>
      <c r="AI12" s="22">
        <f ca="1">+GETPIVOTDATA("XXS4",'xuanson (2016)'!$A$3,"MA_HT","CLN","MA_QH","DTT")</f>
        <v>0</v>
      </c>
      <c r="AJ12" s="22">
        <f ca="1">+GETPIVOTDATA("XXS4",'xuanson (2016)'!$A$3,"MA_HT","CLN","MA_QH","NCK")</f>
        <v>0</v>
      </c>
      <c r="AK12" s="22">
        <f ca="1">+GETPIVOTDATA("XXS4",'xuanson (2016)'!$A$3,"MA_HT","CLN","MA_QH","DXH")</f>
        <v>0</v>
      </c>
      <c r="AL12" s="22">
        <f ca="1">+GETPIVOTDATA("XXS4",'xuanson (2016)'!$A$3,"MA_HT","CLN","MA_QH","DCH")</f>
        <v>0</v>
      </c>
      <c r="AM12" s="22">
        <f ca="1">+GETPIVOTDATA("XXS4",'xuanson (2016)'!$A$3,"MA_HT","CLN","MA_QH","DKG")</f>
        <v>0</v>
      </c>
      <c r="AN12" s="22">
        <f ca="1">+GETPIVOTDATA("XXS4",'xuanson (2016)'!$A$3,"MA_HT","CLN","MA_QH","DDT")</f>
        <v>0</v>
      </c>
      <c r="AO12" s="22">
        <f ca="1">+GETPIVOTDATA("XXS4",'xuanson (2016)'!$A$3,"MA_HT","CLN","MA_QH","DDL")</f>
        <v>0</v>
      </c>
      <c r="AP12" s="22">
        <f ca="1">+GETPIVOTDATA("XXS4",'xuanson (2016)'!$A$3,"MA_HT","CLN","MA_QH","DRA")</f>
        <v>0</v>
      </c>
      <c r="AQ12" s="22">
        <f ca="1">+GETPIVOTDATA("XXS4",'xuanson (2016)'!$A$3,"MA_HT","CLN","MA_QH","ONT")</f>
        <v>0</v>
      </c>
      <c r="AR12" s="22">
        <f ca="1">+GETPIVOTDATA("XXS4",'xuanson (2016)'!$A$3,"MA_HT","CLN","MA_QH","ODT")</f>
        <v>0</v>
      </c>
      <c r="AS12" s="22">
        <f ca="1">+GETPIVOTDATA("XXS4",'xuanson (2016)'!$A$3,"MA_HT","CLN","MA_QH","TSC")</f>
        <v>0</v>
      </c>
      <c r="AT12" s="22">
        <f ca="1">+GETPIVOTDATA("XXS4",'xuanson (2016)'!$A$3,"MA_HT","CLN","MA_QH","DTS")</f>
        <v>0</v>
      </c>
      <c r="AU12" s="22">
        <f ca="1">+GETPIVOTDATA("XXS4",'xuanson (2016)'!$A$3,"MA_HT","CLN","MA_QH","DNG")</f>
        <v>0</v>
      </c>
      <c r="AV12" s="22">
        <f ca="1">+GETPIVOTDATA("XXS4",'xuanson (2016)'!$A$3,"MA_HT","CLN","MA_QH","TON")</f>
        <v>0</v>
      </c>
      <c r="AW12" s="22">
        <f ca="1">+GETPIVOTDATA("XXS4",'xuanson (2016)'!$A$3,"MA_HT","CLN","MA_QH","NTD")</f>
        <v>0</v>
      </c>
      <c r="AX12" s="22">
        <f ca="1">+GETPIVOTDATA("XXS4",'xuanson (2016)'!$A$3,"MA_HT","CLN","MA_QH","SKX")</f>
        <v>0</v>
      </c>
      <c r="AY12" s="22">
        <f ca="1">+GETPIVOTDATA("XXS4",'xuanson (2016)'!$A$3,"MA_HT","CLN","MA_QH","DSH")</f>
        <v>0</v>
      </c>
      <c r="AZ12" s="22">
        <f ca="1">+GETPIVOTDATA("XXS4",'xuanson (2016)'!$A$3,"MA_HT","CLN","MA_QH","DKV")</f>
        <v>0</v>
      </c>
      <c r="BA12" s="89">
        <f ca="1">+GETPIVOTDATA("XXS4",'xuanson (2016)'!$A$3,"MA_HT","CLN","MA_QH","TIN")</f>
        <v>0</v>
      </c>
      <c r="BB12" s="50">
        <f ca="1">+GETPIVOTDATA("XXS4",'xuanson (2016)'!$A$3,"MA_HT","CLN","MA_QH","SON")</f>
        <v>0</v>
      </c>
      <c r="BC12" s="50">
        <f ca="1">+GETPIVOTDATA("XXS4",'xuanson (2016)'!$A$3,"MA_HT","CLN","MA_QH","MNC")</f>
        <v>0</v>
      </c>
      <c r="BD12" s="22">
        <f ca="1">+GETPIVOTDATA("XXS4",'xuanson (2016)'!$A$3,"MA_HT","CLN","MA_QH","PNK")</f>
        <v>0</v>
      </c>
      <c r="BE12" s="71">
        <f ca="1">+GETPIVOTDATA("XXS4",'xuanson (2016)'!$A$3,"MA_HT","CLN","MA_QH","CSD")</f>
        <v>0</v>
      </c>
      <c r="BF12" s="74">
        <f ca="1" t="shared" si="7"/>
        <v>0</v>
      </c>
      <c r="BG12" s="101">
        <f ca="1">K$59-$BF12</f>
        <v>0</v>
      </c>
      <c r="BH12" s="41" t="e">
        <f ca="1" t="shared" si="8"/>
        <v>#REF!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="2" customFormat="1" ht="15.75" customHeight="1" spans="1:79">
      <c r="A13" s="39" t="s">
        <v>31</v>
      </c>
      <c r="B13" s="39" t="s">
        <v>37</v>
      </c>
      <c r="C13" s="40" t="s">
        <v>38</v>
      </c>
      <c r="D13" s="47" t="e">
        <f>+#REF!</f>
        <v>#REF!</v>
      </c>
      <c r="E13" s="42">
        <f ca="1">SUM(F13,J13:K13,M13:Q13)</f>
        <v>0</v>
      </c>
      <c r="F13" s="52">
        <f ca="1" t="shared" si="9"/>
        <v>0</v>
      </c>
      <c r="G13" s="22">
        <f ca="1">+GETPIVOTDATA("XXS4",'xuanson (2016)'!$A$3,"MA_HT","RSX","MA_QH","LUC")</f>
        <v>0</v>
      </c>
      <c r="H13" s="22">
        <f ca="1">+GETPIVOTDATA("XXS4",'xuanson (2016)'!$A$3,"MA_HT","RSX","MA_QH","LUK")</f>
        <v>0</v>
      </c>
      <c r="I13" s="22">
        <f ca="1">+GETPIVOTDATA("XXS4",'xuanson (2016)'!$A$3,"MA_HT","RSX","MA_QH","LUN")</f>
        <v>0</v>
      </c>
      <c r="J13" s="22">
        <f ca="1">+GETPIVOTDATA("XXS4",'xuanson (2016)'!$A$3,"MA_HT","RSX","MA_QH","HNK")</f>
        <v>0</v>
      </c>
      <c r="K13" s="22">
        <f ca="1">+GETPIVOTDATA("XXS4",'xuanson (2016)'!$A$3,"MA_HT","RSX","MA_QH","CLN")</f>
        <v>0</v>
      </c>
      <c r="L13" s="43" t="e">
        <f ca="1">$D13-$BF13</f>
        <v>#REF!</v>
      </c>
      <c r="M13" s="22">
        <f ca="1">+GETPIVOTDATA("XXS4",'xuanson (2016)'!$A$3,"MA_HT","RSX","MA_QH","RPH")</f>
        <v>0</v>
      </c>
      <c r="N13" s="22">
        <f ca="1">+GETPIVOTDATA("XXS4",'xuanson (2016)'!$A$3,"MA_HT","RSX","MA_QH","RDD")</f>
        <v>0</v>
      </c>
      <c r="O13" s="22">
        <f ca="1">+GETPIVOTDATA("XXS4",'xuanson (2016)'!$A$3,"MA_HT","RSX","MA_QH","NTS")</f>
        <v>0</v>
      </c>
      <c r="P13" s="22">
        <f ca="1">+GETPIVOTDATA("XXS4",'xuanson (2016)'!$A$3,"MA_HT","RSX","MA_QH","LMU")</f>
        <v>0</v>
      </c>
      <c r="Q13" s="22">
        <f ca="1">+GETPIVOTDATA("XXS4",'xuanson (2016)'!$A$3,"MA_HT","RSX","MA_QH","NKH")</f>
        <v>0</v>
      </c>
      <c r="R13" s="42">
        <f ca="1" t="shared" si="2"/>
        <v>0</v>
      </c>
      <c r="S13" s="22">
        <f ca="1">+GETPIVOTDATA("XXS4",'xuanson (2016)'!$A$3,"MA_HT","RSX","MA_QH","CQP")</f>
        <v>0</v>
      </c>
      <c r="T13" s="22">
        <f ca="1">+GETPIVOTDATA("XXS4",'xuanson (2016)'!$A$3,"MA_HT","RSX","MA_QH","CAN")</f>
        <v>0</v>
      </c>
      <c r="U13" s="22">
        <f ca="1">+GETPIVOTDATA("XXS4",'xuanson (2016)'!$A$3,"MA_HT","RSX","MA_QH","SKK")</f>
        <v>0</v>
      </c>
      <c r="V13" s="22">
        <f ca="1">+GETPIVOTDATA("XXS4",'xuanson (2016)'!$A$3,"MA_HT","RSX","MA_QH","SKT")</f>
        <v>0</v>
      </c>
      <c r="W13" s="22">
        <f ca="1">+GETPIVOTDATA("XXS4",'xuanson (2016)'!$A$3,"MA_HT","RSX","MA_QH","SKN")</f>
        <v>0</v>
      </c>
      <c r="X13" s="22">
        <f ca="1">+GETPIVOTDATA("XXS4",'xuanson (2016)'!$A$3,"MA_HT","RSX","MA_QH","TMD")</f>
        <v>0</v>
      </c>
      <c r="Y13" s="22">
        <f ca="1">+GETPIVOTDATA("XXS4",'xuanson (2016)'!$A$3,"MA_HT","RSX","MA_QH","SKC")</f>
        <v>0</v>
      </c>
      <c r="Z13" s="22">
        <f ca="1">+GETPIVOTDATA("XXS4",'xuanson (2016)'!$A$3,"MA_HT","RSX","MA_QH","SKS")</f>
        <v>0</v>
      </c>
      <c r="AA13" s="52">
        <f ca="1" t="shared" si="4"/>
        <v>0</v>
      </c>
      <c r="AB13" s="22">
        <f ca="1">+GETPIVOTDATA("XXS4",'xuanson (2016)'!$A$3,"MA_HT","RSX","MA_QH","DGT")</f>
        <v>0</v>
      </c>
      <c r="AC13" s="22">
        <f ca="1">+GETPIVOTDATA("XXS4",'xuanson (2016)'!$A$3,"MA_HT","RSX","MA_QH","DTL")</f>
        <v>0</v>
      </c>
      <c r="AD13" s="22">
        <f ca="1">+GETPIVOTDATA("XXS4",'xuanson (2016)'!$A$3,"MA_HT","RSX","MA_QH","DNL")</f>
        <v>0</v>
      </c>
      <c r="AE13" s="22">
        <f ca="1">+GETPIVOTDATA("XXS4",'xuanson (2016)'!$A$3,"MA_HT","RSX","MA_QH","DBV")</f>
        <v>0</v>
      </c>
      <c r="AF13" s="22">
        <f ca="1">+GETPIVOTDATA("XXS4",'xuanson (2016)'!$A$3,"MA_HT","RSX","MA_QH","DVH")</f>
        <v>0</v>
      </c>
      <c r="AG13" s="22">
        <f ca="1">+GETPIVOTDATA("XXS4",'xuanson (2016)'!$A$3,"MA_HT","RSX","MA_QH","DYT")</f>
        <v>0</v>
      </c>
      <c r="AH13" s="22">
        <f ca="1">+GETPIVOTDATA("XXS4",'xuanson (2016)'!$A$3,"MA_HT","RSX","MA_QH","DGD")</f>
        <v>0</v>
      </c>
      <c r="AI13" s="22">
        <f ca="1">+GETPIVOTDATA("XXS4",'xuanson (2016)'!$A$3,"MA_HT","RSX","MA_QH","DTT")</f>
        <v>0</v>
      </c>
      <c r="AJ13" s="22">
        <f ca="1">+GETPIVOTDATA("XXS4",'xuanson (2016)'!$A$3,"MA_HT","RSX","MA_QH","NCK")</f>
        <v>0</v>
      </c>
      <c r="AK13" s="22">
        <f ca="1">+GETPIVOTDATA("XXS4",'xuanson (2016)'!$A$3,"MA_HT","RSX","MA_QH","DXH")</f>
        <v>0</v>
      </c>
      <c r="AL13" s="22">
        <f ca="1">+GETPIVOTDATA("XXS4",'xuanson (2016)'!$A$3,"MA_HT","RSX","MA_QH","DCH")</f>
        <v>0</v>
      </c>
      <c r="AM13" s="22">
        <f ca="1">+GETPIVOTDATA("XXS4",'xuanson (2016)'!$A$3,"MA_HT","RSX","MA_QH","DKG")</f>
        <v>0</v>
      </c>
      <c r="AN13" s="22">
        <f ca="1">+GETPIVOTDATA("XXS4",'xuanson (2016)'!$A$3,"MA_HT","RSX","MA_QH","DDT")</f>
        <v>0</v>
      </c>
      <c r="AO13" s="22">
        <f ca="1">+GETPIVOTDATA("XXS4",'xuanson (2016)'!$A$3,"MA_HT","RSX","MA_QH","DDL")</f>
        <v>0</v>
      </c>
      <c r="AP13" s="22">
        <f ca="1">+GETPIVOTDATA("XXS4",'xuanson (2016)'!$A$3,"MA_HT","RSX","MA_QH","DRA")</f>
        <v>0</v>
      </c>
      <c r="AQ13" s="22">
        <f ca="1">+GETPIVOTDATA("XXS4",'xuanson (2016)'!$A$3,"MA_HT","RSX","MA_QH","ONT")</f>
        <v>0</v>
      </c>
      <c r="AR13" s="22">
        <f ca="1">+GETPIVOTDATA("XXS4",'xuanson (2016)'!$A$3,"MA_HT","RSX","MA_QH","ODT")</f>
        <v>0</v>
      </c>
      <c r="AS13" s="22">
        <f ca="1">+GETPIVOTDATA("XXS4",'xuanson (2016)'!$A$3,"MA_HT","RSX","MA_QH","TSC")</f>
        <v>0</v>
      </c>
      <c r="AT13" s="22">
        <f ca="1">+GETPIVOTDATA("XXS4",'xuanson (2016)'!$A$3,"MA_HT","RSX","MA_QH","DTS")</f>
        <v>0</v>
      </c>
      <c r="AU13" s="22">
        <f ca="1">+GETPIVOTDATA("XXS4",'xuanson (2016)'!$A$3,"MA_HT","RSX","MA_QH","DNG")</f>
        <v>0</v>
      </c>
      <c r="AV13" s="22">
        <f ca="1">+GETPIVOTDATA("XXS4",'xuanson (2016)'!$A$3,"MA_HT","RSX","MA_QH","TON")</f>
        <v>0</v>
      </c>
      <c r="AW13" s="22">
        <f ca="1">+GETPIVOTDATA("XXS4",'xuanson (2016)'!$A$3,"MA_HT","RSX","MA_QH","NTD")</f>
        <v>0</v>
      </c>
      <c r="AX13" s="22">
        <f ca="1">+GETPIVOTDATA("XXS4",'xuanson (2016)'!$A$3,"MA_HT","RSX","MA_QH","SKX")</f>
        <v>0</v>
      </c>
      <c r="AY13" s="22">
        <f ca="1">+GETPIVOTDATA("XXS4",'xuanson (2016)'!$A$3,"MA_HT","RSX","MA_QH","DSH")</f>
        <v>0</v>
      </c>
      <c r="AZ13" s="22">
        <f ca="1">+GETPIVOTDATA("XXS4",'xuanson (2016)'!$A$3,"MA_HT","RSX","MA_QH","DKV")</f>
        <v>0</v>
      </c>
      <c r="BA13" s="89">
        <f ca="1">+GETPIVOTDATA("XXS4",'xuanson (2016)'!$A$3,"MA_HT","RSX","MA_QH","TIN")</f>
        <v>0</v>
      </c>
      <c r="BB13" s="50">
        <f ca="1">+GETPIVOTDATA("XXS4",'xuanson (2016)'!$A$3,"MA_HT","RSX","MA_QH","SON")</f>
        <v>0</v>
      </c>
      <c r="BC13" s="50">
        <f ca="1">+GETPIVOTDATA("XXS4",'xuanson (2016)'!$A$3,"MA_HT","RSX","MA_QH","MNC")</f>
        <v>0</v>
      </c>
      <c r="BD13" s="22">
        <f ca="1">+GETPIVOTDATA("XXS4",'xuanson (2016)'!$A$3,"MA_HT","RSX","MA_QH","PNK")</f>
        <v>0</v>
      </c>
      <c r="BE13" s="71">
        <f ca="1">+GETPIVOTDATA("XXS4",'xuanson (2016)'!$A$3,"MA_HT","RSX","MA_QH","CSD")</f>
        <v>0</v>
      </c>
      <c r="BF13" s="74">
        <f ca="1" t="shared" si="7"/>
        <v>0</v>
      </c>
      <c r="BG13" s="101">
        <f ca="1">L$59-$BF13</f>
        <v>0</v>
      </c>
      <c r="BH13" s="41" t="e">
        <f ca="1" t="shared" si="8"/>
        <v>#REF!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="2" customFormat="1" ht="15.75" customHeight="1" spans="1:79">
      <c r="A14" s="39" t="s">
        <v>34</v>
      </c>
      <c r="B14" s="39" t="s">
        <v>32</v>
      </c>
      <c r="C14" s="40" t="s">
        <v>33</v>
      </c>
      <c r="D14" s="47" t="e">
        <f>+#REF!</f>
        <v>#REF!</v>
      </c>
      <c r="E14" s="42">
        <f ca="1">SUM(F14,J14:L14,N14:Q14)</f>
        <v>0</v>
      </c>
      <c r="F14" s="52">
        <f ca="1" t="shared" si="9"/>
        <v>0</v>
      </c>
      <c r="G14" s="22">
        <f ca="1">+GETPIVOTDATA("XXS4",'xuanson (2016)'!$A$3,"MA_HT","RPH","MA_QH","LUC")</f>
        <v>0</v>
      </c>
      <c r="H14" s="22">
        <f ca="1">+GETPIVOTDATA("XXS4",'xuanson (2016)'!$A$3,"MA_HT","RPH","MA_QH","LUK")</f>
        <v>0</v>
      </c>
      <c r="I14" s="22">
        <f ca="1">+GETPIVOTDATA("XXS4",'xuanson (2016)'!$A$3,"MA_HT","RPH","MA_QH","LUN")</f>
        <v>0</v>
      </c>
      <c r="J14" s="22">
        <f ca="1">+GETPIVOTDATA("XXS4",'xuanson (2016)'!$A$3,"MA_HT","RPH","MA_QH","HNK")</f>
        <v>0</v>
      </c>
      <c r="K14" s="22">
        <f ca="1">+GETPIVOTDATA("XXS4",'xuanson (2016)'!$A$3,"MA_HT","RPH","MA_QH","CLN")</f>
        <v>0</v>
      </c>
      <c r="L14" s="22">
        <f ca="1">+GETPIVOTDATA("XXS4",'xuanson (2016)'!$A$3,"MA_HT","RPH","MA_QH","RSX")</f>
        <v>0</v>
      </c>
      <c r="M14" s="43" t="e">
        <f ca="1">$D14-$BF14</f>
        <v>#REF!</v>
      </c>
      <c r="N14" s="22">
        <f ca="1">+GETPIVOTDATA("XXS4",'xuanson (2016)'!$A$3,"MA_HT","RPH","MA_QH","RDD")</f>
        <v>0</v>
      </c>
      <c r="O14" s="22">
        <f ca="1">+GETPIVOTDATA("XXS4",'xuanson (2016)'!$A$3,"MA_HT","RPH","MA_QH","NTS")</f>
        <v>0</v>
      </c>
      <c r="P14" s="22">
        <f ca="1">+GETPIVOTDATA("XXS4",'xuanson (2016)'!$A$3,"MA_HT","RPH","MA_QH","LMU")</f>
        <v>0</v>
      </c>
      <c r="Q14" s="22">
        <f ca="1">+GETPIVOTDATA("XXS4",'xuanson (2016)'!$A$3,"MA_HT","RPH","MA_QH","NKH")</f>
        <v>0</v>
      </c>
      <c r="R14" s="42">
        <f ca="1" t="shared" si="2"/>
        <v>0</v>
      </c>
      <c r="S14" s="22">
        <f ca="1">+GETPIVOTDATA("XXS4",'xuanson (2016)'!$A$3,"MA_HT","RPH","MA_QH","CQP")</f>
        <v>0</v>
      </c>
      <c r="T14" s="22">
        <f ca="1">+GETPIVOTDATA("XXS4",'xuanson (2016)'!$A$3,"MA_HT","RPH","MA_QH","CAN")</f>
        <v>0</v>
      </c>
      <c r="U14" s="22">
        <f ca="1">+GETPIVOTDATA("XXS4",'xuanson (2016)'!$A$3,"MA_HT","RPH","MA_QH","SKK")</f>
        <v>0</v>
      </c>
      <c r="V14" s="22">
        <f ca="1">+GETPIVOTDATA("XXS4",'xuanson (2016)'!$A$3,"MA_HT","RPH","MA_QH","SKT")</f>
        <v>0</v>
      </c>
      <c r="W14" s="22">
        <f ca="1">+GETPIVOTDATA("XXS4",'xuanson (2016)'!$A$3,"MA_HT","RPH","MA_QH","SKN")</f>
        <v>0</v>
      </c>
      <c r="X14" s="22">
        <f ca="1">+GETPIVOTDATA("XXS4",'xuanson (2016)'!$A$3,"MA_HT","RPH","MA_QH","TMD")</f>
        <v>0</v>
      </c>
      <c r="Y14" s="22">
        <f ca="1">+GETPIVOTDATA("XXS4",'xuanson (2016)'!$A$3,"MA_HT","RPH","MA_QH","SKC")</f>
        <v>0</v>
      </c>
      <c r="Z14" s="22">
        <f ca="1">+GETPIVOTDATA("XXS4",'xuanson (2016)'!$A$3,"MA_HT","RPH","MA_QH","SKS")</f>
        <v>0</v>
      </c>
      <c r="AA14" s="52">
        <f ca="1" t="shared" si="4"/>
        <v>0</v>
      </c>
      <c r="AB14" s="22">
        <f ca="1">+GETPIVOTDATA("XXS4",'xuanson (2016)'!$A$3,"MA_HT","RPH","MA_QH","DGT")</f>
        <v>0</v>
      </c>
      <c r="AC14" s="22">
        <f ca="1">+GETPIVOTDATA("XXS4",'xuanson (2016)'!$A$3,"MA_HT","RPH","MA_QH","DTL")</f>
        <v>0</v>
      </c>
      <c r="AD14" s="22">
        <f ca="1">+GETPIVOTDATA("XXS4",'xuanson (2016)'!$A$3,"MA_HT","RPH","MA_QH","DNL")</f>
        <v>0</v>
      </c>
      <c r="AE14" s="22">
        <f ca="1">+GETPIVOTDATA("XXS4",'xuanson (2016)'!$A$3,"MA_HT","RPH","MA_QH","DBV")</f>
        <v>0</v>
      </c>
      <c r="AF14" s="22">
        <f ca="1">+GETPIVOTDATA("XXS4",'xuanson (2016)'!$A$3,"MA_HT","RPH","MA_QH","DVH")</f>
        <v>0</v>
      </c>
      <c r="AG14" s="22">
        <f ca="1">+GETPIVOTDATA("XXS4",'xuanson (2016)'!$A$3,"MA_HT","RPH","MA_QH","DYT")</f>
        <v>0</v>
      </c>
      <c r="AH14" s="22">
        <f ca="1">+GETPIVOTDATA("XXS4",'xuanson (2016)'!$A$3,"MA_HT","RPH","MA_QH","DGD")</f>
        <v>0</v>
      </c>
      <c r="AI14" s="22">
        <f ca="1">+GETPIVOTDATA("XXS4",'xuanson (2016)'!$A$3,"MA_HT","RPH","MA_QH","DTT")</f>
        <v>0</v>
      </c>
      <c r="AJ14" s="22">
        <f ca="1">+GETPIVOTDATA("XXS4",'xuanson (2016)'!$A$3,"MA_HT","RPH","MA_QH","NCK")</f>
        <v>0</v>
      </c>
      <c r="AK14" s="22">
        <f ca="1">+GETPIVOTDATA("XXS4",'xuanson (2016)'!$A$3,"MA_HT","RPH","MA_QH","DXH")</f>
        <v>0</v>
      </c>
      <c r="AL14" s="22">
        <f ca="1">+GETPIVOTDATA("XXS4",'xuanson (2016)'!$A$3,"MA_HT","RPH","MA_QH","DCH")</f>
        <v>0</v>
      </c>
      <c r="AM14" s="22">
        <f ca="1">+GETPIVOTDATA("XXS4",'xuanson (2016)'!$A$3,"MA_HT","RPH","MA_QH","DKG")</f>
        <v>0</v>
      </c>
      <c r="AN14" s="22">
        <f ca="1">+GETPIVOTDATA("XXS4",'xuanson (2016)'!$A$3,"MA_HT","RPH","MA_QH","DDT")</f>
        <v>0</v>
      </c>
      <c r="AO14" s="22">
        <f ca="1">+GETPIVOTDATA("XXS4",'xuanson (2016)'!$A$3,"MA_HT","RPH","MA_QH","DDL")</f>
        <v>0</v>
      </c>
      <c r="AP14" s="22">
        <f ca="1">+GETPIVOTDATA("XXS4",'xuanson (2016)'!$A$3,"MA_HT","RPH","MA_QH","DRA")</f>
        <v>0</v>
      </c>
      <c r="AQ14" s="22">
        <f ca="1">+GETPIVOTDATA("XXS4",'xuanson (2016)'!$A$3,"MA_HT","RPH","MA_QH","ONT")</f>
        <v>0</v>
      </c>
      <c r="AR14" s="22">
        <f ca="1">+GETPIVOTDATA("XXS4",'xuanson (2016)'!$A$3,"MA_HT","RPH","MA_QH","ODT")</f>
        <v>0</v>
      </c>
      <c r="AS14" s="22">
        <f ca="1">+GETPIVOTDATA("XXS4",'xuanson (2016)'!$A$3,"MA_HT","RPH","MA_QH","TSC")</f>
        <v>0</v>
      </c>
      <c r="AT14" s="22">
        <f ca="1">+GETPIVOTDATA("XXS4",'xuanson (2016)'!$A$3,"MA_HT","RPH","MA_QH","DTS")</f>
        <v>0</v>
      </c>
      <c r="AU14" s="22">
        <f ca="1">+GETPIVOTDATA("XXS4",'xuanson (2016)'!$A$3,"MA_HT","RPH","MA_QH","DNG")</f>
        <v>0</v>
      </c>
      <c r="AV14" s="22">
        <f ca="1">+GETPIVOTDATA("XXS4",'xuanson (2016)'!$A$3,"MA_HT","RPH","MA_QH","TON")</f>
        <v>0</v>
      </c>
      <c r="AW14" s="22">
        <f ca="1">+GETPIVOTDATA("XXS4",'xuanson (2016)'!$A$3,"MA_HT","RPH","MA_QH","NTD")</f>
        <v>0</v>
      </c>
      <c r="AX14" s="22">
        <f ca="1">+GETPIVOTDATA("XXS4",'xuanson (2016)'!$A$3,"MA_HT","RPH","MA_QH","SKX")</f>
        <v>0</v>
      </c>
      <c r="AY14" s="22">
        <f ca="1">+GETPIVOTDATA("XXS4",'xuanson (2016)'!$A$3,"MA_HT","RPH","MA_QH","DSH")</f>
        <v>0</v>
      </c>
      <c r="AZ14" s="22">
        <f ca="1">+GETPIVOTDATA("XXS4",'xuanson (2016)'!$A$3,"MA_HT","RPH","MA_QH","DKV")</f>
        <v>0</v>
      </c>
      <c r="BA14" s="89">
        <f ca="1">+GETPIVOTDATA("XXS4",'xuanson (2016)'!$A$3,"MA_HT","RPH","MA_QH","TIN")</f>
        <v>0</v>
      </c>
      <c r="BB14" s="50">
        <f ca="1">+GETPIVOTDATA("XXS4",'xuanson (2016)'!$A$3,"MA_HT","RPH","MA_QH","SON")</f>
        <v>0</v>
      </c>
      <c r="BC14" s="50">
        <f ca="1">+GETPIVOTDATA("XXS4",'xuanson (2016)'!$A$3,"MA_HT","RPH","MA_QH","MNC")</f>
        <v>0</v>
      </c>
      <c r="BD14" s="22">
        <f ca="1">+GETPIVOTDATA("XXS4",'xuanson (2016)'!$A$3,"MA_HT","RPH","MA_QH","PNK")</f>
        <v>0</v>
      </c>
      <c r="BE14" s="71">
        <f ca="1">+GETPIVOTDATA("XXS4",'xuanson (2016)'!$A$3,"MA_HT","RPH","MA_QH","CSD")</f>
        <v>0</v>
      </c>
      <c r="BF14" s="74">
        <f ca="1" t="shared" si="7"/>
        <v>0</v>
      </c>
      <c r="BG14" s="101">
        <f ca="1">M$59-$BF14</f>
        <v>0</v>
      </c>
      <c r="BH14" s="41" t="e">
        <f ca="1" t="shared" si="8"/>
        <v>#REF!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="2" customFormat="1" ht="15.75" customHeight="1" spans="1:79">
      <c r="A15" s="39" t="s">
        <v>36</v>
      </c>
      <c r="B15" s="39" t="s">
        <v>716</v>
      </c>
      <c r="C15" s="40" t="s">
        <v>182</v>
      </c>
      <c r="D15" s="47" t="e">
        <f>+#REF!</f>
        <v>#REF!</v>
      </c>
      <c r="E15" s="42">
        <f ca="1">SUM(F15,J15:M15,O15:Q15)</f>
        <v>0</v>
      </c>
      <c r="F15" s="52">
        <f ca="1" t="shared" si="9"/>
        <v>0</v>
      </c>
      <c r="G15" s="22">
        <f ca="1">+GETPIVOTDATA("XXS4",'xuanson (2016)'!$A$3,"MA_HT","RDD","MA_QH","LUC")</f>
        <v>0</v>
      </c>
      <c r="H15" s="22">
        <f ca="1">+GETPIVOTDATA("XXS4",'xuanson (2016)'!$A$3,"MA_HT","RDD","MA_QH","LUK")</f>
        <v>0</v>
      </c>
      <c r="I15" s="22">
        <f ca="1">+GETPIVOTDATA("XXS4",'xuanson (2016)'!$A$3,"MA_HT","RDD","MA_QH","LUN")</f>
        <v>0</v>
      </c>
      <c r="J15" s="22">
        <f ca="1">+GETPIVOTDATA("XXS4",'xuanson (2016)'!$A$3,"MA_HT","RDD","MA_QH","HNK")</f>
        <v>0</v>
      </c>
      <c r="K15" s="22">
        <f ca="1">+GETPIVOTDATA("XXS4",'xuanson (2016)'!$A$3,"MA_HT","RDD","MA_QH","CLN")</f>
        <v>0</v>
      </c>
      <c r="L15" s="22">
        <f ca="1">+GETPIVOTDATA("XXS4",'xuanson (2016)'!$A$3,"MA_HT","RDD","MA_QH","RSX")</f>
        <v>0</v>
      </c>
      <c r="M15" s="22">
        <f ca="1">+GETPIVOTDATA("XXS4",'xuanson (2016)'!$A$3,"MA_HT","RDD","MA_QH","RPH")</f>
        <v>0</v>
      </c>
      <c r="N15" s="43" t="e">
        <f ca="1">$D15-$BF15</f>
        <v>#REF!</v>
      </c>
      <c r="O15" s="22">
        <f ca="1">+GETPIVOTDATA("XXS4",'xuanson (2016)'!$A$3,"MA_HT","RDD","MA_QH","NTS")</f>
        <v>0</v>
      </c>
      <c r="P15" s="22">
        <f ca="1">+GETPIVOTDATA("XXS4",'xuanson (2016)'!$A$3,"MA_HT","RDD","MA_QH","LMU")</f>
        <v>0</v>
      </c>
      <c r="Q15" s="22">
        <f ca="1">+GETPIVOTDATA("XXS4",'xuanson (2016)'!$A$3,"MA_HT","RDD","MA_QH","NKH")</f>
        <v>0</v>
      </c>
      <c r="R15" s="42">
        <f ca="1" t="shared" si="2"/>
        <v>0</v>
      </c>
      <c r="S15" s="22">
        <f ca="1">+GETPIVOTDATA("XXS4",'xuanson (2016)'!$A$3,"MA_HT","RDD","MA_QH","CQP")</f>
        <v>0</v>
      </c>
      <c r="T15" s="22">
        <f ca="1">+GETPIVOTDATA("XXS4",'xuanson (2016)'!$A$3,"MA_HT","RDD","MA_QH","CAN")</f>
        <v>0</v>
      </c>
      <c r="U15" s="22">
        <f ca="1">+GETPIVOTDATA("XXS4",'xuanson (2016)'!$A$3,"MA_HT","RDD","MA_QH","SKK")</f>
        <v>0</v>
      </c>
      <c r="V15" s="22">
        <f ca="1">+GETPIVOTDATA("XXS4",'xuanson (2016)'!$A$3,"MA_HT","RDD","MA_QH","SKT")</f>
        <v>0</v>
      </c>
      <c r="W15" s="22">
        <f ca="1">+GETPIVOTDATA("XXS4",'xuanson (2016)'!$A$3,"MA_HT","RDD","MA_QH","SKN")</f>
        <v>0</v>
      </c>
      <c r="X15" s="22">
        <f ca="1">+GETPIVOTDATA("XXS4",'xuanson (2016)'!$A$3,"MA_HT","RDD","MA_QH","TMD")</f>
        <v>0</v>
      </c>
      <c r="Y15" s="22">
        <f ca="1">+GETPIVOTDATA("XXS4",'xuanson (2016)'!$A$3,"MA_HT","RDD","MA_QH","SKC")</f>
        <v>0</v>
      </c>
      <c r="Z15" s="22">
        <f ca="1">+GETPIVOTDATA("XXS4",'xuanson (2016)'!$A$3,"MA_HT","RDD","MA_QH","SKS")</f>
        <v>0</v>
      </c>
      <c r="AA15" s="52">
        <f ca="1" t="shared" si="4"/>
        <v>0</v>
      </c>
      <c r="AB15" s="22">
        <f ca="1">+GETPIVOTDATA("XXS4",'xuanson (2016)'!$A$3,"MA_HT","RDD","MA_QH","DGT")</f>
        <v>0</v>
      </c>
      <c r="AC15" s="22">
        <f ca="1">+GETPIVOTDATA("XXS4",'xuanson (2016)'!$A$3,"MA_HT","RDD","MA_QH","DTL")</f>
        <v>0</v>
      </c>
      <c r="AD15" s="22">
        <f ca="1">+GETPIVOTDATA("XXS4",'xuanson (2016)'!$A$3,"MA_HT","RDD","MA_QH","DNL")</f>
        <v>0</v>
      </c>
      <c r="AE15" s="22">
        <f ca="1">+GETPIVOTDATA("XXS4",'xuanson (2016)'!$A$3,"MA_HT","RDD","MA_QH","DBV")</f>
        <v>0</v>
      </c>
      <c r="AF15" s="22">
        <f ca="1">+GETPIVOTDATA("XXS4",'xuanson (2016)'!$A$3,"MA_HT","RDD","MA_QH","DVH")</f>
        <v>0</v>
      </c>
      <c r="AG15" s="22">
        <f ca="1">+GETPIVOTDATA("XXS4",'xuanson (2016)'!$A$3,"MA_HT","RDD","MA_QH","DYT")</f>
        <v>0</v>
      </c>
      <c r="AH15" s="22">
        <f ca="1">+GETPIVOTDATA("XXS4",'xuanson (2016)'!$A$3,"MA_HT","RDD","MA_QH","DGD")</f>
        <v>0</v>
      </c>
      <c r="AI15" s="22">
        <f ca="1">+GETPIVOTDATA("XXS4",'xuanson (2016)'!$A$3,"MA_HT","RDD","MA_QH","DTT")</f>
        <v>0</v>
      </c>
      <c r="AJ15" s="22">
        <f ca="1">+GETPIVOTDATA("XXS4",'xuanson (2016)'!$A$3,"MA_HT","RDD","MA_QH","NCK")</f>
        <v>0</v>
      </c>
      <c r="AK15" s="22">
        <f ca="1">+GETPIVOTDATA("XXS4",'xuanson (2016)'!$A$3,"MA_HT","RDD","MA_QH","DXH")</f>
        <v>0</v>
      </c>
      <c r="AL15" s="22">
        <f ca="1">+GETPIVOTDATA("XXS4",'xuanson (2016)'!$A$3,"MA_HT","RDD","MA_QH","DCH")</f>
        <v>0</v>
      </c>
      <c r="AM15" s="22">
        <f ca="1">+GETPIVOTDATA("XXS4",'xuanson (2016)'!$A$3,"MA_HT","RDD","MA_QH","DKG")</f>
        <v>0</v>
      </c>
      <c r="AN15" s="22">
        <f ca="1">+GETPIVOTDATA("XXS4",'xuanson (2016)'!$A$3,"MA_HT","RDD","MA_QH","DDT")</f>
        <v>0</v>
      </c>
      <c r="AO15" s="22">
        <f ca="1">+GETPIVOTDATA("XXS4",'xuanson (2016)'!$A$3,"MA_HT","RDD","MA_QH","DDL")</f>
        <v>0</v>
      </c>
      <c r="AP15" s="22">
        <f ca="1">+GETPIVOTDATA("XXS4",'xuanson (2016)'!$A$3,"MA_HT","RDD","MA_QH","DRA")</f>
        <v>0</v>
      </c>
      <c r="AQ15" s="22">
        <f ca="1">+GETPIVOTDATA("XXS4",'xuanson (2016)'!$A$3,"MA_HT","RDD","MA_QH","ONT")</f>
        <v>0</v>
      </c>
      <c r="AR15" s="22">
        <f ca="1">+GETPIVOTDATA("XXS4",'xuanson (2016)'!$A$3,"MA_HT","RDD","MA_QH","ODT")</f>
        <v>0</v>
      </c>
      <c r="AS15" s="22">
        <f ca="1">+GETPIVOTDATA("XXS4",'xuanson (2016)'!$A$3,"MA_HT","RDD","MA_QH","TSC")</f>
        <v>0</v>
      </c>
      <c r="AT15" s="22">
        <f ca="1">+GETPIVOTDATA("XXS4",'xuanson (2016)'!$A$3,"MA_HT","RDD","MA_QH","DTS")</f>
        <v>0</v>
      </c>
      <c r="AU15" s="22">
        <f ca="1">+GETPIVOTDATA("XXS4",'xuanson (2016)'!$A$3,"MA_HT","RDD","MA_QH","DNG")</f>
        <v>0</v>
      </c>
      <c r="AV15" s="22">
        <f ca="1">+GETPIVOTDATA("XXS4",'xuanson (2016)'!$A$3,"MA_HT","RDD","MA_QH","TON")</f>
        <v>0</v>
      </c>
      <c r="AW15" s="22">
        <f ca="1">+GETPIVOTDATA("XXS4",'xuanson (2016)'!$A$3,"MA_HT","RDD","MA_QH","NTD")</f>
        <v>0</v>
      </c>
      <c r="AX15" s="22">
        <f ca="1">+GETPIVOTDATA("XXS4",'xuanson (2016)'!$A$3,"MA_HT","RDD","MA_QH","SKX")</f>
        <v>0</v>
      </c>
      <c r="AY15" s="22">
        <f ca="1">+GETPIVOTDATA("XXS4",'xuanson (2016)'!$A$3,"MA_HT","RDD","MA_QH","DSH")</f>
        <v>0</v>
      </c>
      <c r="AZ15" s="22">
        <f ca="1">+GETPIVOTDATA("XXS4",'xuanson (2016)'!$A$3,"MA_HT","RDD","MA_QH","DKV")</f>
        <v>0</v>
      </c>
      <c r="BA15" s="89">
        <f ca="1">+GETPIVOTDATA("XXS4",'xuanson (2016)'!$A$3,"MA_HT","RDD","MA_QH","TIN")</f>
        <v>0</v>
      </c>
      <c r="BB15" s="50">
        <f ca="1">+GETPIVOTDATA("XXS4",'xuanson (2016)'!$A$3,"MA_HT","RDD","MA_QH","SON")</f>
        <v>0</v>
      </c>
      <c r="BC15" s="50">
        <f ca="1">+GETPIVOTDATA("XXS4",'xuanson (2016)'!$A$3,"MA_HT","RDD","MA_QH","MNC")</f>
        <v>0</v>
      </c>
      <c r="BD15" s="22">
        <f ca="1">+GETPIVOTDATA("XXS4",'xuanson (2016)'!$A$3,"MA_HT","RDD","MA_QH","PNK")</f>
        <v>0</v>
      </c>
      <c r="BE15" s="71">
        <f ca="1">+GETPIVOTDATA("XXS4",'xuanson (2016)'!$A$3,"MA_HT","RDD","MA_QH","CSD")</f>
        <v>0</v>
      </c>
      <c r="BF15" s="74">
        <f ca="1" t="shared" si="7"/>
        <v>0</v>
      </c>
      <c r="BG15" s="101">
        <f ca="1">N$59-$BF15</f>
        <v>0</v>
      </c>
      <c r="BH15" s="41" t="e">
        <f ca="1" t="shared" si="8"/>
        <v>#REF!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="2" customFormat="1" ht="15.75" customHeight="1" spans="1:79">
      <c r="A16" s="39" t="s">
        <v>41</v>
      </c>
      <c r="B16" s="39" t="s">
        <v>42</v>
      </c>
      <c r="C16" s="40" t="s">
        <v>43</v>
      </c>
      <c r="D16" s="47" t="e">
        <f>+#REF!</f>
        <v>#REF!</v>
      </c>
      <c r="E16" s="42">
        <f ca="1">SUM(F16,J16:N16,P16:Q16)</f>
        <v>0</v>
      </c>
      <c r="F16" s="52">
        <f ca="1" t="shared" si="9"/>
        <v>0</v>
      </c>
      <c r="G16" s="22">
        <f ca="1">+GETPIVOTDATA("XXS4",'xuanson (2016)'!$A$3,"MA_HT","NTS","MA_QH","LUC")</f>
        <v>0</v>
      </c>
      <c r="H16" s="22">
        <f ca="1">+GETPIVOTDATA("XXS4",'xuanson (2016)'!$A$3,"MA_HT","NTS","MA_QH","LUK")</f>
        <v>0</v>
      </c>
      <c r="I16" s="22">
        <f ca="1">+GETPIVOTDATA("XXS4",'xuanson (2016)'!$A$3,"MA_HT","NTS","MA_QH","LUN")</f>
        <v>0</v>
      </c>
      <c r="J16" s="22">
        <f ca="1">+GETPIVOTDATA("XXS4",'xuanson (2016)'!$A$3,"MA_HT","NTS","MA_QH","HNK")</f>
        <v>0</v>
      </c>
      <c r="K16" s="22">
        <f ca="1">+GETPIVOTDATA("XXS4",'xuanson (2016)'!$A$3,"MA_HT","NTS","MA_QH","CLN")</f>
        <v>0</v>
      </c>
      <c r="L16" s="22">
        <f ca="1">+GETPIVOTDATA("XXS4",'xuanson (2016)'!$A$3,"MA_HT","NTS","MA_QH","RSX")</f>
        <v>0</v>
      </c>
      <c r="M16" s="22">
        <f ca="1">+GETPIVOTDATA("XXS4",'xuanson (2016)'!$A$3,"MA_HT","NTS","MA_QH","RPH")</f>
        <v>0</v>
      </c>
      <c r="N16" s="22">
        <f ca="1">+GETPIVOTDATA("XXS4",'xuanson (2016)'!$A$3,"MA_HT","NTS","MA_QH","RDD")</f>
        <v>0</v>
      </c>
      <c r="O16" s="43" t="e">
        <f ca="1">$D16-$BF16</f>
        <v>#REF!</v>
      </c>
      <c r="P16" s="22">
        <f ca="1">+GETPIVOTDATA("XXS4",'xuanson (2016)'!$A$3,"MA_HT","NTS","MA_QH","LMU")</f>
        <v>0</v>
      </c>
      <c r="Q16" s="22">
        <f ca="1">+GETPIVOTDATA("XXS4",'xuanson (2016)'!$A$3,"MA_HT","NTS","MA_QH","NKH")</f>
        <v>0</v>
      </c>
      <c r="R16" s="42">
        <f ca="1" t="shared" si="2"/>
        <v>0</v>
      </c>
      <c r="S16" s="22">
        <f ca="1">+GETPIVOTDATA("XXS4",'xuanson (2016)'!$A$3,"MA_HT","NTS","MA_QH","CQP")</f>
        <v>0</v>
      </c>
      <c r="T16" s="22">
        <f ca="1">+GETPIVOTDATA("XXS4",'xuanson (2016)'!$A$3,"MA_HT","NTS","MA_QH","CAN")</f>
        <v>0</v>
      </c>
      <c r="U16" s="22">
        <f ca="1">+GETPIVOTDATA("XXS4",'xuanson (2016)'!$A$3,"MA_HT","NTS","MA_QH","SKK")</f>
        <v>0</v>
      </c>
      <c r="V16" s="22">
        <f ca="1">+GETPIVOTDATA("XXS4",'xuanson (2016)'!$A$3,"MA_HT","NTS","MA_QH","SKT")</f>
        <v>0</v>
      </c>
      <c r="W16" s="22">
        <f ca="1">+GETPIVOTDATA("XXS4",'xuanson (2016)'!$A$3,"MA_HT","NTS","MA_QH","SKN")</f>
        <v>0</v>
      </c>
      <c r="X16" s="22">
        <f ca="1">+GETPIVOTDATA("XXS4",'xuanson (2016)'!$A$3,"MA_HT","NTS","MA_QH","TMD")</f>
        <v>0</v>
      </c>
      <c r="Y16" s="22">
        <f ca="1">+GETPIVOTDATA("XXS4",'xuanson (2016)'!$A$3,"MA_HT","NTS","MA_QH","SKC")</f>
        <v>0</v>
      </c>
      <c r="Z16" s="22">
        <f ca="1">+GETPIVOTDATA("XXS4",'xuanson (2016)'!$A$3,"MA_HT","NTS","MA_QH","SKS")</f>
        <v>0</v>
      </c>
      <c r="AA16" s="52">
        <f ca="1" t="shared" si="4"/>
        <v>0</v>
      </c>
      <c r="AB16" s="22">
        <f ca="1">+GETPIVOTDATA("XXS4",'xuanson (2016)'!$A$3,"MA_HT","NTS","MA_QH","DGT")</f>
        <v>0</v>
      </c>
      <c r="AC16" s="22">
        <f ca="1">+GETPIVOTDATA("XXS4",'xuanson (2016)'!$A$3,"MA_HT","NTS","MA_QH","DTL")</f>
        <v>0</v>
      </c>
      <c r="AD16" s="22">
        <f ca="1">+GETPIVOTDATA("XXS4",'xuanson (2016)'!$A$3,"MA_HT","NTS","MA_QH","DNL")</f>
        <v>0</v>
      </c>
      <c r="AE16" s="22">
        <f ca="1">+GETPIVOTDATA("XXS4",'xuanson (2016)'!$A$3,"MA_HT","NTS","MA_QH","DBV")</f>
        <v>0</v>
      </c>
      <c r="AF16" s="22">
        <f ca="1">+GETPIVOTDATA("XXS4",'xuanson (2016)'!$A$3,"MA_HT","NTS","MA_QH","DVH")</f>
        <v>0</v>
      </c>
      <c r="AG16" s="22">
        <f ca="1">+GETPIVOTDATA("XXS4",'xuanson (2016)'!$A$3,"MA_HT","NTS","MA_QH","DYT")</f>
        <v>0</v>
      </c>
      <c r="AH16" s="22">
        <f ca="1">+GETPIVOTDATA("XXS4",'xuanson (2016)'!$A$3,"MA_HT","NTS","MA_QH","DGD")</f>
        <v>0</v>
      </c>
      <c r="AI16" s="22">
        <f ca="1">+GETPIVOTDATA("XXS4",'xuanson (2016)'!$A$3,"MA_HT","NTS","MA_QH","DTT")</f>
        <v>0</v>
      </c>
      <c r="AJ16" s="22">
        <f ca="1">+GETPIVOTDATA("XXS4",'xuanson (2016)'!$A$3,"MA_HT","NTS","MA_QH","NCK")</f>
        <v>0</v>
      </c>
      <c r="AK16" s="22">
        <f ca="1">+GETPIVOTDATA("XXS4",'xuanson (2016)'!$A$3,"MA_HT","NTS","MA_QH","DXH")</f>
        <v>0</v>
      </c>
      <c r="AL16" s="22">
        <f ca="1">+GETPIVOTDATA("XXS4",'xuanson (2016)'!$A$3,"MA_HT","NTS","MA_QH","DCH")</f>
        <v>0</v>
      </c>
      <c r="AM16" s="22">
        <f ca="1">+GETPIVOTDATA("XXS4",'xuanson (2016)'!$A$3,"MA_HT","NTS","MA_QH","DKG")</f>
        <v>0</v>
      </c>
      <c r="AN16" s="22">
        <f ca="1">+GETPIVOTDATA("XXS4",'xuanson (2016)'!$A$3,"MA_HT","NTS","MA_QH","DDT")</f>
        <v>0</v>
      </c>
      <c r="AO16" s="22">
        <f ca="1">+GETPIVOTDATA("XXS4",'xuanson (2016)'!$A$3,"MA_HT","NTS","MA_QH","DDL")</f>
        <v>0</v>
      </c>
      <c r="AP16" s="22">
        <f ca="1">+GETPIVOTDATA("XXS4",'xuanson (2016)'!$A$3,"MA_HT","NTS","MA_QH","DRA")</f>
        <v>0</v>
      </c>
      <c r="AQ16" s="22">
        <f ca="1">+GETPIVOTDATA("XXS4",'xuanson (2016)'!$A$3,"MA_HT","NTS","MA_QH","ONT")</f>
        <v>0</v>
      </c>
      <c r="AR16" s="22">
        <f ca="1">+GETPIVOTDATA("XXS4",'xuanson (2016)'!$A$3,"MA_HT","NTS","MA_QH","ODT")</f>
        <v>0</v>
      </c>
      <c r="AS16" s="22">
        <f ca="1">+GETPIVOTDATA("XXS4",'xuanson (2016)'!$A$3,"MA_HT","NTS","MA_QH","TSC")</f>
        <v>0</v>
      </c>
      <c r="AT16" s="22">
        <f ca="1">+GETPIVOTDATA("XXS4",'xuanson (2016)'!$A$3,"MA_HT","NTS","MA_QH","DTS")</f>
        <v>0</v>
      </c>
      <c r="AU16" s="22">
        <f ca="1">+GETPIVOTDATA("XXS4",'xuanson (2016)'!$A$3,"MA_HT","NTS","MA_QH","DNG")</f>
        <v>0</v>
      </c>
      <c r="AV16" s="22">
        <f ca="1">+GETPIVOTDATA("XXS4",'xuanson (2016)'!$A$3,"MA_HT","NTS","MA_QH","TON")</f>
        <v>0</v>
      </c>
      <c r="AW16" s="22">
        <f ca="1">+GETPIVOTDATA("XXS4",'xuanson (2016)'!$A$3,"MA_HT","NTS","MA_QH","NTD")</f>
        <v>0</v>
      </c>
      <c r="AX16" s="22">
        <f ca="1">+GETPIVOTDATA("XXS4",'xuanson (2016)'!$A$3,"MA_HT","NTS","MA_QH","SKX")</f>
        <v>0</v>
      </c>
      <c r="AY16" s="22">
        <f ca="1">+GETPIVOTDATA("XXS4",'xuanson (2016)'!$A$3,"MA_HT","NTS","MA_QH","DSH")</f>
        <v>0</v>
      </c>
      <c r="AZ16" s="22">
        <f ca="1">+GETPIVOTDATA("XXS4",'xuanson (2016)'!$A$3,"MA_HT","NTS","MA_QH","DKV")</f>
        <v>0</v>
      </c>
      <c r="BA16" s="89">
        <f ca="1">+GETPIVOTDATA("XXS4",'xuanson (2016)'!$A$3,"MA_HT","NTS","MA_QH","TIN")</f>
        <v>0</v>
      </c>
      <c r="BB16" s="50">
        <f ca="1">+GETPIVOTDATA("XXS4",'xuanson (2016)'!$A$3,"MA_HT","NTS","MA_QH","SON")</f>
        <v>0</v>
      </c>
      <c r="BC16" s="50">
        <f ca="1">+GETPIVOTDATA("XXS4",'xuanson (2016)'!$A$3,"MA_HT","NTS","MA_QH","MNC")</f>
        <v>0</v>
      </c>
      <c r="BD16" s="22">
        <f ca="1">+GETPIVOTDATA("XXS4",'xuanson (2016)'!$A$3,"MA_HT","NTS","MA_QH","PNK")</f>
        <v>0</v>
      </c>
      <c r="BE16" s="71">
        <f ca="1">+GETPIVOTDATA("XXS4",'xuanson (2016)'!$A$3,"MA_HT","NTS","MA_QH","CSD")</f>
        <v>0</v>
      </c>
      <c r="BF16" s="74">
        <f ca="1" t="shared" si="7"/>
        <v>0</v>
      </c>
      <c r="BG16" s="101">
        <f ca="1">O$59-$BF16</f>
        <v>0</v>
      </c>
      <c r="BH16" s="41" t="e">
        <f ca="1" t="shared" si="8"/>
        <v>#REF!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="2" customFormat="1" ht="15.75" customHeight="1" spans="1:79">
      <c r="A17" s="39" t="s">
        <v>44</v>
      </c>
      <c r="B17" s="39" t="s">
        <v>45</v>
      </c>
      <c r="C17" s="40" t="s">
        <v>46</v>
      </c>
      <c r="D17" s="47" t="e">
        <f>+#REF!</f>
        <v>#REF!</v>
      </c>
      <c r="E17" s="42">
        <f ca="1">SUM(F17,J17:O17,Q17:Q17)</f>
        <v>0</v>
      </c>
      <c r="F17" s="52">
        <f ca="1" t="shared" si="9"/>
        <v>0</v>
      </c>
      <c r="G17" s="22">
        <f ca="1">+GETPIVOTDATA("XXS4",'xuanson (2016)'!$A$3,"MA_HT","LMU","MA_QH","LUC")</f>
        <v>0</v>
      </c>
      <c r="H17" s="22">
        <f ca="1">+GETPIVOTDATA("XXS4",'xuanson (2016)'!$A$3,"MA_HT","LMU","MA_QH","LUK")</f>
        <v>0</v>
      </c>
      <c r="I17" s="22">
        <f ca="1">+GETPIVOTDATA("XXS4",'xuanson (2016)'!$A$3,"MA_HT","LMU","MA_QH","LUN")</f>
        <v>0</v>
      </c>
      <c r="J17" s="22">
        <f ca="1">+GETPIVOTDATA("XXS4",'xuanson (2016)'!$A$3,"MA_HT","LMU","MA_QH","HNK")</f>
        <v>0</v>
      </c>
      <c r="K17" s="22">
        <f ca="1">+GETPIVOTDATA("XXS4",'xuanson (2016)'!$A$3,"MA_HT","LMU","MA_QH","CLN")</f>
        <v>0</v>
      </c>
      <c r="L17" s="22">
        <f ca="1">+GETPIVOTDATA("XXS4",'xuanson (2016)'!$A$3,"MA_HT","LMU","MA_QH","RSX")</f>
        <v>0</v>
      </c>
      <c r="M17" s="22">
        <f ca="1">+GETPIVOTDATA("XXS4",'xuanson (2016)'!$A$3,"MA_HT","LMU","MA_QH","RPH")</f>
        <v>0</v>
      </c>
      <c r="N17" s="22">
        <f ca="1">+GETPIVOTDATA("XXS4",'xuanson (2016)'!$A$3,"MA_HT","LMU","MA_QH","RDD")</f>
        <v>0</v>
      </c>
      <c r="O17" s="22">
        <f ca="1">+GETPIVOTDATA("XXS4",'xuanson (2016)'!$A$3,"MA_HT","LMU","MA_QH","NTS")</f>
        <v>0</v>
      </c>
      <c r="P17" s="43" t="e">
        <f ca="1">$D17-$BF17</f>
        <v>#REF!</v>
      </c>
      <c r="Q17" s="22">
        <f ca="1">+GETPIVOTDATA("XXS4",'xuanson (2016)'!$A$3,"MA_HT","LMU","MA_QH","NKH")</f>
        <v>0</v>
      </c>
      <c r="R17" s="42">
        <f ca="1" t="shared" si="2"/>
        <v>0</v>
      </c>
      <c r="S17" s="22">
        <f ca="1">+GETPIVOTDATA("XXS4",'xuanson (2016)'!$A$3,"MA_HT","LMU","MA_QH","CQP")</f>
        <v>0</v>
      </c>
      <c r="T17" s="22">
        <f ca="1">+GETPIVOTDATA("XXS4",'xuanson (2016)'!$A$3,"MA_HT","LMU","MA_QH","CAN")</f>
        <v>0</v>
      </c>
      <c r="U17" s="22">
        <f ca="1">+GETPIVOTDATA("XXS4",'xuanson (2016)'!$A$3,"MA_HT","LMU","MA_QH","SKK")</f>
        <v>0</v>
      </c>
      <c r="V17" s="22">
        <f ca="1">+GETPIVOTDATA("XXS4",'xuanson (2016)'!$A$3,"MA_HT","LMU","MA_QH","SKT")</f>
        <v>0</v>
      </c>
      <c r="W17" s="22">
        <f ca="1">+GETPIVOTDATA("XXS4",'xuanson (2016)'!$A$3,"MA_HT","LMU","MA_QH","SKN")</f>
        <v>0</v>
      </c>
      <c r="X17" s="22">
        <f ca="1">+GETPIVOTDATA("XXS4",'xuanson (2016)'!$A$3,"MA_HT","LMU","MA_QH","TMD")</f>
        <v>0</v>
      </c>
      <c r="Y17" s="22">
        <f ca="1">+GETPIVOTDATA("XXS4",'xuanson (2016)'!$A$3,"MA_HT","LMU","MA_QH","SKC")</f>
        <v>0</v>
      </c>
      <c r="Z17" s="22">
        <f ca="1">+GETPIVOTDATA("XXS4",'xuanson (2016)'!$A$3,"MA_HT","LMU","MA_QH","SKS")</f>
        <v>0</v>
      </c>
      <c r="AA17" s="52">
        <f ca="1" t="shared" si="4"/>
        <v>0</v>
      </c>
      <c r="AB17" s="22">
        <f ca="1">+GETPIVOTDATA("XXS4",'xuanson (2016)'!$A$3,"MA_HT","LMU","MA_QH","DGT")</f>
        <v>0</v>
      </c>
      <c r="AC17" s="22">
        <f ca="1">+GETPIVOTDATA("XXS4",'xuanson (2016)'!$A$3,"MA_HT","LMU","MA_QH","DTL")</f>
        <v>0</v>
      </c>
      <c r="AD17" s="22">
        <f ca="1">+GETPIVOTDATA("XXS4",'xuanson (2016)'!$A$3,"MA_HT","LMU","MA_QH","DNL")</f>
        <v>0</v>
      </c>
      <c r="AE17" s="22">
        <f ca="1">+GETPIVOTDATA("XXS4",'xuanson (2016)'!$A$3,"MA_HT","LMU","MA_QH","DBV")</f>
        <v>0</v>
      </c>
      <c r="AF17" s="22">
        <f ca="1">+GETPIVOTDATA("XXS4",'xuanson (2016)'!$A$3,"MA_HT","LMU","MA_QH","DVH")</f>
        <v>0</v>
      </c>
      <c r="AG17" s="22">
        <f ca="1">+GETPIVOTDATA("XXS4",'xuanson (2016)'!$A$3,"MA_HT","LMU","MA_QH","DYT")</f>
        <v>0</v>
      </c>
      <c r="AH17" s="22">
        <f ca="1">+GETPIVOTDATA("XXS4",'xuanson (2016)'!$A$3,"MA_HT","LMU","MA_QH","DGD")</f>
        <v>0</v>
      </c>
      <c r="AI17" s="22">
        <f ca="1">+GETPIVOTDATA("XXS4",'xuanson (2016)'!$A$3,"MA_HT","LMU","MA_QH","DTT")</f>
        <v>0</v>
      </c>
      <c r="AJ17" s="22">
        <f ca="1">+GETPIVOTDATA("XXS4",'xuanson (2016)'!$A$3,"MA_HT","LMU","MA_QH","NCK")</f>
        <v>0</v>
      </c>
      <c r="AK17" s="22">
        <f ca="1">+GETPIVOTDATA("XXS4",'xuanson (2016)'!$A$3,"MA_HT","LMU","MA_QH","DXH")</f>
        <v>0</v>
      </c>
      <c r="AL17" s="22">
        <f ca="1">+GETPIVOTDATA("XXS4",'xuanson (2016)'!$A$3,"MA_HT","LMU","MA_QH","DCH")</f>
        <v>0</v>
      </c>
      <c r="AM17" s="22">
        <f ca="1">+GETPIVOTDATA("XXS4",'xuanson (2016)'!$A$3,"MA_HT","LMU","MA_QH","DKG")</f>
        <v>0</v>
      </c>
      <c r="AN17" s="22">
        <f ca="1">+GETPIVOTDATA("XXS4",'xuanson (2016)'!$A$3,"MA_HT","LMU","MA_QH","DDT")</f>
        <v>0</v>
      </c>
      <c r="AO17" s="22">
        <f ca="1">+GETPIVOTDATA("XXS4",'xuanson (2016)'!$A$3,"MA_HT","LMU","MA_QH","DDL")</f>
        <v>0</v>
      </c>
      <c r="AP17" s="22">
        <f ca="1">+GETPIVOTDATA("XXS4",'xuanson (2016)'!$A$3,"MA_HT","LMU","MA_QH","DRA")</f>
        <v>0</v>
      </c>
      <c r="AQ17" s="22">
        <f ca="1">+GETPIVOTDATA("XXS4",'xuanson (2016)'!$A$3,"MA_HT","LMU","MA_QH","ONT")</f>
        <v>0</v>
      </c>
      <c r="AR17" s="22">
        <f ca="1">+GETPIVOTDATA("XXS4",'xuanson (2016)'!$A$3,"MA_HT","LMU","MA_QH","ODT")</f>
        <v>0</v>
      </c>
      <c r="AS17" s="22">
        <f ca="1">+GETPIVOTDATA("XXS4",'xuanson (2016)'!$A$3,"MA_HT","LMU","MA_QH","TSC")</f>
        <v>0</v>
      </c>
      <c r="AT17" s="22">
        <f ca="1">+GETPIVOTDATA("XXS4",'xuanson (2016)'!$A$3,"MA_HT","LMU","MA_QH","DTS")</f>
        <v>0</v>
      </c>
      <c r="AU17" s="22">
        <f ca="1">+GETPIVOTDATA("XXS4",'xuanson (2016)'!$A$3,"MA_HT","LMU","MA_QH","DNG")</f>
        <v>0</v>
      </c>
      <c r="AV17" s="22">
        <f ca="1">+GETPIVOTDATA("XXS4",'xuanson (2016)'!$A$3,"MA_HT","LMU","MA_QH","TON")</f>
        <v>0</v>
      </c>
      <c r="AW17" s="22">
        <f ca="1">+GETPIVOTDATA("XXS4",'xuanson (2016)'!$A$3,"MA_HT","LMU","MA_QH","NTD")</f>
        <v>0</v>
      </c>
      <c r="AX17" s="22">
        <f ca="1">+GETPIVOTDATA("XXS4",'xuanson (2016)'!$A$3,"MA_HT","LMU","MA_QH","SKX")</f>
        <v>0</v>
      </c>
      <c r="AY17" s="22">
        <f ca="1">+GETPIVOTDATA("XXS4",'xuanson (2016)'!$A$3,"MA_HT","LMU","MA_QH","DSH")</f>
        <v>0</v>
      </c>
      <c r="AZ17" s="22">
        <f ca="1">+GETPIVOTDATA("XXS4",'xuanson (2016)'!$A$3,"MA_HT","LMU","MA_QH","DKV")</f>
        <v>0</v>
      </c>
      <c r="BA17" s="89">
        <f ca="1">+GETPIVOTDATA("XXS4",'xuanson (2016)'!$A$3,"MA_HT","LMU","MA_QH","TIN")</f>
        <v>0</v>
      </c>
      <c r="BB17" s="50">
        <f ca="1">+GETPIVOTDATA("XXS4",'xuanson (2016)'!$A$3,"MA_HT","LMU","MA_QH","SON")</f>
        <v>0</v>
      </c>
      <c r="BC17" s="50">
        <f ca="1">+GETPIVOTDATA("XXS4",'xuanson (2016)'!$A$3,"MA_HT","LMU","MA_QH","MNC")</f>
        <v>0</v>
      </c>
      <c r="BD17" s="22">
        <f ca="1">+GETPIVOTDATA("XXS4",'xuanson (2016)'!$A$3,"MA_HT","LMU","MA_QH","PNK")</f>
        <v>0</v>
      </c>
      <c r="BE17" s="71">
        <f ca="1">+GETPIVOTDATA("XXS4",'xuanson (2016)'!$A$3,"MA_HT","LMU","MA_QH","CSD")</f>
        <v>0</v>
      </c>
      <c r="BF17" s="74">
        <f ca="1" t="shared" si="7"/>
        <v>0</v>
      </c>
      <c r="BG17" s="101">
        <f ca="1">P$59-$BF17</f>
        <v>0</v>
      </c>
      <c r="BH17" s="41" t="e">
        <f ca="1" t="shared" si="8"/>
        <v>#REF!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="2" customFormat="1" ht="15.75" customHeight="1" spans="1:79">
      <c r="A18" s="39" t="s">
        <v>47</v>
      </c>
      <c r="B18" s="39" t="s">
        <v>48</v>
      </c>
      <c r="C18" s="40" t="s">
        <v>49</v>
      </c>
      <c r="D18" s="47" t="e">
        <f>+#REF!</f>
        <v>#REF!</v>
      </c>
      <c r="E18" s="42">
        <f ca="1">SUM(F18,J18:P18)</f>
        <v>0</v>
      </c>
      <c r="F18" s="52">
        <f ca="1" t="shared" si="9"/>
        <v>0</v>
      </c>
      <c r="G18" s="22">
        <f ca="1">+GETPIVOTDATA("XXS4",'xuanson (2016)'!$A$3,"MA_HT","NKH","MA_QH","LUC")</f>
        <v>0</v>
      </c>
      <c r="H18" s="22">
        <f ca="1">+GETPIVOTDATA("XXS4",'xuanson (2016)'!$A$3,"MA_HT","NKH","MA_QH","LUK")</f>
        <v>0</v>
      </c>
      <c r="I18" s="22">
        <f ca="1">+GETPIVOTDATA("XXS4",'xuanson (2016)'!$A$3,"MA_HT","NKH","MA_QH","LUN")</f>
        <v>0</v>
      </c>
      <c r="J18" s="22">
        <f ca="1">+GETPIVOTDATA("XXS4",'xuanson (2016)'!$A$3,"MA_HT","NKH","MA_QH","HNK")</f>
        <v>0</v>
      </c>
      <c r="K18" s="22">
        <f ca="1">+GETPIVOTDATA("XXS4",'xuanson (2016)'!$A$3,"MA_HT","NKH","MA_QH","CLN")</f>
        <v>0</v>
      </c>
      <c r="L18" s="22">
        <f ca="1">+GETPIVOTDATA("XXS4",'xuanson (2016)'!$A$3,"MA_HT","NKH","MA_QH","RSX")</f>
        <v>0</v>
      </c>
      <c r="M18" s="22">
        <f ca="1">+GETPIVOTDATA("XXS4",'xuanson (2016)'!$A$3,"MA_HT","NKH","MA_QH","RPH")</f>
        <v>0</v>
      </c>
      <c r="N18" s="22">
        <f ca="1">+GETPIVOTDATA("XXS4",'xuanson (2016)'!$A$3,"MA_HT","NKH","MA_QH","RDD")</f>
        <v>0</v>
      </c>
      <c r="O18" s="22">
        <f ca="1">+GETPIVOTDATA("XXS4",'xuanson (2016)'!$A$3,"MA_HT","NKH","MA_QH","NTS")</f>
        <v>0</v>
      </c>
      <c r="P18" s="22">
        <f ca="1">+GETPIVOTDATA("XXS4",'xuanson (2016)'!$A$3,"MA_HT","NKH","MA_QH","LMU")</f>
        <v>0</v>
      </c>
      <c r="Q18" s="43" t="e">
        <f ca="1">$D18-$BF18</f>
        <v>#REF!</v>
      </c>
      <c r="R18" s="42">
        <f ca="1" t="shared" si="2"/>
        <v>0</v>
      </c>
      <c r="S18" s="22">
        <f ca="1">+GETPIVOTDATA("XXS4",'xuanson (2016)'!$A$3,"MA_HT","NKH","MA_QH","CQP")</f>
        <v>0</v>
      </c>
      <c r="T18" s="22">
        <f ca="1">+GETPIVOTDATA("XXS4",'xuanson (2016)'!$A$3,"MA_HT","NKH","MA_QH","CAN")</f>
        <v>0</v>
      </c>
      <c r="U18" s="22">
        <f ca="1">+GETPIVOTDATA("XXS4",'xuanson (2016)'!$A$3,"MA_HT","NKH","MA_QH","SKK")</f>
        <v>0</v>
      </c>
      <c r="V18" s="22">
        <f ca="1">+GETPIVOTDATA("XXS4",'xuanson (2016)'!$A$3,"MA_HT","NKH","MA_QH","SKT")</f>
        <v>0</v>
      </c>
      <c r="W18" s="22">
        <f ca="1">+GETPIVOTDATA("XXS4",'xuanson (2016)'!$A$3,"MA_HT","NKH","MA_QH","SKN")</f>
        <v>0</v>
      </c>
      <c r="X18" s="22">
        <f ca="1">+GETPIVOTDATA("XXS4",'xuanson (2016)'!$A$3,"MA_HT","NKH","MA_QH","TMD")</f>
        <v>0</v>
      </c>
      <c r="Y18" s="22">
        <f ca="1">+GETPIVOTDATA("XXS4",'xuanson (2016)'!$A$3,"MA_HT","NKH","MA_QH","SKC")</f>
        <v>0</v>
      </c>
      <c r="Z18" s="22">
        <f ca="1">+GETPIVOTDATA("XXS4",'xuanson (2016)'!$A$3,"MA_HT","NKH","MA_QH","SKS")</f>
        <v>0</v>
      </c>
      <c r="AA18" s="52">
        <f ca="1" t="shared" si="4"/>
        <v>0</v>
      </c>
      <c r="AB18" s="22">
        <f ca="1">+GETPIVOTDATA("XXS4",'xuanson (2016)'!$A$3,"MA_HT","NKH","MA_QH","DGT")</f>
        <v>0</v>
      </c>
      <c r="AC18" s="22">
        <f ca="1">+GETPIVOTDATA("XXS4",'xuanson (2016)'!$A$3,"MA_HT","NKH","MA_QH","DTL")</f>
        <v>0</v>
      </c>
      <c r="AD18" s="22">
        <f ca="1">+GETPIVOTDATA("XXS4",'xuanson (2016)'!$A$3,"MA_HT","NKH","MA_QH","DNL")</f>
        <v>0</v>
      </c>
      <c r="AE18" s="22">
        <f ca="1">+GETPIVOTDATA("XXS4",'xuanson (2016)'!$A$3,"MA_HT","NKH","MA_QH","DBV")</f>
        <v>0</v>
      </c>
      <c r="AF18" s="22">
        <f ca="1">+GETPIVOTDATA("XXS4",'xuanson (2016)'!$A$3,"MA_HT","NKH","MA_QH","DVH")</f>
        <v>0</v>
      </c>
      <c r="AG18" s="22">
        <f ca="1">+GETPIVOTDATA("XXS4",'xuanson (2016)'!$A$3,"MA_HT","NKH","MA_QH","DYT")</f>
        <v>0</v>
      </c>
      <c r="AH18" s="22">
        <f ca="1">+GETPIVOTDATA("XXS4",'xuanson (2016)'!$A$3,"MA_HT","NKH","MA_QH","DGD")</f>
        <v>0</v>
      </c>
      <c r="AI18" s="22">
        <f ca="1">+GETPIVOTDATA("XXS4",'xuanson (2016)'!$A$3,"MA_HT","NKH","MA_QH","DTT")</f>
        <v>0</v>
      </c>
      <c r="AJ18" s="22">
        <f ca="1">+GETPIVOTDATA("XXS4",'xuanson (2016)'!$A$3,"MA_HT","NKH","MA_QH","NCK")</f>
        <v>0</v>
      </c>
      <c r="AK18" s="22">
        <f ca="1">+GETPIVOTDATA("XXS4",'xuanson (2016)'!$A$3,"MA_HT","NKH","MA_QH","DXH")</f>
        <v>0</v>
      </c>
      <c r="AL18" s="22">
        <f ca="1">+GETPIVOTDATA("XXS4",'xuanson (2016)'!$A$3,"MA_HT","NKH","MA_QH","DCH")</f>
        <v>0</v>
      </c>
      <c r="AM18" s="22">
        <f ca="1">+GETPIVOTDATA("XXS4",'xuanson (2016)'!$A$3,"MA_HT","NKH","MA_QH","DKG")</f>
        <v>0</v>
      </c>
      <c r="AN18" s="22">
        <f ca="1">+GETPIVOTDATA("XXS4",'xuanson (2016)'!$A$3,"MA_HT","NKH","MA_QH","DDT")</f>
        <v>0</v>
      </c>
      <c r="AO18" s="22">
        <f ca="1">+GETPIVOTDATA("XXS4",'xuanson (2016)'!$A$3,"MA_HT","NKH","MA_QH","DDL")</f>
        <v>0</v>
      </c>
      <c r="AP18" s="22">
        <f ca="1">+GETPIVOTDATA("XXS4",'xuanson (2016)'!$A$3,"MA_HT","NKH","MA_QH","DRA")</f>
        <v>0</v>
      </c>
      <c r="AQ18" s="22">
        <f ca="1">+GETPIVOTDATA("XXS4",'xuanson (2016)'!$A$3,"MA_HT","NKH","MA_QH","ONT")</f>
        <v>0</v>
      </c>
      <c r="AR18" s="22">
        <f ca="1">+GETPIVOTDATA("XXS4",'xuanson (2016)'!$A$3,"MA_HT","NKH","MA_QH","ODT")</f>
        <v>0</v>
      </c>
      <c r="AS18" s="22">
        <f ca="1">+GETPIVOTDATA("XXS4",'xuanson (2016)'!$A$3,"MA_HT","NKH","MA_QH","TSC")</f>
        <v>0</v>
      </c>
      <c r="AT18" s="22">
        <f ca="1">+GETPIVOTDATA("XXS4",'xuanson (2016)'!$A$3,"MA_HT","NKH","MA_QH","DTS")</f>
        <v>0</v>
      </c>
      <c r="AU18" s="22">
        <f ca="1">+GETPIVOTDATA("XXS4",'xuanson (2016)'!$A$3,"MA_HT","NKH","MA_QH","DNG")</f>
        <v>0</v>
      </c>
      <c r="AV18" s="22">
        <f ca="1">+GETPIVOTDATA("XXS4",'xuanson (2016)'!$A$3,"MA_HT","NKH","MA_QH","TON")</f>
        <v>0</v>
      </c>
      <c r="AW18" s="22">
        <f ca="1">+GETPIVOTDATA("XXS4",'xuanson (2016)'!$A$3,"MA_HT","NKH","MA_QH","NTD")</f>
        <v>0</v>
      </c>
      <c r="AX18" s="22">
        <f ca="1">+GETPIVOTDATA("XXS4",'xuanson (2016)'!$A$3,"MA_HT","NKH","MA_QH","SKX")</f>
        <v>0</v>
      </c>
      <c r="AY18" s="22">
        <f ca="1">+GETPIVOTDATA("XXS4",'xuanson (2016)'!$A$3,"MA_HT","NKH","MA_QH","DSH")</f>
        <v>0</v>
      </c>
      <c r="AZ18" s="22">
        <f ca="1">+GETPIVOTDATA("XXS4",'xuanson (2016)'!$A$3,"MA_HT","NKH","MA_QH","DKV")</f>
        <v>0</v>
      </c>
      <c r="BA18" s="89">
        <f ca="1">+GETPIVOTDATA("XXS4",'xuanson (2016)'!$A$3,"MA_HT","NKH","MA_QH","TIN")</f>
        <v>0</v>
      </c>
      <c r="BB18" s="50">
        <f ca="1">+GETPIVOTDATA("XXS4",'xuanson (2016)'!$A$3,"MA_HT","NKH","MA_QH","SON")</f>
        <v>0</v>
      </c>
      <c r="BC18" s="50">
        <f ca="1">+GETPIVOTDATA("XXS4",'xuanson (2016)'!$A$3,"MA_HT","NKH","MA_QH","MNC")</f>
        <v>0</v>
      </c>
      <c r="BD18" s="22">
        <f ca="1">+GETPIVOTDATA("XXS4",'xuanson (2016)'!$A$3,"MA_HT","NKH","MA_QH","PNK")</f>
        <v>0</v>
      </c>
      <c r="BE18" s="71">
        <f ca="1">+GETPIVOTDATA("XXS4",'xuanson (2016)'!$A$3,"MA_HT","NKH","MA_QH","CSD")</f>
        <v>0</v>
      </c>
      <c r="BF18" s="74">
        <f ca="1" t="shared" si="7"/>
        <v>0</v>
      </c>
      <c r="BG18" s="101">
        <f ca="1">Q$59-$BF18</f>
        <v>0</v>
      </c>
      <c r="BH18" s="41" t="e">
        <f ca="1" t="shared" si="8"/>
        <v>#REF!</v>
      </c>
      <c r="BI18" s="98"/>
      <c r="BJ18" s="98"/>
      <c r="BK18" s="98"/>
      <c r="BL18" s="98"/>
      <c r="BM18" s="107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="3" customFormat="1" ht="15.75" customHeight="1" spans="1:75">
      <c r="A19" s="35">
        <v>2</v>
      </c>
      <c r="B19" s="36" t="s">
        <v>50</v>
      </c>
      <c r="C19" s="37" t="s">
        <v>51</v>
      </c>
      <c r="D19" s="33" t="e">
        <f>+#REF!</f>
        <v>#REF!</v>
      </c>
      <c r="E19" s="33">
        <f ca="1">SUM(E20:E28,E41:E57)</f>
        <v>0</v>
      </c>
      <c r="F19" s="33">
        <f ca="1">SUM(F20:F28,F41:F57)</f>
        <v>0</v>
      </c>
      <c r="G19" s="33">
        <f ca="1">SUM(G20:G28,G41:G57)</f>
        <v>0</v>
      </c>
      <c r="H19" s="33">
        <f ca="1">SUM(H20:H28,H41:H57)</f>
        <v>0</v>
      </c>
      <c r="I19" s="33">
        <f ca="1">SUM(I20:I28,I41:I57)</f>
        <v>0</v>
      </c>
      <c r="J19" s="33">
        <f ca="1" t="shared" ref="J19:Q19" si="10">SUM(J20:J28,J41:J57)</f>
        <v>0</v>
      </c>
      <c r="K19" s="33">
        <f ca="1" t="shared" si="10"/>
        <v>0</v>
      </c>
      <c r="L19" s="33">
        <f ca="1" t="shared" si="10"/>
        <v>0</v>
      </c>
      <c r="M19" s="33">
        <f ca="1" t="shared" si="10"/>
        <v>0</v>
      </c>
      <c r="N19" s="33">
        <f ca="1" t="shared" si="10"/>
        <v>0</v>
      </c>
      <c r="O19" s="33">
        <f ca="1" t="shared" si="10"/>
        <v>0</v>
      </c>
      <c r="P19" s="33">
        <f ca="1" t="shared" si="10"/>
        <v>0</v>
      </c>
      <c r="Q19" s="33">
        <f ca="1" t="shared" si="10"/>
        <v>0</v>
      </c>
      <c r="R19" s="38" t="e">
        <f ca="1">$D19-$BF19</f>
        <v>#REF!</v>
      </c>
      <c r="S19" s="33">
        <f ca="1">SUM(S21:S28,S41:S57)</f>
        <v>0</v>
      </c>
      <c r="T19" s="33">
        <f ca="1">SUM(T20,T22:T28,T41:T57)</f>
        <v>0</v>
      </c>
      <c r="U19" s="33">
        <f ca="1">SUM(U20:U21,U23:U28,U41:U57)</f>
        <v>0</v>
      </c>
      <c r="V19" s="33">
        <f ca="1">SUM(V20:V22,V24:V28,V41:V57)</f>
        <v>0</v>
      </c>
      <c r="W19" s="33">
        <f ca="1">SUM(W20:W23,W25:W28,W41:W57)</f>
        <v>0</v>
      </c>
      <c r="X19" s="33">
        <f ca="1">SUM(X20:X24,X26:X28,X41:X57)</f>
        <v>0</v>
      </c>
      <c r="Y19" s="33">
        <f ca="1">SUM(Y20:Y25,Y27:Y28,Y41:Y57)</f>
        <v>0</v>
      </c>
      <c r="Z19" s="33">
        <f ca="1">SUM(Z20:Z26,Z28,Z41:Z57)</f>
        <v>0</v>
      </c>
      <c r="AA19" s="33">
        <f ca="1">SUM(AA20:AA27,AA41:AA57)</f>
        <v>0</v>
      </c>
      <c r="AB19" s="33">
        <f ca="1" t="shared" ref="AB19:AM19" si="11">SUM(AB20:AB28,AB41:AB57)</f>
        <v>0</v>
      </c>
      <c r="AC19" s="33">
        <f ca="1" t="shared" si="11"/>
        <v>0</v>
      </c>
      <c r="AD19" s="33">
        <f ca="1" t="shared" si="11"/>
        <v>0</v>
      </c>
      <c r="AE19" s="33">
        <f ca="1" t="shared" si="11"/>
        <v>0</v>
      </c>
      <c r="AF19" s="33">
        <f ca="1" t="shared" si="11"/>
        <v>0</v>
      </c>
      <c r="AG19" s="33">
        <f ca="1" t="shared" si="11"/>
        <v>0</v>
      </c>
      <c r="AH19" s="33">
        <f ca="1" t="shared" si="11"/>
        <v>0</v>
      </c>
      <c r="AI19" s="33">
        <f ca="1" t="shared" si="11"/>
        <v>0</v>
      </c>
      <c r="AJ19" s="33">
        <f ca="1" t="shared" si="11"/>
        <v>0</v>
      </c>
      <c r="AK19" s="33">
        <f ca="1" t="shared" si="11"/>
        <v>0</v>
      </c>
      <c r="AL19" s="33">
        <f ca="1" t="shared" si="11"/>
        <v>0</v>
      </c>
      <c r="AM19" s="33">
        <f ca="1" t="shared" si="11"/>
        <v>0</v>
      </c>
      <c r="AN19" s="33">
        <f ca="1">SUM(AN20:AN28,AN42:AN57)</f>
        <v>0</v>
      </c>
      <c r="AO19" s="33">
        <f ca="1">SUM(AO20:AO28,AO41,AO43:AO57)</f>
        <v>0</v>
      </c>
      <c r="AP19" s="33">
        <f ca="1">SUM(AP20:AP28,AP41:AP42,AP44:AP57)</f>
        <v>0</v>
      </c>
      <c r="AQ19" s="33">
        <f ca="1">SUM(AQ20:AQ28,AQ41:AQ43,AQ45:AQ57)</f>
        <v>0</v>
      </c>
      <c r="AR19" s="33">
        <f ca="1">SUM(AR20:AR28,AR41:AR44,AR46:AR57)</f>
        <v>0</v>
      </c>
      <c r="AS19" s="33">
        <f ca="1">SUM(AS20:AS28,AS41:AS45,AS47:AS57)</f>
        <v>0</v>
      </c>
      <c r="AT19" s="33">
        <f ca="1">SUM(AT20:AT28,AT41:AT46,AT48:AT57)</f>
        <v>0</v>
      </c>
      <c r="AU19" s="33">
        <f ca="1">SUM(AU20:AU28,AU41:AU47,AU49:AU57)</f>
        <v>0</v>
      </c>
      <c r="AV19" s="33">
        <f ca="1">SUM(AV20:AV28,AV41:AV48,AV50:AV57)</f>
        <v>0</v>
      </c>
      <c r="AW19" s="33">
        <f ca="1">SUM(AW20:AW28,AW41:AW49,AW51:AW57)</f>
        <v>0</v>
      </c>
      <c r="AX19" s="33">
        <f ca="1">SUM(AX20:AX28,AX41:AX50,AX52:AX57)</f>
        <v>0</v>
      </c>
      <c r="AY19" s="33">
        <f ca="1">SUM(AY20:AY28,AY41:AY51,AY53:AY57)</f>
        <v>0</v>
      </c>
      <c r="AZ19" s="33">
        <f ca="1">SUM(AZ20:AZ28,AZ41:AZ52,AZ54:AZ57)</f>
        <v>0</v>
      </c>
      <c r="BA19" s="33">
        <f ca="1">SUM(BA20:BA28,BA41:BA53,BA55:BA57)</f>
        <v>0</v>
      </c>
      <c r="BB19" s="33">
        <f ca="1">SUM(BB20:BB28,BB41:BB54,BB56:BB57)</f>
        <v>0</v>
      </c>
      <c r="BC19" s="33">
        <f ca="1">SUM(BC20:BC28,BC41:BC55,BC57)</f>
        <v>0</v>
      </c>
      <c r="BD19" s="33">
        <f ca="1">SUM(BD20:BD28,BD41:BD56,BD58)</f>
        <v>0</v>
      </c>
      <c r="BE19" s="33">
        <f ca="1">SUM(BE20:BE28,BE41:BE57)</f>
        <v>0</v>
      </c>
      <c r="BF19" s="74">
        <f ca="1">SUM(BE19,E19)</f>
        <v>0</v>
      </c>
      <c r="BG19" s="101">
        <f ca="1">R$59-$BF19</f>
        <v>0</v>
      </c>
      <c r="BH19" s="33" t="e">
        <f ca="1">SUM(BH20:BH28,BH41:BH57)</f>
        <v>#REF!</v>
      </c>
      <c r="BI19" s="102"/>
      <c r="BJ19" s="36" t="e">
        <f>SUM(BJ22:BJ54,BJ57:BJ57)</f>
        <v>#REF!</v>
      </c>
      <c r="BK19" s="106" t="e">
        <f ca="1">BH19-BJ19</f>
        <v>#REF!</v>
      </c>
      <c r="BL19" s="106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="2" customFormat="1" ht="15.75" customHeight="1" spans="1:79">
      <c r="A20" s="39" t="s">
        <v>52</v>
      </c>
      <c r="B20" s="39" t="s">
        <v>53</v>
      </c>
      <c r="C20" s="40" t="s">
        <v>54</v>
      </c>
      <c r="D20" s="41" t="e">
        <f>+#REF!</f>
        <v>#REF!</v>
      </c>
      <c r="E20" s="42">
        <f ca="1">SUM(F20,J20:Q20)</f>
        <v>0</v>
      </c>
      <c r="F20" s="52">
        <f ca="1" t="shared" si="9"/>
        <v>0</v>
      </c>
      <c r="G20" s="22">
        <f ca="1">+GETPIVOTDATA("XXS4",'xuanson (2016)'!$A$3,"MA_HT","CQP","MA_QH","LUC")</f>
        <v>0</v>
      </c>
      <c r="H20" s="22">
        <f ca="1">+GETPIVOTDATA("XXS4",'xuanson (2016)'!$A$3,"MA_HT","CQP","MA_QH","LUK")</f>
        <v>0</v>
      </c>
      <c r="I20" s="22">
        <f ca="1">+GETPIVOTDATA("XXS4",'xuanson (2016)'!$A$3,"MA_HT","CQP","MA_QH","LUN")</f>
        <v>0</v>
      </c>
      <c r="J20" s="22">
        <f ca="1">+GETPIVOTDATA("XXS4",'xuanson (2016)'!$A$3,"MA_HT","CQP","MA_QH","HNK")</f>
        <v>0</v>
      </c>
      <c r="K20" s="22">
        <f ca="1">+GETPIVOTDATA("XXS4",'xuanson (2016)'!$A$3,"MA_HT","CQP","MA_QH","CLN")</f>
        <v>0</v>
      </c>
      <c r="L20" s="22">
        <f ca="1">+GETPIVOTDATA("XXS4",'xuanson (2016)'!$A$3,"MA_HT","CQP","MA_QH","RSX")</f>
        <v>0</v>
      </c>
      <c r="M20" s="22">
        <f ca="1">+GETPIVOTDATA("XXS4",'xuanson (2016)'!$A$3,"MA_HT","CQP","MA_QH","RPH")</f>
        <v>0</v>
      </c>
      <c r="N20" s="22">
        <f ca="1">+GETPIVOTDATA("XXS4",'xuanson (2016)'!$A$3,"MA_HT","CQP","MA_QH","RDD")</f>
        <v>0</v>
      </c>
      <c r="O20" s="22">
        <f ca="1">+GETPIVOTDATA("XXS4",'xuanson (2016)'!$A$3,"MA_HT","CQP","MA_QH","NTS")</f>
        <v>0</v>
      </c>
      <c r="P20" s="22">
        <f ca="1">+GETPIVOTDATA("XXS4",'xuanson (2016)'!$A$3,"MA_HT","CQP","MA_QH","LMU")</f>
        <v>0</v>
      </c>
      <c r="Q20" s="22">
        <f ca="1">+GETPIVOTDATA("XXS4",'xuanson (2016)'!$A$3,"MA_HT","CQP","MA_QH","NKH")</f>
        <v>0</v>
      </c>
      <c r="R20" s="42">
        <f ca="1">SUM(T20:AA20,AN20:BD20)</f>
        <v>0</v>
      </c>
      <c r="S20" s="43" t="e">
        <f ca="1">$D20-$BF20</f>
        <v>#REF!</v>
      </c>
      <c r="T20" s="22">
        <f ca="1">+GETPIVOTDATA("XXS4",'xuanson (2016)'!$A$3,"MA_HT","CQP","MA_QH","CAN")</f>
        <v>0</v>
      </c>
      <c r="U20" s="22">
        <f ca="1">+GETPIVOTDATA("XXS4",'xuanson (2016)'!$A$3,"MA_HT","CQP","MA_QH","SKK")</f>
        <v>0</v>
      </c>
      <c r="V20" s="22">
        <f ca="1">+GETPIVOTDATA("XXS4",'xuanson (2016)'!$A$3,"MA_HT","CQP","MA_QH","SKT")</f>
        <v>0</v>
      </c>
      <c r="W20" s="22">
        <f ca="1">+GETPIVOTDATA("XXS4",'xuanson (2016)'!$A$3,"MA_HT","CQP","MA_QH","SKN")</f>
        <v>0</v>
      </c>
      <c r="X20" s="22">
        <f ca="1">+GETPIVOTDATA("XXS4",'xuanson (2016)'!$A$3,"MA_HT","CQP","MA_QH","TMD")</f>
        <v>0</v>
      </c>
      <c r="Y20" s="22">
        <f ca="1">+GETPIVOTDATA("XXS4",'xuanson (2016)'!$A$3,"MA_HT","CQP","MA_QH","SKC")</f>
        <v>0</v>
      </c>
      <c r="Z20" s="22">
        <f ca="1">+GETPIVOTDATA("XXS4",'xuanson (2016)'!$A$3,"MA_HT","CQP","MA_QH","SKS")</f>
        <v>0</v>
      </c>
      <c r="AA20" s="52">
        <f ca="1" t="shared" ref="AA20:AA27" si="12">+SUM(AB20:AM20)</f>
        <v>0</v>
      </c>
      <c r="AB20" s="22">
        <f ca="1">+GETPIVOTDATA("XXS4",'xuanson (2016)'!$A$3,"MA_HT","CQP","MA_QH","DGT")</f>
        <v>0</v>
      </c>
      <c r="AC20" s="22">
        <f ca="1">+GETPIVOTDATA("XXS4",'xuanson (2016)'!$A$3,"MA_HT","CQP","MA_QH","DTL")</f>
        <v>0</v>
      </c>
      <c r="AD20" s="22">
        <f ca="1">+GETPIVOTDATA("XXS4",'xuanson (2016)'!$A$3,"MA_HT","CQP","MA_QH","DNL")</f>
        <v>0</v>
      </c>
      <c r="AE20" s="22">
        <f ca="1">+GETPIVOTDATA("XXS4",'xuanson (2016)'!$A$3,"MA_HT","CQP","MA_QH","DBV")</f>
        <v>0</v>
      </c>
      <c r="AF20" s="22">
        <f ca="1">+GETPIVOTDATA("XXS4",'xuanson (2016)'!$A$3,"MA_HT","CQP","MA_QH","DVH")</f>
        <v>0</v>
      </c>
      <c r="AG20" s="22">
        <f ca="1">+GETPIVOTDATA("XXS4",'xuanson (2016)'!$A$3,"MA_HT","CQP","MA_QH","DYT")</f>
        <v>0</v>
      </c>
      <c r="AH20" s="22">
        <f ca="1">+GETPIVOTDATA("XXS4",'xuanson (2016)'!$A$3,"MA_HT","CQP","MA_QH","DGD")</f>
        <v>0</v>
      </c>
      <c r="AI20" s="22">
        <f ca="1">+GETPIVOTDATA("XXS4",'xuanson (2016)'!$A$3,"MA_HT","CQP","MA_QH","DTT")</f>
        <v>0</v>
      </c>
      <c r="AJ20" s="22">
        <f ca="1">+GETPIVOTDATA("XXS4",'xuanson (2016)'!$A$3,"MA_HT","CQP","MA_QH","NCK")</f>
        <v>0</v>
      </c>
      <c r="AK20" s="22">
        <f ca="1">+GETPIVOTDATA("XXS4",'xuanson (2016)'!$A$3,"MA_HT","CQP","MA_QH","DXH")</f>
        <v>0</v>
      </c>
      <c r="AL20" s="22">
        <f ca="1">+GETPIVOTDATA("XXS4",'xuanson (2016)'!$A$3,"MA_HT","CQP","MA_QH","DCH")</f>
        <v>0</v>
      </c>
      <c r="AM20" s="22">
        <f ca="1">+GETPIVOTDATA("XXS4",'xuanson (2016)'!$A$3,"MA_HT","CQP","MA_QH","DKG")</f>
        <v>0</v>
      </c>
      <c r="AN20" s="22">
        <f ca="1">+GETPIVOTDATA("XXS4",'xuanson (2016)'!$A$3,"MA_HT","CQP","MA_QH","DDT")</f>
        <v>0</v>
      </c>
      <c r="AO20" s="22">
        <f ca="1">+GETPIVOTDATA("XXS4",'xuanson (2016)'!$A$3,"MA_HT","CQP","MA_QH","DDL")</f>
        <v>0</v>
      </c>
      <c r="AP20" s="22">
        <f ca="1">+GETPIVOTDATA("XXS4",'xuanson (2016)'!$A$3,"MA_HT","CQP","MA_QH","DRA")</f>
        <v>0</v>
      </c>
      <c r="AQ20" s="22">
        <f ca="1">+GETPIVOTDATA("XXS4",'xuanson (2016)'!$A$3,"MA_HT","CQP","MA_QH","ONT")</f>
        <v>0</v>
      </c>
      <c r="AR20" s="22">
        <f ca="1">+GETPIVOTDATA("XXS4",'xuanson (2016)'!$A$3,"MA_HT","CQP","MA_QH","ODT")</f>
        <v>0</v>
      </c>
      <c r="AS20" s="22">
        <f ca="1">+GETPIVOTDATA("XXS4",'xuanson (2016)'!$A$3,"MA_HT","CQP","MA_QH","TSC")</f>
        <v>0</v>
      </c>
      <c r="AT20" s="22">
        <f ca="1">+GETPIVOTDATA("XXS4",'xuanson (2016)'!$A$3,"MA_HT","CQP","MA_QH","DTS")</f>
        <v>0</v>
      </c>
      <c r="AU20" s="22">
        <f ca="1">+GETPIVOTDATA("XXS4",'xuanson (2016)'!$A$3,"MA_HT","CQP","MA_QH","DNG")</f>
        <v>0</v>
      </c>
      <c r="AV20" s="22">
        <f ca="1">+GETPIVOTDATA("XXS4",'xuanson (2016)'!$A$3,"MA_HT","CQP","MA_QH","TON")</f>
        <v>0</v>
      </c>
      <c r="AW20" s="22">
        <f ca="1">+GETPIVOTDATA("XXS4",'xuanson (2016)'!$A$3,"MA_HT","CQP","MA_QH","NTD")</f>
        <v>0</v>
      </c>
      <c r="AX20" s="22">
        <f ca="1">+GETPIVOTDATA("XXS4",'xuanson (2016)'!$A$3,"MA_HT","CQP","MA_QH","SKX")</f>
        <v>0</v>
      </c>
      <c r="AY20" s="22">
        <f ca="1">+GETPIVOTDATA("XXS4",'xuanson (2016)'!$A$3,"MA_HT","CQP","MA_QH","DSH")</f>
        <v>0</v>
      </c>
      <c r="AZ20" s="22">
        <f ca="1">+GETPIVOTDATA("XXS4",'xuanson (2016)'!$A$3,"MA_HT","CQP","MA_QH","DKV")</f>
        <v>0</v>
      </c>
      <c r="BA20" s="89">
        <f ca="1">+GETPIVOTDATA("XXS4",'xuanson (2016)'!$A$3,"MA_HT","CQP","MA_QH","TIN")</f>
        <v>0</v>
      </c>
      <c r="BB20" s="50">
        <f ca="1">+GETPIVOTDATA("XXS4",'xuanson (2016)'!$A$3,"MA_HT","CQP","MA_QH","SON")</f>
        <v>0</v>
      </c>
      <c r="BC20" s="50">
        <f ca="1">+GETPIVOTDATA("XXS4",'xuanson (2016)'!$A$3,"MA_HT","CQP","MA_QH","MNC")</f>
        <v>0</v>
      </c>
      <c r="BD20" s="22">
        <f ca="1">+GETPIVOTDATA("XXS4",'xuanson (2016)'!$A$3,"MA_HT","CQP","MA_QH","PNK")</f>
        <v>0</v>
      </c>
      <c r="BE20" s="71">
        <f ca="1">+GETPIVOTDATA("XXS4",'xuanson (2016)'!$A$3,"MA_HT","CQP","MA_QH","CSD")</f>
        <v>0</v>
      </c>
      <c r="BF20" s="74">
        <f ca="1" t="shared" ref="BF20:BF57" si="13">BE20+R20+E20</f>
        <v>0</v>
      </c>
      <c r="BG20" s="101">
        <f ca="1">S$59-$BF20</f>
        <v>0</v>
      </c>
      <c r="BH20" s="41" t="e">
        <f ca="1" t="shared" ref="BH20:BH58" si="14">BG20+D20</f>
        <v>#REF!</v>
      </c>
      <c r="BI20" s="98"/>
      <c r="BJ20" s="98" t="e">
        <f>#REF!</f>
        <v>#REF!</v>
      </c>
      <c r="BK20" s="107" t="e">
        <f ca="1">BH20-BJ20</f>
        <v>#REF!</v>
      </c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="2" customFormat="1" ht="15.75" customHeight="1" spans="1:79">
      <c r="A21" s="39" t="s">
        <v>55</v>
      </c>
      <c r="B21" s="39" t="s">
        <v>56</v>
      </c>
      <c r="C21" s="40" t="s">
        <v>57</v>
      </c>
      <c r="D21" s="41" t="e">
        <f>+#REF!</f>
        <v>#REF!</v>
      </c>
      <c r="E21" s="42">
        <f ca="1" t="shared" ref="E21:E58" si="15">SUM(F21,J21:Q21)</f>
        <v>0</v>
      </c>
      <c r="F21" s="52">
        <f ca="1" t="shared" si="9"/>
        <v>0</v>
      </c>
      <c r="G21" s="22">
        <f ca="1">+GETPIVOTDATA("XXS4",'xuanson (2016)'!$A$3,"MA_HT","CAN","MA_QH","LUC")</f>
        <v>0</v>
      </c>
      <c r="H21" s="22">
        <f ca="1">+GETPIVOTDATA("XXS4",'xuanson (2016)'!$A$3,"MA_HT","CAN","MA_QH","LUK")</f>
        <v>0</v>
      </c>
      <c r="I21" s="22">
        <f ca="1">+GETPIVOTDATA("XXS4",'xuanson (2016)'!$A$3,"MA_HT","CAN","MA_QH","LUN")</f>
        <v>0</v>
      </c>
      <c r="J21" s="22">
        <f ca="1">+GETPIVOTDATA("XXS4",'xuanson (2016)'!$A$3,"MA_HT","CAN","MA_QH","HNK")</f>
        <v>0</v>
      </c>
      <c r="K21" s="22">
        <f ca="1">+GETPIVOTDATA("XXS4",'xuanson (2016)'!$A$3,"MA_HT","CAN","MA_QH","CLN")</f>
        <v>0</v>
      </c>
      <c r="L21" s="22">
        <f ca="1">+GETPIVOTDATA("XXS4",'xuanson (2016)'!$A$3,"MA_HT","CAN","MA_QH","RSX")</f>
        <v>0</v>
      </c>
      <c r="M21" s="22">
        <f ca="1">+GETPIVOTDATA("XXS4",'xuanson (2016)'!$A$3,"MA_HT","CAN","MA_QH","RPH")</f>
        <v>0</v>
      </c>
      <c r="N21" s="22">
        <f ca="1">+GETPIVOTDATA("XXS4",'xuanson (2016)'!$A$3,"MA_HT","CAN","MA_QH","RDD")</f>
        <v>0</v>
      </c>
      <c r="O21" s="22">
        <f ca="1">+GETPIVOTDATA("XXS4",'xuanson (2016)'!$A$3,"MA_HT","CAN","MA_QH","NTS")</f>
        <v>0</v>
      </c>
      <c r="P21" s="22">
        <f ca="1">+GETPIVOTDATA("XXS4",'xuanson (2016)'!$A$3,"MA_HT","CAN","MA_QH","LMU")</f>
        <v>0</v>
      </c>
      <c r="Q21" s="22">
        <f ca="1">+GETPIVOTDATA("XXS4",'xuanson (2016)'!$A$3,"MA_HT","CAN","MA_QH","NKH")</f>
        <v>0</v>
      </c>
      <c r="R21" s="42">
        <f ca="1">SUM(S21,U21:AA21,AN21:BD21)</f>
        <v>0</v>
      </c>
      <c r="S21" s="22">
        <f ca="1">+GETPIVOTDATA("XXS4",'xuanson (2016)'!$A$3,"MA_HT","CAN","MA_QH","CQP")</f>
        <v>0</v>
      </c>
      <c r="T21" s="43" t="e">
        <f ca="1">$D21-$BF21</f>
        <v>#REF!</v>
      </c>
      <c r="U21" s="22">
        <f ca="1">+GETPIVOTDATA("XXS4",'xuanson (2016)'!$A$3,"MA_HT","CAN","MA_QH","SKK")</f>
        <v>0</v>
      </c>
      <c r="V21" s="22">
        <f ca="1">+GETPIVOTDATA("XXS4",'xuanson (2016)'!$A$3,"MA_HT","CAN","MA_QH","SKT")</f>
        <v>0</v>
      </c>
      <c r="W21" s="22">
        <f ca="1">+GETPIVOTDATA("XXS4",'xuanson (2016)'!$A$3,"MA_HT","CAN","MA_QH","SKN")</f>
        <v>0</v>
      </c>
      <c r="X21" s="22">
        <f ca="1">+GETPIVOTDATA("XXS4",'xuanson (2016)'!$A$3,"MA_HT","CAN","MA_QH","TMD")</f>
        <v>0</v>
      </c>
      <c r="Y21" s="22">
        <f ca="1">+GETPIVOTDATA("XXS4",'xuanson (2016)'!$A$3,"MA_HT","CAN","MA_QH","SKC")</f>
        <v>0</v>
      </c>
      <c r="Z21" s="22">
        <f ca="1">+GETPIVOTDATA("XXS4",'xuanson (2016)'!$A$3,"MA_HT","CAN","MA_QH","SKS")</f>
        <v>0</v>
      </c>
      <c r="AA21" s="52">
        <f ca="1" t="shared" si="12"/>
        <v>0</v>
      </c>
      <c r="AB21" s="22">
        <f ca="1">+GETPIVOTDATA("XXS4",'xuanson (2016)'!$A$3,"MA_HT","CAN","MA_QH","DGT")</f>
        <v>0</v>
      </c>
      <c r="AC21" s="22">
        <f ca="1">+GETPIVOTDATA("XXS4",'xuanson (2016)'!$A$3,"MA_HT","CAN","MA_QH","DTL")</f>
        <v>0</v>
      </c>
      <c r="AD21" s="22">
        <f ca="1">+GETPIVOTDATA("XXS4",'xuanson (2016)'!$A$3,"MA_HT","CAN","MA_QH","DNL")</f>
        <v>0</v>
      </c>
      <c r="AE21" s="22">
        <f ca="1">+GETPIVOTDATA("XXS4",'xuanson (2016)'!$A$3,"MA_HT","CAN","MA_QH","DBV")</f>
        <v>0</v>
      </c>
      <c r="AF21" s="22">
        <f ca="1">+GETPIVOTDATA("XXS4",'xuanson (2016)'!$A$3,"MA_HT","CAN","MA_QH","DVH")</f>
        <v>0</v>
      </c>
      <c r="AG21" s="22">
        <f ca="1">+GETPIVOTDATA("XXS4",'xuanson (2016)'!$A$3,"MA_HT","CAN","MA_QH","DYT")</f>
        <v>0</v>
      </c>
      <c r="AH21" s="22">
        <f ca="1">+GETPIVOTDATA("XXS4",'xuanson (2016)'!$A$3,"MA_HT","CAN","MA_QH","DGD")</f>
        <v>0</v>
      </c>
      <c r="AI21" s="22">
        <f ca="1">+GETPIVOTDATA("XXS4",'xuanson (2016)'!$A$3,"MA_HT","CAN","MA_QH","DTT")</f>
        <v>0</v>
      </c>
      <c r="AJ21" s="22">
        <f ca="1">+GETPIVOTDATA("XXS4",'xuanson (2016)'!$A$3,"MA_HT","CAN","MA_QH","NCK")</f>
        <v>0</v>
      </c>
      <c r="AK21" s="22">
        <f ca="1">+GETPIVOTDATA("XXS4",'xuanson (2016)'!$A$3,"MA_HT","CAN","MA_QH","DXH")</f>
        <v>0</v>
      </c>
      <c r="AL21" s="22">
        <f ca="1">+GETPIVOTDATA("XXS4",'xuanson (2016)'!$A$3,"MA_HT","CAN","MA_QH","DCH")</f>
        <v>0</v>
      </c>
      <c r="AM21" s="22">
        <f ca="1">+GETPIVOTDATA("XXS4",'xuanson (2016)'!$A$3,"MA_HT","CAN","MA_QH","DKG")</f>
        <v>0</v>
      </c>
      <c r="AN21" s="22">
        <f ca="1">+GETPIVOTDATA("XXS4",'xuanson (2016)'!$A$3,"MA_HT","CAN","MA_QH","DDT")</f>
        <v>0</v>
      </c>
      <c r="AO21" s="22">
        <f ca="1">+GETPIVOTDATA("XXS4",'xuanson (2016)'!$A$3,"MA_HT","CAN","MA_QH","DDL")</f>
        <v>0</v>
      </c>
      <c r="AP21" s="22">
        <f ca="1">+GETPIVOTDATA("XXS4",'xuanson (2016)'!$A$3,"MA_HT","CAN","MA_QH","DRA")</f>
        <v>0</v>
      </c>
      <c r="AQ21" s="22">
        <f ca="1">+GETPIVOTDATA("XXS4",'xuanson (2016)'!$A$3,"MA_HT","CAN","MA_QH","ONT")</f>
        <v>0</v>
      </c>
      <c r="AR21" s="22">
        <f ca="1">+GETPIVOTDATA("XXS4",'xuanson (2016)'!$A$3,"MA_HT","CAN","MA_QH","ODT")</f>
        <v>0</v>
      </c>
      <c r="AS21" s="22">
        <f ca="1">+GETPIVOTDATA("XXS4",'xuanson (2016)'!$A$3,"MA_HT","CAN","MA_QH","TSC")</f>
        <v>0</v>
      </c>
      <c r="AT21" s="22">
        <f ca="1">+GETPIVOTDATA("XXS4",'xuanson (2016)'!$A$3,"MA_HT","CAN","MA_QH","DTS")</f>
        <v>0</v>
      </c>
      <c r="AU21" s="22">
        <f ca="1">+GETPIVOTDATA("XXS4",'xuanson (2016)'!$A$3,"MA_HT","CAN","MA_QH","DNG")</f>
        <v>0</v>
      </c>
      <c r="AV21" s="22">
        <f ca="1">+GETPIVOTDATA("XXS4",'xuanson (2016)'!$A$3,"MA_HT","CAN","MA_QH","TON")</f>
        <v>0</v>
      </c>
      <c r="AW21" s="22">
        <f ca="1">+GETPIVOTDATA("XXS4",'xuanson (2016)'!$A$3,"MA_HT","CAN","MA_QH","NTD")</f>
        <v>0</v>
      </c>
      <c r="AX21" s="22">
        <f ca="1">+GETPIVOTDATA("XXS4",'xuanson (2016)'!$A$3,"MA_HT","CAN","MA_QH","SKX")</f>
        <v>0</v>
      </c>
      <c r="AY21" s="22">
        <f ca="1">+GETPIVOTDATA("XXS4",'xuanson (2016)'!$A$3,"MA_HT","CAN","MA_QH","DSH")</f>
        <v>0</v>
      </c>
      <c r="AZ21" s="22">
        <f ca="1">+GETPIVOTDATA("XXS4",'xuanson (2016)'!$A$3,"MA_HT","CAN","MA_QH","DKV")</f>
        <v>0</v>
      </c>
      <c r="BA21" s="89">
        <f ca="1">+GETPIVOTDATA("XXS4",'xuanson (2016)'!$A$3,"MA_HT","CAN","MA_QH","TIN")</f>
        <v>0</v>
      </c>
      <c r="BB21" s="50">
        <f ca="1">+GETPIVOTDATA("XXS4",'xuanson (2016)'!$A$3,"MA_HT","CAN","MA_QH","SON")</f>
        <v>0</v>
      </c>
      <c r="BC21" s="50">
        <f ca="1">+GETPIVOTDATA("XXS4",'xuanson (2016)'!$A$3,"MA_HT","CAN","MA_QH","MNC")</f>
        <v>0</v>
      </c>
      <c r="BD21" s="22">
        <f ca="1">+GETPIVOTDATA("XXS4",'xuanson (2016)'!$A$3,"MA_HT","CAN","MA_QH","PNK")</f>
        <v>0</v>
      </c>
      <c r="BE21" s="71">
        <f ca="1">+GETPIVOTDATA("XXS4",'xuanson (2016)'!$A$3,"MA_HT","CAN","MA_QH","CSD")</f>
        <v>0</v>
      </c>
      <c r="BF21" s="74">
        <f ca="1" t="shared" si="13"/>
        <v>0</v>
      </c>
      <c r="BG21" s="101">
        <f ca="1">T$59-$BF21</f>
        <v>0</v>
      </c>
      <c r="BH21" s="41" t="e">
        <f ca="1" t="shared" si="14"/>
        <v>#REF!</v>
      </c>
      <c r="BI21" s="98"/>
      <c r="BJ21" s="98" t="e">
        <f>#REF!</f>
        <v>#REF!</v>
      </c>
      <c r="BK21" s="107" t="e">
        <f ca="1">BH21-BJ21</f>
        <v>#REF!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="2" customFormat="1" ht="15.75" customHeight="1" spans="1:79">
      <c r="A22" s="39" t="s">
        <v>58</v>
      </c>
      <c r="B22" s="53" t="s">
        <v>59</v>
      </c>
      <c r="C22" s="40" t="s">
        <v>60</v>
      </c>
      <c r="D22" s="41" t="e">
        <f>+#REF!</f>
        <v>#REF!</v>
      </c>
      <c r="E22" s="42">
        <f ca="1" t="shared" si="15"/>
        <v>0</v>
      </c>
      <c r="F22" s="52">
        <f ca="1" t="shared" si="9"/>
        <v>0</v>
      </c>
      <c r="G22" s="22">
        <f ca="1">+GETPIVOTDATA("XXS4",'xuanson (2016)'!$A$3,"MA_HT","SKK","MA_QH","LUC")</f>
        <v>0</v>
      </c>
      <c r="H22" s="22">
        <f ca="1">+GETPIVOTDATA("XXS4",'xuanson (2016)'!$A$3,"MA_HT","SKK","MA_QH","LUK")</f>
        <v>0</v>
      </c>
      <c r="I22" s="22">
        <f ca="1">+GETPIVOTDATA("XXS4",'xuanson (2016)'!$A$3,"MA_HT","SKK","MA_QH","LUN")</f>
        <v>0</v>
      </c>
      <c r="J22" s="22">
        <f ca="1">+GETPIVOTDATA("XXS4",'xuanson (2016)'!$A$3,"MA_HT","SKK","MA_QH","HNK")</f>
        <v>0</v>
      </c>
      <c r="K22" s="22">
        <f ca="1">+GETPIVOTDATA("XXS4",'xuanson (2016)'!$A$3,"MA_HT","SKK","MA_QH","CLN")</f>
        <v>0</v>
      </c>
      <c r="L22" s="22">
        <f ca="1">+GETPIVOTDATA("XXS4",'xuanson (2016)'!$A$3,"MA_HT","SKK","MA_QH","RSX")</f>
        <v>0</v>
      </c>
      <c r="M22" s="22">
        <f ca="1">+GETPIVOTDATA("XXS4",'xuanson (2016)'!$A$3,"MA_HT","SKK","MA_QH","RPH")</f>
        <v>0</v>
      </c>
      <c r="N22" s="22">
        <f ca="1">+GETPIVOTDATA("XXS4",'xuanson (2016)'!$A$3,"MA_HT","SKK","MA_QH","RDD")</f>
        <v>0</v>
      </c>
      <c r="O22" s="22">
        <f ca="1">+GETPIVOTDATA("XXS4",'xuanson (2016)'!$A$3,"MA_HT","SKK","MA_QH","NTS")</f>
        <v>0</v>
      </c>
      <c r="P22" s="22">
        <f ca="1">+GETPIVOTDATA("XXS4",'xuanson (2016)'!$A$3,"MA_HT","SKK","MA_QH","LMU")</f>
        <v>0</v>
      </c>
      <c r="Q22" s="22">
        <f ca="1">+GETPIVOTDATA("XXS4",'xuanson (2016)'!$A$3,"MA_HT","SKK","MA_QH","NKH")</f>
        <v>0</v>
      </c>
      <c r="R22" s="42">
        <f ca="1">SUM(S22:T22,V22:AA22,AN22:BD22)</f>
        <v>0</v>
      </c>
      <c r="S22" s="22">
        <f ca="1">+GETPIVOTDATA("XXS4",'xuanson (2016)'!$A$3,"MA_HT","SKK","MA_QH","CQP")</f>
        <v>0</v>
      </c>
      <c r="T22" s="22">
        <f ca="1">+GETPIVOTDATA("XXS4",'xuanson (2016)'!$A$3,"MA_HT","SKK","MA_QH","CAN")</f>
        <v>0</v>
      </c>
      <c r="U22" s="43" t="e">
        <f ca="1">$D22-$BF22</f>
        <v>#REF!</v>
      </c>
      <c r="V22" s="22">
        <f ca="1">+GETPIVOTDATA("XXS4",'xuanson (2016)'!$A$3,"MA_HT","SKK","MA_QH","SKT")</f>
        <v>0</v>
      </c>
      <c r="W22" s="22">
        <f ca="1">+GETPIVOTDATA("XXS4",'xuanson (2016)'!$A$3,"MA_HT","SKK","MA_QH","SKN")</f>
        <v>0</v>
      </c>
      <c r="X22" s="22">
        <f ca="1">+GETPIVOTDATA("XXS4",'xuanson (2016)'!$A$3,"MA_HT","SKK","MA_QH","TMD")</f>
        <v>0</v>
      </c>
      <c r="Y22" s="22">
        <f ca="1">+GETPIVOTDATA("XXS4",'xuanson (2016)'!$A$3,"MA_HT","SKK","MA_QH","SKC")</f>
        <v>0</v>
      </c>
      <c r="Z22" s="22">
        <f ca="1">+GETPIVOTDATA("XXS4",'xuanson (2016)'!$A$3,"MA_HT","SKK","MA_QH","SKS")</f>
        <v>0</v>
      </c>
      <c r="AA22" s="52">
        <f ca="1" t="shared" si="12"/>
        <v>0</v>
      </c>
      <c r="AB22" s="22">
        <f ca="1">+GETPIVOTDATA("XXS4",'xuanson (2016)'!$A$3,"MA_HT","SKK","MA_QH","DGT")</f>
        <v>0</v>
      </c>
      <c r="AC22" s="22">
        <f ca="1">+GETPIVOTDATA("XXS4",'xuanson (2016)'!$A$3,"MA_HT","SKK","MA_QH","DTL")</f>
        <v>0</v>
      </c>
      <c r="AD22" s="22">
        <f ca="1">+GETPIVOTDATA("XXS4",'xuanson (2016)'!$A$3,"MA_HT","SKK","MA_QH","DNL")</f>
        <v>0</v>
      </c>
      <c r="AE22" s="22">
        <f ca="1">+GETPIVOTDATA("XXS4",'xuanson (2016)'!$A$3,"MA_HT","SKK","MA_QH","DBV")</f>
        <v>0</v>
      </c>
      <c r="AF22" s="22">
        <f ca="1">+GETPIVOTDATA("XXS4",'xuanson (2016)'!$A$3,"MA_HT","SKK","MA_QH","DVH")</f>
        <v>0</v>
      </c>
      <c r="AG22" s="22">
        <f ca="1">+GETPIVOTDATA("XXS4",'xuanson (2016)'!$A$3,"MA_HT","SKK","MA_QH","DYT")</f>
        <v>0</v>
      </c>
      <c r="AH22" s="22">
        <f ca="1">+GETPIVOTDATA("XXS4",'xuanson (2016)'!$A$3,"MA_HT","SKK","MA_QH","DGD")</f>
        <v>0</v>
      </c>
      <c r="AI22" s="22">
        <f ca="1">+GETPIVOTDATA("XXS4",'xuanson (2016)'!$A$3,"MA_HT","SKK","MA_QH","DTT")</f>
        <v>0</v>
      </c>
      <c r="AJ22" s="22">
        <f ca="1">+GETPIVOTDATA("XXS4",'xuanson (2016)'!$A$3,"MA_HT","SKK","MA_QH","NCK")</f>
        <v>0</v>
      </c>
      <c r="AK22" s="22">
        <f ca="1">+GETPIVOTDATA("XXS4",'xuanson (2016)'!$A$3,"MA_HT","SKK","MA_QH","DXH")</f>
        <v>0</v>
      </c>
      <c r="AL22" s="22">
        <f ca="1">+GETPIVOTDATA("XXS4",'xuanson (2016)'!$A$3,"MA_HT","SKK","MA_QH","DCH")</f>
        <v>0</v>
      </c>
      <c r="AM22" s="22">
        <f ca="1">+GETPIVOTDATA("XXS4",'xuanson (2016)'!$A$3,"MA_HT","SKK","MA_QH","DKG")</f>
        <v>0</v>
      </c>
      <c r="AN22" s="22">
        <f ca="1">+GETPIVOTDATA("XXS4",'xuanson (2016)'!$A$3,"MA_HT","SKK","MA_QH","DDT")</f>
        <v>0</v>
      </c>
      <c r="AO22" s="22">
        <f ca="1">+GETPIVOTDATA("XXS4",'xuanson (2016)'!$A$3,"MA_HT","SKK","MA_QH","DDL")</f>
        <v>0</v>
      </c>
      <c r="AP22" s="22">
        <f ca="1">+GETPIVOTDATA("XXS4",'xuanson (2016)'!$A$3,"MA_HT","SKK","MA_QH","DRA")</f>
        <v>0</v>
      </c>
      <c r="AQ22" s="22">
        <f ca="1">+GETPIVOTDATA("XXS4",'xuanson (2016)'!$A$3,"MA_HT","SKK","MA_QH","ONT")</f>
        <v>0</v>
      </c>
      <c r="AR22" s="22">
        <f ca="1">+GETPIVOTDATA("XXS4",'xuanson (2016)'!$A$3,"MA_HT","SKK","MA_QH","ODT")</f>
        <v>0</v>
      </c>
      <c r="AS22" s="22">
        <f ca="1">+GETPIVOTDATA("XXS4",'xuanson (2016)'!$A$3,"MA_HT","SKK","MA_QH","TSC")</f>
        <v>0</v>
      </c>
      <c r="AT22" s="22">
        <f ca="1">+GETPIVOTDATA("XXS4",'xuanson (2016)'!$A$3,"MA_HT","SKK","MA_QH","DTS")</f>
        <v>0</v>
      </c>
      <c r="AU22" s="22">
        <f ca="1">+GETPIVOTDATA("XXS4",'xuanson (2016)'!$A$3,"MA_HT","SKK","MA_QH","DNG")</f>
        <v>0</v>
      </c>
      <c r="AV22" s="22">
        <f ca="1">+GETPIVOTDATA("XXS4",'xuanson (2016)'!$A$3,"MA_HT","SKK","MA_QH","TON")</f>
        <v>0</v>
      </c>
      <c r="AW22" s="22">
        <f ca="1">+GETPIVOTDATA("XXS4",'xuanson (2016)'!$A$3,"MA_HT","SKK","MA_QH","NTD")</f>
        <v>0</v>
      </c>
      <c r="AX22" s="22">
        <f ca="1">+GETPIVOTDATA("XXS4",'xuanson (2016)'!$A$3,"MA_HT","SKK","MA_QH","SKX")</f>
        <v>0</v>
      </c>
      <c r="AY22" s="22">
        <f ca="1">+GETPIVOTDATA("XXS4",'xuanson (2016)'!$A$3,"MA_HT","SKK","MA_QH","DSH")</f>
        <v>0</v>
      </c>
      <c r="AZ22" s="22">
        <f ca="1">+GETPIVOTDATA("XXS4",'xuanson (2016)'!$A$3,"MA_HT","SKK","MA_QH","DKV")</f>
        <v>0</v>
      </c>
      <c r="BA22" s="89">
        <f ca="1">+GETPIVOTDATA("XXS4",'xuanson (2016)'!$A$3,"MA_HT","SKK","MA_QH","TIN")</f>
        <v>0</v>
      </c>
      <c r="BB22" s="50">
        <f ca="1">+GETPIVOTDATA("XXS4",'xuanson (2016)'!$A$3,"MA_HT","SKK","MA_QH","SON")</f>
        <v>0</v>
      </c>
      <c r="BC22" s="50">
        <f ca="1">+GETPIVOTDATA("XXS4",'xuanson (2016)'!$A$3,"MA_HT","SKK","MA_QH","MNC")</f>
        <v>0</v>
      </c>
      <c r="BD22" s="22">
        <f ca="1">+GETPIVOTDATA("XXS4",'xuanson (2016)'!$A$3,"MA_HT","SKK","MA_QH","PNK")</f>
        <v>0</v>
      </c>
      <c r="BE22" s="71">
        <f ca="1">+GETPIVOTDATA("XXS4",'xuanson (2016)'!$A$3,"MA_HT","SKK","MA_QH","CSD")</f>
        <v>0</v>
      </c>
      <c r="BF22" s="74">
        <f ca="1" t="shared" si="13"/>
        <v>0</v>
      </c>
      <c r="BG22" s="101">
        <f ca="1">U$59-$BF22</f>
        <v>0</v>
      </c>
      <c r="BH22" s="41" t="e">
        <f ca="1" t="shared" si="14"/>
        <v>#REF!</v>
      </c>
      <c r="BI22" s="98"/>
      <c r="BJ22" s="107" t="e">
        <f>#REF!</f>
        <v>#REF!</v>
      </c>
      <c r="BK22" s="107" t="e">
        <f ca="1">BH22-BJ22</f>
        <v>#REF!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="2" customFormat="1" ht="15.75" customHeight="1" spans="1:79">
      <c r="A23" s="39" t="s">
        <v>61</v>
      </c>
      <c r="B23" s="53" t="s">
        <v>717</v>
      </c>
      <c r="C23" s="40" t="s">
        <v>686</v>
      </c>
      <c r="D23" s="41" t="e">
        <f>+#REF!</f>
        <v>#REF!</v>
      </c>
      <c r="E23" s="42">
        <f ca="1" t="shared" si="15"/>
        <v>0</v>
      </c>
      <c r="F23" s="52">
        <f ca="1" t="shared" si="9"/>
        <v>0</v>
      </c>
      <c r="G23" s="22">
        <f ca="1">+GETPIVOTDATA("XXS4",'xuanson (2016)'!$A$3,"MA_HT","SKT","MA_QH","LUC")</f>
        <v>0</v>
      </c>
      <c r="H23" s="22">
        <f ca="1">+GETPIVOTDATA("XXS4",'xuanson (2016)'!$A$3,"MA_HT","SKT","MA_QH","LUK")</f>
        <v>0</v>
      </c>
      <c r="I23" s="22">
        <f ca="1">+GETPIVOTDATA("XXS4",'xuanson (2016)'!$A$3,"MA_HT","SKT","MA_QH","LUN")</f>
        <v>0</v>
      </c>
      <c r="J23" s="22">
        <f ca="1">+GETPIVOTDATA("XXS4",'xuanson (2016)'!$A$3,"MA_HT","SKT","MA_QH","HNK")</f>
        <v>0</v>
      </c>
      <c r="K23" s="22">
        <f ca="1">+GETPIVOTDATA("XXS4",'xuanson (2016)'!$A$3,"MA_HT","SKT","MA_QH","CLN")</f>
        <v>0</v>
      </c>
      <c r="L23" s="22">
        <f ca="1">+GETPIVOTDATA("XXS4",'xuanson (2016)'!$A$3,"MA_HT","SKT","MA_QH","RSX")</f>
        <v>0</v>
      </c>
      <c r="M23" s="22">
        <f ca="1">+GETPIVOTDATA("XXS4",'xuanson (2016)'!$A$3,"MA_HT","SKT","MA_QH","RPH")</f>
        <v>0</v>
      </c>
      <c r="N23" s="22">
        <f ca="1">+GETPIVOTDATA("XXS4",'xuanson (2016)'!$A$3,"MA_HT","SKT","MA_QH","RDD")</f>
        <v>0</v>
      </c>
      <c r="O23" s="22">
        <f ca="1">+GETPIVOTDATA("XXS4",'xuanson (2016)'!$A$3,"MA_HT","SKT","MA_QH","NTS")</f>
        <v>0</v>
      </c>
      <c r="P23" s="22">
        <f ca="1">+GETPIVOTDATA("XXS4",'xuanson (2016)'!$A$3,"MA_HT","SKT","MA_QH","LMU")</f>
        <v>0</v>
      </c>
      <c r="Q23" s="22">
        <f ca="1">+GETPIVOTDATA("XXS4",'xuanson (2016)'!$A$3,"MA_HT","SKT","MA_QH","NKH")</f>
        <v>0</v>
      </c>
      <c r="R23" s="42">
        <f ca="1">SUM(S23:U23,W23:AA23,AN23:BD23)</f>
        <v>0</v>
      </c>
      <c r="S23" s="22">
        <f ca="1">+GETPIVOTDATA("XXS4",'xuanson (2016)'!$A$3,"MA_HT","SKT","MA_QH","CQP")</f>
        <v>0</v>
      </c>
      <c r="T23" s="22">
        <f ca="1">+GETPIVOTDATA("XXS4",'xuanson (2016)'!$A$3,"MA_HT","SKT","MA_QH","CAN")</f>
        <v>0</v>
      </c>
      <c r="U23" s="22">
        <f ca="1">+GETPIVOTDATA("XXS4",'xuanson (2016)'!$A$3,"MA_HT","SKT","MA_QH","SKK")</f>
        <v>0</v>
      </c>
      <c r="V23" s="43" t="e">
        <f ca="1">$D23-$BF23</f>
        <v>#REF!</v>
      </c>
      <c r="W23" s="22">
        <f ca="1">+GETPIVOTDATA("XXS4",'xuanson (2016)'!$A$3,"MA_HT","SKT","MA_QH","SKN")</f>
        <v>0</v>
      </c>
      <c r="X23" s="22">
        <f ca="1">+GETPIVOTDATA("XXS4",'xuanson (2016)'!$A$3,"MA_HT","SKT","MA_QH","TMD")</f>
        <v>0</v>
      </c>
      <c r="Y23" s="22">
        <f ca="1">+GETPIVOTDATA("XXS4",'xuanson (2016)'!$A$3,"MA_HT","SKT","MA_QH","SKC")</f>
        <v>0</v>
      </c>
      <c r="Z23" s="22">
        <f ca="1">+GETPIVOTDATA("XXS4",'xuanson (2016)'!$A$3,"MA_HT","SKT","MA_QH","SKS")</f>
        <v>0</v>
      </c>
      <c r="AA23" s="52">
        <f ca="1" t="shared" si="12"/>
        <v>0</v>
      </c>
      <c r="AB23" s="22">
        <f ca="1">+GETPIVOTDATA("XXS4",'xuanson (2016)'!$A$3,"MA_HT","SKT","MA_QH","DGT")</f>
        <v>0</v>
      </c>
      <c r="AC23" s="22">
        <f ca="1">+GETPIVOTDATA("XXS4",'xuanson (2016)'!$A$3,"MA_HT","SKT","MA_QH","DTL")</f>
        <v>0</v>
      </c>
      <c r="AD23" s="22">
        <f ca="1">+GETPIVOTDATA("XXS4",'xuanson (2016)'!$A$3,"MA_HT","SKT","MA_QH","DNL")</f>
        <v>0</v>
      </c>
      <c r="AE23" s="22">
        <f ca="1">+GETPIVOTDATA("XXS4",'xuanson (2016)'!$A$3,"MA_HT","SKT","MA_QH","DBV")</f>
        <v>0</v>
      </c>
      <c r="AF23" s="22">
        <f ca="1">+GETPIVOTDATA("XXS4",'xuanson (2016)'!$A$3,"MA_HT","SKT","MA_QH","DVH")</f>
        <v>0</v>
      </c>
      <c r="AG23" s="22">
        <f ca="1">+GETPIVOTDATA("XXS4",'xuanson (2016)'!$A$3,"MA_HT","SKT","MA_QH","DYT")</f>
        <v>0</v>
      </c>
      <c r="AH23" s="22">
        <f ca="1">+GETPIVOTDATA("XXS4",'xuanson (2016)'!$A$3,"MA_HT","SKT","MA_QH","DGD")</f>
        <v>0</v>
      </c>
      <c r="AI23" s="22">
        <f ca="1">+GETPIVOTDATA("XXS4",'xuanson (2016)'!$A$3,"MA_HT","SKT","MA_QH","DTT")</f>
        <v>0</v>
      </c>
      <c r="AJ23" s="22">
        <f ca="1">+GETPIVOTDATA("XXS4",'xuanson (2016)'!$A$3,"MA_HT","SKT","MA_QH","NCK")</f>
        <v>0</v>
      </c>
      <c r="AK23" s="22">
        <f ca="1">+GETPIVOTDATA("XXS4",'xuanson (2016)'!$A$3,"MA_HT","SKT","MA_QH","DXH")</f>
        <v>0</v>
      </c>
      <c r="AL23" s="22">
        <f ca="1">+GETPIVOTDATA("XXS4",'xuanson (2016)'!$A$3,"MA_HT","SKT","MA_QH","DCH")</f>
        <v>0</v>
      </c>
      <c r="AM23" s="22">
        <f ca="1">+GETPIVOTDATA("XXS4",'xuanson (2016)'!$A$3,"MA_HT","SKT","MA_QH","DKG")</f>
        <v>0</v>
      </c>
      <c r="AN23" s="22">
        <f ca="1">+GETPIVOTDATA("XXS4",'xuanson (2016)'!$A$3,"MA_HT","SKT","MA_QH","DDT")</f>
        <v>0</v>
      </c>
      <c r="AO23" s="22">
        <f ca="1">+GETPIVOTDATA("XXS4",'xuanson (2016)'!$A$3,"MA_HT","SKT","MA_QH","DDL")</f>
        <v>0</v>
      </c>
      <c r="AP23" s="22">
        <f ca="1">+GETPIVOTDATA("XXS4",'xuanson (2016)'!$A$3,"MA_HT","SKT","MA_QH","DRA")</f>
        <v>0</v>
      </c>
      <c r="AQ23" s="22">
        <f ca="1">+GETPIVOTDATA("XXS4",'xuanson (2016)'!$A$3,"MA_HT","SKT","MA_QH","ONT")</f>
        <v>0</v>
      </c>
      <c r="AR23" s="22">
        <f ca="1">+GETPIVOTDATA("XXS4",'xuanson (2016)'!$A$3,"MA_HT","SKT","MA_QH","ODT")</f>
        <v>0</v>
      </c>
      <c r="AS23" s="22">
        <f ca="1">+GETPIVOTDATA("XXS4",'xuanson (2016)'!$A$3,"MA_HT","SKT","MA_QH","TSC")</f>
        <v>0</v>
      </c>
      <c r="AT23" s="22">
        <f ca="1">+GETPIVOTDATA("XXS4",'xuanson (2016)'!$A$3,"MA_HT","SKT","MA_QH","DTS")</f>
        <v>0</v>
      </c>
      <c r="AU23" s="22">
        <f ca="1">+GETPIVOTDATA("XXS4",'xuanson (2016)'!$A$3,"MA_HT","SKT","MA_QH","DNG")</f>
        <v>0</v>
      </c>
      <c r="AV23" s="22">
        <f ca="1">+GETPIVOTDATA("XXS4",'xuanson (2016)'!$A$3,"MA_HT","SKT","MA_QH","TON")</f>
        <v>0</v>
      </c>
      <c r="AW23" s="22">
        <f ca="1">+GETPIVOTDATA("XXS4",'xuanson (2016)'!$A$3,"MA_HT","SKT","MA_QH","NTD")</f>
        <v>0</v>
      </c>
      <c r="AX23" s="22">
        <f ca="1">+GETPIVOTDATA("XXS4",'xuanson (2016)'!$A$3,"MA_HT","SKT","MA_QH","SKX")</f>
        <v>0</v>
      </c>
      <c r="AY23" s="22">
        <f ca="1">+GETPIVOTDATA("XXS4",'xuanson (2016)'!$A$3,"MA_HT","SKT","MA_QH","DSH")</f>
        <v>0</v>
      </c>
      <c r="AZ23" s="22">
        <f ca="1">+GETPIVOTDATA("XXS4",'xuanson (2016)'!$A$3,"MA_HT","SKT","MA_QH","DKV")</f>
        <v>0</v>
      </c>
      <c r="BA23" s="89">
        <f ca="1">+GETPIVOTDATA("XXS4",'xuanson (2016)'!$A$3,"MA_HT","SKT","MA_QH","TIN")</f>
        <v>0</v>
      </c>
      <c r="BB23" s="50">
        <f ca="1">+GETPIVOTDATA("XXS4",'xuanson (2016)'!$A$3,"MA_HT","SKT","MA_QH","SON")</f>
        <v>0</v>
      </c>
      <c r="BC23" s="50">
        <f ca="1">+GETPIVOTDATA("XXS4",'xuanson (2016)'!$A$3,"MA_HT","SKT","MA_QH","MNC")</f>
        <v>0</v>
      </c>
      <c r="BD23" s="22">
        <f ca="1">+GETPIVOTDATA("XXS4",'xuanson (2016)'!$A$3,"MA_HT","SKT","MA_QH","PNK")</f>
        <v>0</v>
      </c>
      <c r="BE23" s="71">
        <f ca="1">+GETPIVOTDATA("XXS4",'xuanson (2016)'!$A$3,"MA_HT","SKT","MA_QH","CSD")</f>
        <v>0</v>
      </c>
      <c r="BF23" s="74">
        <f ca="1" t="shared" si="13"/>
        <v>0</v>
      </c>
      <c r="BG23" s="101">
        <f ca="1">V$59-$BF23</f>
        <v>0</v>
      </c>
      <c r="BH23" s="41" t="e">
        <f ca="1" t="shared" si="14"/>
        <v>#REF!</v>
      </c>
      <c r="BI23" s="98"/>
      <c r="BJ23" s="107"/>
      <c r="BK23" s="10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="2" customFormat="1" ht="15.75" customHeight="1" spans="1:79">
      <c r="A24" s="39" t="s">
        <v>64</v>
      </c>
      <c r="B24" s="53" t="s">
        <v>62</v>
      </c>
      <c r="C24" s="40" t="s">
        <v>63</v>
      </c>
      <c r="D24" s="41" t="e">
        <f>+#REF!</f>
        <v>#REF!</v>
      </c>
      <c r="E24" s="42">
        <f ca="1" t="shared" si="15"/>
        <v>0</v>
      </c>
      <c r="F24" s="52">
        <f ca="1" t="shared" si="9"/>
        <v>0</v>
      </c>
      <c r="G24" s="22">
        <f ca="1">+GETPIVOTDATA("XXS4",'xuanson (2016)'!$A$3,"MA_HT","SKN","MA_QH","LUC")</f>
        <v>0</v>
      </c>
      <c r="H24" s="22">
        <f ca="1">+GETPIVOTDATA("XXS4",'xuanson (2016)'!$A$3,"MA_HT","SKN","MA_QH","LUK")</f>
        <v>0</v>
      </c>
      <c r="I24" s="22">
        <f ca="1">+GETPIVOTDATA("XXS4",'xuanson (2016)'!$A$3,"MA_HT","SKN","MA_QH","LUN")</f>
        <v>0</v>
      </c>
      <c r="J24" s="22">
        <f ca="1">+GETPIVOTDATA("XXS4",'xuanson (2016)'!$A$3,"MA_HT","SKN","MA_QH","HNK")</f>
        <v>0</v>
      </c>
      <c r="K24" s="22">
        <f ca="1">+GETPIVOTDATA("XXS4",'xuanson (2016)'!$A$3,"MA_HT","SKN","MA_QH","CLN")</f>
        <v>0</v>
      </c>
      <c r="L24" s="22">
        <f ca="1">+GETPIVOTDATA("XXS4",'xuanson (2016)'!$A$3,"MA_HT","SKN","MA_QH","RSX")</f>
        <v>0</v>
      </c>
      <c r="M24" s="22">
        <f ca="1">+GETPIVOTDATA("XXS4",'xuanson (2016)'!$A$3,"MA_HT","SKN","MA_QH","RPH")</f>
        <v>0</v>
      </c>
      <c r="N24" s="22">
        <f ca="1">+GETPIVOTDATA("XXS4",'xuanson (2016)'!$A$3,"MA_HT","SKN","MA_QH","RDD")</f>
        <v>0</v>
      </c>
      <c r="O24" s="22">
        <f ca="1">+GETPIVOTDATA("XXS4",'xuanson (2016)'!$A$3,"MA_HT","SKN","MA_QH","NTS")</f>
        <v>0</v>
      </c>
      <c r="P24" s="22">
        <f ca="1">+GETPIVOTDATA("XXS4",'xuanson (2016)'!$A$3,"MA_HT","SKN","MA_QH","LMU")</f>
        <v>0</v>
      </c>
      <c r="Q24" s="22">
        <f ca="1">+GETPIVOTDATA("XXS4",'xuanson (2016)'!$A$3,"MA_HT","SKN","MA_QH","NKH")</f>
        <v>0</v>
      </c>
      <c r="R24" s="42">
        <f ca="1">SUM(S24:V24,X24:AA24,AN24:BD24)</f>
        <v>0</v>
      </c>
      <c r="S24" s="22">
        <f ca="1">+GETPIVOTDATA("XXS4",'xuanson (2016)'!$A$3,"MA_HT","SKN","MA_QH","CQP")</f>
        <v>0</v>
      </c>
      <c r="T24" s="22">
        <f ca="1">+GETPIVOTDATA("XXS4",'xuanson (2016)'!$A$3,"MA_HT","SKN","MA_QH","CAN")</f>
        <v>0</v>
      </c>
      <c r="U24" s="22">
        <f ca="1">+GETPIVOTDATA("XXS4",'xuanson (2016)'!$A$3,"MA_HT","SKN","MA_QH","SKK")</f>
        <v>0</v>
      </c>
      <c r="V24" s="22">
        <f ca="1">+GETPIVOTDATA("XXS4",'xuanson (2016)'!$A$3,"MA_HT","SKN","MA_QH","SKT")</f>
        <v>0</v>
      </c>
      <c r="W24" s="43" t="e">
        <f ca="1">$D24-$BF24</f>
        <v>#REF!</v>
      </c>
      <c r="X24" s="22">
        <f ca="1">+GETPIVOTDATA("XXS4",'xuanson (2016)'!$A$3,"MA_HT","SKN","MA_QH","TMD")</f>
        <v>0</v>
      </c>
      <c r="Y24" s="22">
        <f ca="1">+GETPIVOTDATA("XXS4",'xuanson (2016)'!$A$3,"MA_HT","SKN","MA_QH","SKC")</f>
        <v>0</v>
      </c>
      <c r="Z24" s="22">
        <f ca="1">+GETPIVOTDATA("XXS4",'xuanson (2016)'!$A$3,"MA_HT","SKN","MA_QH","SKS")</f>
        <v>0</v>
      </c>
      <c r="AA24" s="52">
        <f ca="1" t="shared" si="12"/>
        <v>0</v>
      </c>
      <c r="AB24" s="22">
        <f ca="1">+GETPIVOTDATA("XXS4",'xuanson (2016)'!$A$3,"MA_HT","SKN","MA_QH","DGT")</f>
        <v>0</v>
      </c>
      <c r="AC24" s="22">
        <f ca="1">+GETPIVOTDATA("XXS4",'xuanson (2016)'!$A$3,"MA_HT","SKN","MA_QH","DTL")</f>
        <v>0</v>
      </c>
      <c r="AD24" s="22">
        <f ca="1">+GETPIVOTDATA("XXS4",'xuanson (2016)'!$A$3,"MA_HT","SKN","MA_QH","DNL")</f>
        <v>0</v>
      </c>
      <c r="AE24" s="22">
        <f ca="1">+GETPIVOTDATA("XXS4",'xuanson (2016)'!$A$3,"MA_HT","SKN","MA_QH","DBV")</f>
        <v>0</v>
      </c>
      <c r="AF24" s="22">
        <f ca="1">+GETPIVOTDATA("XXS4",'xuanson (2016)'!$A$3,"MA_HT","SKN","MA_QH","DVH")</f>
        <v>0</v>
      </c>
      <c r="AG24" s="22">
        <f ca="1">+GETPIVOTDATA("XXS4",'xuanson (2016)'!$A$3,"MA_HT","SKN","MA_QH","DYT")</f>
        <v>0</v>
      </c>
      <c r="AH24" s="22">
        <f ca="1">+GETPIVOTDATA("XXS4",'xuanson (2016)'!$A$3,"MA_HT","SKN","MA_QH","DGD")</f>
        <v>0</v>
      </c>
      <c r="AI24" s="22">
        <f ca="1">+GETPIVOTDATA("XXS4",'xuanson (2016)'!$A$3,"MA_HT","SKN","MA_QH","DTT")</f>
        <v>0</v>
      </c>
      <c r="AJ24" s="22">
        <f ca="1">+GETPIVOTDATA("XXS4",'xuanson (2016)'!$A$3,"MA_HT","SKN","MA_QH","NCK")</f>
        <v>0</v>
      </c>
      <c r="AK24" s="22">
        <f ca="1">+GETPIVOTDATA("XXS4",'xuanson (2016)'!$A$3,"MA_HT","SKN","MA_QH","DXH")</f>
        <v>0</v>
      </c>
      <c r="AL24" s="22">
        <f ca="1">+GETPIVOTDATA("XXS4",'xuanson (2016)'!$A$3,"MA_HT","SKN","MA_QH","DCH")</f>
        <v>0</v>
      </c>
      <c r="AM24" s="22">
        <f ca="1">+GETPIVOTDATA("XXS4",'xuanson (2016)'!$A$3,"MA_HT","SKN","MA_QH","DKG")</f>
        <v>0</v>
      </c>
      <c r="AN24" s="22">
        <f ca="1">+GETPIVOTDATA("XXS4",'xuanson (2016)'!$A$3,"MA_HT","SKN","MA_QH","DDT")</f>
        <v>0</v>
      </c>
      <c r="AO24" s="22">
        <f ca="1">+GETPIVOTDATA("XXS4",'xuanson (2016)'!$A$3,"MA_HT","SKN","MA_QH","DDL")</f>
        <v>0</v>
      </c>
      <c r="AP24" s="22">
        <f ca="1">+GETPIVOTDATA("XXS4",'xuanson (2016)'!$A$3,"MA_HT","SKN","MA_QH","DRA")</f>
        <v>0</v>
      </c>
      <c r="AQ24" s="22">
        <f ca="1">+GETPIVOTDATA("XXS4",'xuanson (2016)'!$A$3,"MA_HT","SKN","MA_QH","ONT")</f>
        <v>0</v>
      </c>
      <c r="AR24" s="22">
        <f ca="1">+GETPIVOTDATA("XXS4",'xuanson (2016)'!$A$3,"MA_HT","SKN","MA_QH","ODT")</f>
        <v>0</v>
      </c>
      <c r="AS24" s="22">
        <f ca="1">+GETPIVOTDATA("XXS4",'xuanson (2016)'!$A$3,"MA_HT","SKN","MA_QH","TSC")</f>
        <v>0</v>
      </c>
      <c r="AT24" s="22">
        <f ca="1">+GETPIVOTDATA("XXS4",'xuanson (2016)'!$A$3,"MA_HT","SKN","MA_QH","DTS")</f>
        <v>0</v>
      </c>
      <c r="AU24" s="22">
        <f ca="1">+GETPIVOTDATA("XXS4",'xuanson (2016)'!$A$3,"MA_HT","SKN","MA_QH","DNG")</f>
        <v>0</v>
      </c>
      <c r="AV24" s="22">
        <f ca="1">+GETPIVOTDATA("XXS4",'xuanson (2016)'!$A$3,"MA_HT","SKN","MA_QH","TON")</f>
        <v>0</v>
      </c>
      <c r="AW24" s="22">
        <f ca="1">+GETPIVOTDATA("XXS4",'xuanson (2016)'!$A$3,"MA_HT","SKN","MA_QH","NTD")</f>
        <v>0</v>
      </c>
      <c r="AX24" s="22">
        <f ca="1">+GETPIVOTDATA("XXS4",'xuanson (2016)'!$A$3,"MA_HT","SKN","MA_QH","SKX")</f>
        <v>0</v>
      </c>
      <c r="AY24" s="22">
        <f ca="1">+GETPIVOTDATA("XXS4",'xuanson (2016)'!$A$3,"MA_HT","SKN","MA_QH","DSH")</f>
        <v>0</v>
      </c>
      <c r="AZ24" s="22">
        <f ca="1">+GETPIVOTDATA("XXS4",'xuanson (2016)'!$A$3,"MA_HT","SKN","MA_QH","DKV")</f>
        <v>0</v>
      </c>
      <c r="BA24" s="89">
        <f ca="1">+GETPIVOTDATA("XXS4",'xuanson (2016)'!$A$3,"MA_HT","SKN","MA_QH","TIN")</f>
        <v>0</v>
      </c>
      <c r="BB24" s="50">
        <f ca="1">+GETPIVOTDATA("XXS4",'xuanson (2016)'!$A$3,"MA_HT","SKN","MA_QH","SON")</f>
        <v>0</v>
      </c>
      <c r="BC24" s="50">
        <f ca="1">+GETPIVOTDATA("XXS4",'xuanson (2016)'!$A$3,"MA_HT","SKN","MA_QH","MNC")</f>
        <v>0</v>
      </c>
      <c r="BD24" s="22">
        <f ca="1">+GETPIVOTDATA("XXS4",'xuanson (2016)'!$A$3,"MA_HT","SKN","MA_QH","PNK")</f>
        <v>0</v>
      </c>
      <c r="BE24" s="71">
        <f ca="1">+GETPIVOTDATA("XXS4",'xuanson (2016)'!$A$3,"MA_HT","SKN","MA_QH","CSD")</f>
        <v>0</v>
      </c>
      <c r="BF24" s="74">
        <f ca="1" t="shared" si="13"/>
        <v>0</v>
      </c>
      <c r="BG24" s="101">
        <f ca="1">W$59-$BF24</f>
        <v>0</v>
      </c>
      <c r="BH24" s="41" t="e">
        <f ca="1" t="shared" si="14"/>
        <v>#REF!</v>
      </c>
      <c r="BI24" s="98"/>
      <c r="BJ24" s="107"/>
      <c r="BK24" s="10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="2" customFormat="1" ht="15.75" customHeight="1" spans="1:79">
      <c r="A25" s="39" t="s">
        <v>67</v>
      </c>
      <c r="B25" s="39" t="s">
        <v>65</v>
      </c>
      <c r="C25" s="40" t="s">
        <v>66</v>
      </c>
      <c r="D25" s="41" t="e">
        <f>+#REF!</f>
        <v>#REF!</v>
      </c>
      <c r="E25" s="42">
        <f ca="1" t="shared" si="15"/>
        <v>0</v>
      </c>
      <c r="F25" s="52">
        <f ca="1" t="shared" si="9"/>
        <v>0</v>
      </c>
      <c r="G25" s="22">
        <f ca="1">+GETPIVOTDATA("XXS4",'xuanson (2016)'!$A$3,"MA_HT","TMD","MA_QH","LUC")</f>
        <v>0</v>
      </c>
      <c r="H25" s="22">
        <f ca="1">+GETPIVOTDATA("XXS4",'xuanson (2016)'!$A$3,"MA_HT","TMD","MA_QH","LUK")</f>
        <v>0</v>
      </c>
      <c r="I25" s="22">
        <f ca="1">+GETPIVOTDATA("XXS4",'xuanson (2016)'!$A$3,"MA_HT","TMD","MA_QH","LUN")</f>
        <v>0</v>
      </c>
      <c r="J25" s="22">
        <f ca="1">+GETPIVOTDATA("XXS4",'xuanson (2016)'!$A$3,"MA_HT","TMD","MA_QH","HNK")</f>
        <v>0</v>
      </c>
      <c r="K25" s="22">
        <f ca="1">+GETPIVOTDATA("XXS4",'xuanson (2016)'!$A$3,"MA_HT","TMD","MA_QH","CLN")</f>
        <v>0</v>
      </c>
      <c r="L25" s="22">
        <f ca="1">+GETPIVOTDATA("XXS4",'xuanson (2016)'!$A$3,"MA_HT","TMD","MA_QH","RSX")</f>
        <v>0</v>
      </c>
      <c r="M25" s="22">
        <f ca="1">+GETPIVOTDATA("XXS4",'xuanson (2016)'!$A$3,"MA_HT","TMD","MA_QH","RPH")</f>
        <v>0</v>
      </c>
      <c r="N25" s="22">
        <f ca="1">+GETPIVOTDATA("XXS4",'xuanson (2016)'!$A$3,"MA_HT","TMD","MA_QH","RDD")</f>
        <v>0</v>
      </c>
      <c r="O25" s="22">
        <f ca="1">+GETPIVOTDATA("XXS4",'xuanson (2016)'!$A$3,"MA_HT","TMD","MA_QH","NTS")</f>
        <v>0</v>
      </c>
      <c r="P25" s="22">
        <f ca="1">+GETPIVOTDATA("XXS4",'xuanson (2016)'!$A$3,"MA_HT","TMD","MA_QH","LMU")</f>
        <v>0</v>
      </c>
      <c r="Q25" s="22">
        <f ca="1">+GETPIVOTDATA("XXS4",'xuanson (2016)'!$A$3,"MA_HT","TMD","MA_QH","NKH")</f>
        <v>0</v>
      </c>
      <c r="R25" s="42">
        <f ca="1">SUM(S25:W25,Y25:AA25,AN25:BD25)</f>
        <v>0</v>
      </c>
      <c r="S25" s="22">
        <f ca="1">+GETPIVOTDATA("XXS4",'xuanson (2016)'!$A$3,"MA_HT","TMD","MA_QH","CQP")</f>
        <v>0</v>
      </c>
      <c r="T25" s="22">
        <f ca="1">+GETPIVOTDATA("XXS4",'xuanson (2016)'!$A$3,"MA_HT","TMD","MA_QH","CAN")</f>
        <v>0</v>
      </c>
      <c r="U25" s="22">
        <f ca="1">+GETPIVOTDATA("XXS4",'xuanson (2016)'!$A$3,"MA_HT","TMD","MA_QH","SKK")</f>
        <v>0</v>
      </c>
      <c r="V25" s="22">
        <f ca="1">+GETPIVOTDATA("XXS4",'xuanson (2016)'!$A$3,"MA_HT","TMD","MA_QH","SKT")</f>
        <v>0</v>
      </c>
      <c r="W25" s="22">
        <f ca="1">+GETPIVOTDATA("XXS4",'xuanson (2016)'!$A$3,"MA_HT","TMD","MA_QH","SKN")</f>
        <v>0</v>
      </c>
      <c r="X25" s="43" t="e">
        <f ca="1">$D25-$BF25</f>
        <v>#REF!</v>
      </c>
      <c r="Y25" s="22">
        <f ca="1">+GETPIVOTDATA("XXS4",'xuanson (2016)'!$A$3,"MA_HT","TMD","MA_QH","SKC")</f>
        <v>0</v>
      </c>
      <c r="Z25" s="22">
        <f ca="1">+GETPIVOTDATA("XXS4",'xuanson (2016)'!$A$3,"MA_HT","TMD","MA_QH","SKS")</f>
        <v>0</v>
      </c>
      <c r="AA25" s="52">
        <f ca="1" t="shared" si="12"/>
        <v>0</v>
      </c>
      <c r="AB25" s="22">
        <f ca="1">+GETPIVOTDATA("XXS4",'xuanson (2016)'!$A$3,"MA_HT","TMD","MA_QH","DGT")</f>
        <v>0</v>
      </c>
      <c r="AC25" s="22">
        <f ca="1">+GETPIVOTDATA("XXS4",'xuanson (2016)'!$A$3,"MA_HT","TMD","MA_QH","DTL")</f>
        <v>0</v>
      </c>
      <c r="AD25" s="22">
        <f ca="1">+GETPIVOTDATA("XXS4",'xuanson (2016)'!$A$3,"MA_HT","TMD","MA_QH","DNL")</f>
        <v>0</v>
      </c>
      <c r="AE25" s="22">
        <f ca="1">+GETPIVOTDATA("XXS4",'xuanson (2016)'!$A$3,"MA_HT","TMD","MA_QH","DBV")</f>
        <v>0</v>
      </c>
      <c r="AF25" s="22">
        <f ca="1">+GETPIVOTDATA("XXS4",'xuanson (2016)'!$A$3,"MA_HT","TMD","MA_QH","DVH")</f>
        <v>0</v>
      </c>
      <c r="AG25" s="22">
        <f ca="1">+GETPIVOTDATA("XXS4",'xuanson (2016)'!$A$3,"MA_HT","TMD","MA_QH","DYT")</f>
        <v>0</v>
      </c>
      <c r="AH25" s="22">
        <f ca="1">+GETPIVOTDATA("XXS4",'xuanson (2016)'!$A$3,"MA_HT","TMD","MA_QH","DGD")</f>
        <v>0</v>
      </c>
      <c r="AI25" s="22">
        <f ca="1">+GETPIVOTDATA("XXS4",'xuanson (2016)'!$A$3,"MA_HT","TMD","MA_QH","DTT")</f>
        <v>0</v>
      </c>
      <c r="AJ25" s="22">
        <f ca="1">+GETPIVOTDATA("XXS4",'xuanson (2016)'!$A$3,"MA_HT","TMD","MA_QH","NCK")</f>
        <v>0</v>
      </c>
      <c r="AK25" s="22">
        <f ca="1">+GETPIVOTDATA("XXS4",'xuanson (2016)'!$A$3,"MA_HT","TMD","MA_QH","DXH")</f>
        <v>0</v>
      </c>
      <c r="AL25" s="22">
        <f ca="1">+GETPIVOTDATA("XXS4",'xuanson (2016)'!$A$3,"MA_HT","TMD","MA_QH","DCH")</f>
        <v>0</v>
      </c>
      <c r="AM25" s="22">
        <f ca="1">+GETPIVOTDATA("XXS4",'xuanson (2016)'!$A$3,"MA_HT","TMD","MA_QH","DKG")</f>
        <v>0</v>
      </c>
      <c r="AN25" s="22">
        <f ca="1">+GETPIVOTDATA("XXS4",'xuanson (2016)'!$A$3,"MA_HT","TMD","MA_QH","DDT")</f>
        <v>0</v>
      </c>
      <c r="AO25" s="22">
        <f ca="1">+GETPIVOTDATA("XXS4",'xuanson (2016)'!$A$3,"MA_HT","TMD","MA_QH","DDL")</f>
        <v>0</v>
      </c>
      <c r="AP25" s="22">
        <f ca="1">+GETPIVOTDATA("XXS4",'xuanson (2016)'!$A$3,"MA_HT","TMD","MA_QH","DRA")</f>
        <v>0</v>
      </c>
      <c r="AQ25" s="22">
        <f ca="1">+GETPIVOTDATA("XXS4",'xuanson (2016)'!$A$3,"MA_HT","TMD","MA_QH","ONT")</f>
        <v>0</v>
      </c>
      <c r="AR25" s="22">
        <f ca="1">+GETPIVOTDATA("XXS4",'xuanson (2016)'!$A$3,"MA_HT","TMD","MA_QH","ODT")</f>
        <v>0</v>
      </c>
      <c r="AS25" s="22">
        <f ca="1">+GETPIVOTDATA("XXS4",'xuanson (2016)'!$A$3,"MA_HT","TMD","MA_QH","TSC")</f>
        <v>0</v>
      </c>
      <c r="AT25" s="22">
        <f ca="1">+GETPIVOTDATA("XXS4",'xuanson (2016)'!$A$3,"MA_HT","TMD","MA_QH","DTS")</f>
        <v>0</v>
      </c>
      <c r="AU25" s="22">
        <f ca="1">+GETPIVOTDATA("XXS4",'xuanson (2016)'!$A$3,"MA_HT","TMD","MA_QH","DNG")</f>
        <v>0</v>
      </c>
      <c r="AV25" s="22">
        <f ca="1">+GETPIVOTDATA("XXS4",'xuanson (2016)'!$A$3,"MA_HT","TMD","MA_QH","TON")</f>
        <v>0</v>
      </c>
      <c r="AW25" s="22">
        <f ca="1">+GETPIVOTDATA("XXS4",'xuanson (2016)'!$A$3,"MA_HT","TMD","MA_QH","NTD")</f>
        <v>0</v>
      </c>
      <c r="AX25" s="22">
        <f ca="1">+GETPIVOTDATA("XXS4",'xuanson (2016)'!$A$3,"MA_HT","TMD","MA_QH","SKX")</f>
        <v>0</v>
      </c>
      <c r="AY25" s="22">
        <f ca="1">+GETPIVOTDATA("XXS4",'xuanson (2016)'!$A$3,"MA_HT","TMD","MA_QH","DSH")</f>
        <v>0</v>
      </c>
      <c r="AZ25" s="22">
        <f ca="1">+GETPIVOTDATA("XXS4",'xuanson (2016)'!$A$3,"MA_HT","TMD","MA_QH","DKV")</f>
        <v>0</v>
      </c>
      <c r="BA25" s="89">
        <f ca="1">+GETPIVOTDATA("XXS4",'xuanson (2016)'!$A$3,"MA_HT","TMD","MA_QH","TIN")</f>
        <v>0</v>
      </c>
      <c r="BB25" s="50">
        <f ca="1">+GETPIVOTDATA("XXS4",'xuanson (2016)'!$A$3,"MA_HT","TMD","MA_QH","SON")</f>
        <v>0</v>
      </c>
      <c r="BC25" s="50">
        <f ca="1">+GETPIVOTDATA("XXS4",'xuanson (2016)'!$A$3,"MA_HT","TMD","MA_QH","MNC")</f>
        <v>0</v>
      </c>
      <c r="BD25" s="22">
        <f ca="1">+GETPIVOTDATA("XXS4",'xuanson (2016)'!$A$3,"MA_HT","TMD","MA_QH","PNK")</f>
        <v>0</v>
      </c>
      <c r="BE25" s="71">
        <f ca="1">+GETPIVOTDATA("XXS4",'xuanson (2016)'!$A$3,"MA_HT","TMD","MA_QH","CSD")</f>
        <v>0</v>
      </c>
      <c r="BF25" s="74">
        <f ca="1" t="shared" si="13"/>
        <v>0</v>
      </c>
      <c r="BG25" s="101">
        <f ca="1">X$59-$BF25</f>
        <v>0</v>
      </c>
      <c r="BH25" s="41" t="e">
        <f ca="1" t="shared" si="14"/>
        <v>#REF!</v>
      </c>
      <c r="BI25" s="98"/>
      <c r="BJ25" s="107" t="e">
        <f>#REF!</f>
        <v>#REF!</v>
      </c>
      <c r="BK25" s="107" t="e">
        <f ca="1">BH25-BJ25</f>
        <v>#REF!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</row>
    <row r="26" s="2" customFormat="1" ht="15.75" customHeight="1" spans="1:79">
      <c r="A26" s="39" t="s">
        <v>70</v>
      </c>
      <c r="B26" s="39" t="s">
        <v>68</v>
      </c>
      <c r="C26" s="40" t="s">
        <v>69</v>
      </c>
      <c r="D26" s="41" t="e">
        <f>+#REF!</f>
        <v>#REF!</v>
      </c>
      <c r="E26" s="42">
        <f ca="1" t="shared" si="15"/>
        <v>0</v>
      </c>
      <c r="F26" s="52">
        <f ca="1" t="shared" si="9"/>
        <v>0</v>
      </c>
      <c r="G26" s="22">
        <f ca="1">+GETPIVOTDATA("XXS4",'xuanson (2016)'!$A$3,"MA_HT","SKC","MA_QH","LUC")</f>
        <v>0</v>
      </c>
      <c r="H26" s="22">
        <f ca="1">+GETPIVOTDATA("XXS4",'xuanson (2016)'!$A$3,"MA_HT","SKC","MA_QH","LUK")</f>
        <v>0</v>
      </c>
      <c r="I26" s="22">
        <f ca="1">+GETPIVOTDATA("XXS4",'xuanson (2016)'!$A$3,"MA_HT","SKC","MA_QH","LUN")</f>
        <v>0</v>
      </c>
      <c r="J26" s="22">
        <f ca="1">+GETPIVOTDATA("XXS4",'xuanson (2016)'!$A$3,"MA_HT","SKC","MA_QH","HNK")</f>
        <v>0</v>
      </c>
      <c r="K26" s="22">
        <f ca="1">+GETPIVOTDATA("XXS4",'xuanson (2016)'!$A$3,"MA_HT","SKC","MA_QH","CLN")</f>
        <v>0</v>
      </c>
      <c r="L26" s="22">
        <f ca="1">+GETPIVOTDATA("XXS4",'xuanson (2016)'!$A$3,"MA_HT","SKC","MA_QH","RSX")</f>
        <v>0</v>
      </c>
      <c r="M26" s="22">
        <f ca="1">+GETPIVOTDATA("XXS4",'xuanson (2016)'!$A$3,"MA_HT","SKC","MA_QH","RPH")</f>
        <v>0</v>
      </c>
      <c r="N26" s="22">
        <f ca="1">+GETPIVOTDATA("XXS4",'xuanson (2016)'!$A$3,"MA_HT","SKC","MA_QH","RDD")</f>
        <v>0</v>
      </c>
      <c r="O26" s="22">
        <f ca="1">+GETPIVOTDATA("XXS4",'xuanson (2016)'!$A$3,"MA_HT","SKC","MA_QH","NTS")</f>
        <v>0</v>
      </c>
      <c r="P26" s="22">
        <f ca="1">+GETPIVOTDATA("XXS4",'xuanson (2016)'!$A$3,"MA_HT","SKC","MA_QH","LMU")</f>
        <v>0</v>
      </c>
      <c r="Q26" s="22">
        <f ca="1">+GETPIVOTDATA("XXS4",'xuanson (2016)'!$A$3,"MA_HT","SKC","MA_QH","NKH")</f>
        <v>0</v>
      </c>
      <c r="R26" s="42">
        <f ca="1">SUM(S26:X26,Z26,AN26:BD26)</f>
        <v>0</v>
      </c>
      <c r="S26" s="22">
        <f ca="1">+GETPIVOTDATA("XXS4",'xuanson (2016)'!$A$3,"MA_HT","SKC","MA_QH","CQP")</f>
        <v>0</v>
      </c>
      <c r="T26" s="22">
        <f ca="1">+GETPIVOTDATA("XXS4",'xuanson (2016)'!$A$3,"MA_HT","SKC","MA_QH","CAN")</f>
        <v>0</v>
      </c>
      <c r="U26" s="22">
        <f ca="1">+GETPIVOTDATA("XXS4",'xuanson (2016)'!$A$3,"MA_HT","SKC","MA_QH","SKK")</f>
        <v>0</v>
      </c>
      <c r="V26" s="22">
        <f ca="1">+GETPIVOTDATA("XXS4",'xuanson (2016)'!$A$3,"MA_HT","SKC","MA_QH","SKT")</f>
        <v>0</v>
      </c>
      <c r="W26" s="22">
        <f ca="1">+GETPIVOTDATA("XXS4",'xuanson (2016)'!$A$3,"MA_HT","SKC","MA_QH","SKN")</f>
        <v>0</v>
      </c>
      <c r="X26" s="22">
        <f ca="1">+GETPIVOTDATA("XXS4",'xuanson (2016)'!$A$3,"MA_HT","SKC","MA_QH","TMD")</f>
        <v>0</v>
      </c>
      <c r="Y26" s="43" t="e">
        <f ca="1">$D26-$BF26</f>
        <v>#REF!</v>
      </c>
      <c r="Z26" s="22">
        <f ca="1">+GETPIVOTDATA("XXS4",'xuanson (2016)'!$A$3,"MA_HT","SKC","MA_QH","SKS")</f>
        <v>0</v>
      </c>
      <c r="AA26" s="52">
        <f ca="1" t="shared" si="12"/>
        <v>0</v>
      </c>
      <c r="AB26" s="22">
        <f ca="1">+GETPIVOTDATA("XXS4",'xuanson (2016)'!$A$3,"MA_HT","SKC","MA_QH","DGT")</f>
        <v>0</v>
      </c>
      <c r="AC26" s="22">
        <f ca="1">+GETPIVOTDATA("XXS4",'xuanson (2016)'!$A$3,"MA_HT","SKC","MA_QH","DTL")</f>
        <v>0</v>
      </c>
      <c r="AD26" s="22">
        <f ca="1">+GETPIVOTDATA("XXS4",'xuanson (2016)'!$A$3,"MA_HT","SKC","MA_QH","DNL")</f>
        <v>0</v>
      </c>
      <c r="AE26" s="22">
        <f ca="1">+GETPIVOTDATA("XXS4",'xuanson (2016)'!$A$3,"MA_HT","SKC","MA_QH","DBV")</f>
        <v>0</v>
      </c>
      <c r="AF26" s="22">
        <f ca="1">+GETPIVOTDATA("XXS4",'xuanson (2016)'!$A$3,"MA_HT","SKC","MA_QH","DVH")</f>
        <v>0</v>
      </c>
      <c r="AG26" s="22">
        <f ca="1">+GETPIVOTDATA("XXS4",'xuanson (2016)'!$A$3,"MA_HT","SKC","MA_QH","DYT")</f>
        <v>0</v>
      </c>
      <c r="AH26" s="22">
        <f ca="1">+GETPIVOTDATA("XXS4",'xuanson (2016)'!$A$3,"MA_HT","SKC","MA_QH","DGD")</f>
        <v>0</v>
      </c>
      <c r="AI26" s="22">
        <f ca="1">+GETPIVOTDATA("XXS4",'xuanson (2016)'!$A$3,"MA_HT","SKC","MA_QH","DTT")</f>
        <v>0</v>
      </c>
      <c r="AJ26" s="22">
        <f ca="1">+GETPIVOTDATA("XXS4",'xuanson (2016)'!$A$3,"MA_HT","SKC","MA_QH","NCK")</f>
        <v>0</v>
      </c>
      <c r="AK26" s="22">
        <f ca="1">+GETPIVOTDATA("XXS4",'xuanson (2016)'!$A$3,"MA_HT","SKC","MA_QH","DXH")</f>
        <v>0</v>
      </c>
      <c r="AL26" s="22">
        <f ca="1">+GETPIVOTDATA("XXS4",'xuanson (2016)'!$A$3,"MA_HT","SKC","MA_QH","DCH")</f>
        <v>0</v>
      </c>
      <c r="AM26" s="22">
        <f ca="1">+GETPIVOTDATA("XXS4",'xuanson (2016)'!$A$3,"MA_HT","SKC","MA_QH","DKG")</f>
        <v>0</v>
      </c>
      <c r="AN26" s="22">
        <f ca="1">+GETPIVOTDATA("XXS4",'xuanson (2016)'!$A$3,"MA_HT","SKC","MA_QH","DDT")</f>
        <v>0</v>
      </c>
      <c r="AO26" s="22">
        <f ca="1">+GETPIVOTDATA("XXS4",'xuanson (2016)'!$A$3,"MA_HT","SKC","MA_QH","DDL")</f>
        <v>0</v>
      </c>
      <c r="AP26" s="22">
        <f ca="1">+GETPIVOTDATA("XXS4",'xuanson (2016)'!$A$3,"MA_HT","SKC","MA_QH","DRA")</f>
        <v>0</v>
      </c>
      <c r="AQ26" s="22">
        <f ca="1">+GETPIVOTDATA("XXS4",'xuanson (2016)'!$A$3,"MA_HT","SKC","MA_QH","ONT")</f>
        <v>0</v>
      </c>
      <c r="AR26" s="22">
        <f ca="1">+GETPIVOTDATA("XXS4",'xuanson (2016)'!$A$3,"MA_HT","SKC","MA_QH","ODT")</f>
        <v>0</v>
      </c>
      <c r="AS26" s="22">
        <f ca="1">+GETPIVOTDATA("XXS4",'xuanson (2016)'!$A$3,"MA_HT","SKC","MA_QH","TSC")</f>
        <v>0</v>
      </c>
      <c r="AT26" s="22">
        <f ca="1">+GETPIVOTDATA("XXS4",'xuanson (2016)'!$A$3,"MA_HT","SKC","MA_QH","DTS")</f>
        <v>0</v>
      </c>
      <c r="AU26" s="22">
        <f ca="1">+GETPIVOTDATA("XXS4",'xuanson (2016)'!$A$3,"MA_HT","SKC","MA_QH","DNG")</f>
        <v>0</v>
      </c>
      <c r="AV26" s="22">
        <f ca="1">+GETPIVOTDATA("XXS4",'xuanson (2016)'!$A$3,"MA_HT","SKC","MA_QH","TON")</f>
        <v>0</v>
      </c>
      <c r="AW26" s="22">
        <f ca="1">+GETPIVOTDATA("XXS4",'xuanson (2016)'!$A$3,"MA_HT","SKC","MA_QH","NTD")</f>
        <v>0</v>
      </c>
      <c r="AX26" s="22">
        <f ca="1">+GETPIVOTDATA("XXS4",'xuanson (2016)'!$A$3,"MA_HT","SKC","MA_QH","SKX")</f>
        <v>0</v>
      </c>
      <c r="AY26" s="22">
        <f ca="1">+GETPIVOTDATA("XXS4",'xuanson (2016)'!$A$3,"MA_HT","SKC","MA_QH","DSH")</f>
        <v>0</v>
      </c>
      <c r="AZ26" s="22">
        <f ca="1">+GETPIVOTDATA("XXS4",'xuanson (2016)'!$A$3,"MA_HT","SKC","MA_QH","DKV")</f>
        <v>0</v>
      </c>
      <c r="BA26" s="89">
        <f ca="1">+GETPIVOTDATA("XXS4",'xuanson (2016)'!$A$3,"MA_HT","SKC","MA_QH","TIN")</f>
        <v>0</v>
      </c>
      <c r="BB26" s="50">
        <f ca="1">+GETPIVOTDATA("XXS4",'xuanson (2016)'!$A$3,"MA_HT","SKC","MA_QH","SON")</f>
        <v>0</v>
      </c>
      <c r="BC26" s="50">
        <f ca="1">+GETPIVOTDATA("XXS4",'xuanson (2016)'!$A$3,"MA_HT","SKC","MA_QH","MNC")</f>
        <v>0</v>
      </c>
      <c r="BD26" s="22">
        <f ca="1">+GETPIVOTDATA("XXS4",'xuanson (2016)'!$A$3,"MA_HT","SKC","MA_QH","PNK")</f>
        <v>0</v>
      </c>
      <c r="BE26" s="71">
        <f ca="1">+GETPIVOTDATA("XXS4",'xuanson (2016)'!$A$3,"MA_HT","SKC","MA_QH","CSD")</f>
        <v>0</v>
      </c>
      <c r="BF26" s="74">
        <f ca="1" t="shared" si="13"/>
        <v>0</v>
      </c>
      <c r="BG26" s="101">
        <f ca="1">Y$59-$BF26</f>
        <v>0</v>
      </c>
      <c r="BH26" s="41" t="e">
        <f ca="1" t="shared" si="14"/>
        <v>#REF!</v>
      </c>
      <c r="BI26" s="98"/>
      <c r="BJ26" s="107" t="e">
        <f>#REF!</f>
        <v>#REF!</v>
      </c>
      <c r="BK26" s="107" t="e">
        <f ca="1">BH26-BJ26</f>
        <v>#REF!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="2" customFormat="1" ht="15.75" customHeight="1" spans="1:79">
      <c r="A27" s="39" t="s">
        <v>73</v>
      </c>
      <c r="B27" s="53" t="s">
        <v>202</v>
      </c>
      <c r="C27" s="40" t="s">
        <v>72</v>
      </c>
      <c r="D27" s="41" t="e">
        <f>+#REF!</f>
        <v>#REF!</v>
      </c>
      <c r="E27" s="42">
        <f ca="1" t="shared" si="15"/>
        <v>0</v>
      </c>
      <c r="F27" s="52">
        <f ca="1" t="shared" si="9"/>
        <v>0</v>
      </c>
      <c r="G27" s="22">
        <f ca="1">+GETPIVOTDATA("XXS4",'xuanson (2016)'!$A$3,"MA_HT","SKS","MA_QH","LUC")</f>
        <v>0</v>
      </c>
      <c r="H27" s="22">
        <f ca="1">+GETPIVOTDATA("XXS4",'xuanson (2016)'!$A$3,"MA_HT","SKS","MA_QH","LUK")</f>
        <v>0</v>
      </c>
      <c r="I27" s="22">
        <f ca="1">+GETPIVOTDATA("XXS4",'xuanson (2016)'!$A$3,"MA_HT","SKS","MA_QH","LUN")</f>
        <v>0</v>
      </c>
      <c r="J27" s="22">
        <f ca="1">+GETPIVOTDATA("XXS4",'xuanson (2016)'!$A$3,"MA_HT","SKS","MA_QH","HNK")</f>
        <v>0</v>
      </c>
      <c r="K27" s="22">
        <f ca="1">+GETPIVOTDATA("XXS4",'xuanson (2016)'!$A$3,"MA_HT","SKS","MA_QH","CLN")</f>
        <v>0</v>
      </c>
      <c r="L27" s="22">
        <f ca="1">+GETPIVOTDATA("XXS4",'xuanson (2016)'!$A$3,"MA_HT","SKS","MA_QH","RSX")</f>
        <v>0</v>
      </c>
      <c r="M27" s="22">
        <f ca="1">+GETPIVOTDATA("XXS4",'xuanson (2016)'!$A$3,"MA_HT","SKS","MA_QH","RPH")</f>
        <v>0</v>
      </c>
      <c r="N27" s="22">
        <f ca="1">+GETPIVOTDATA("XXS4",'xuanson (2016)'!$A$3,"MA_HT","SKS","MA_QH","RDD")</f>
        <v>0</v>
      </c>
      <c r="O27" s="22">
        <f ca="1">+GETPIVOTDATA("XXS4",'xuanson (2016)'!$A$3,"MA_HT","SKS","MA_QH","NTS")</f>
        <v>0</v>
      </c>
      <c r="P27" s="22">
        <f ca="1">+GETPIVOTDATA("XXS4",'xuanson (2016)'!$A$3,"MA_HT","SKS","MA_QH","LMU")</f>
        <v>0</v>
      </c>
      <c r="Q27" s="22">
        <f ca="1">+GETPIVOTDATA("XXS4",'xuanson (2016)'!$A$3,"MA_HT","SKS","MA_QH","NKH")</f>
        <v>0</v>
      </c>
      <c r="R27" s="42">
        <f ca="1">SUM(S27:Y27,AA27,AN27:BD27)</f>
        <v>0</v>
      </c>
      <c r="S27" s="22">
        <f ca="1">+GETPIVOTDATA("XXS4",'xuanson (2016)'!$A$3,"MA_HT","SKS","MA_QH","CQP")</f>
        <v>0</v>
      </c>
      <c r="T27" s="22">
        <f ca="1">+GETPIVOTDATA("XXS4",'xuanson (2016)'!$A$3,"MA_HT","SKS","MA_QH","CAN")</f>
        <v>0</v>
      </c>
      <c r="U27" s="22">
        <f ca="1">+GETPIVOTDATA("XXS4",'xuanson (2016)'!$A$3,"MA_HT","SKS","MA_QH","SKK")</f>
        <v>0</v>
      </c>
      <c r="V27" s="22">
        <f ca="1">+GETPIVOTDATA("XXS4",'xuanson (2016)'!$A$3,"MA_HT","SKS","MA_QH","SKT")</f>
        <v>0</v>
      </c>
      <c r="W27" s="22">
        <f ca="1">+GETPIVOTDATA("XXS4",'xuanson (2016)'!$A$3,"MA_HT","SKS","MA_QH","SKN")</f>
        <v>0</v>
      </c>
      <c r="X27" s="22">
        <f ca="1">+GETPIVOTDATA("XXS4",'xuanson (2016)'!$A$3,"MA_HT","SKS","MA_QH","TMD")</f>
        <v>0</v>
      </c>
      <c r="Y27" s="22">
        <f ca="1">+GETPIVOTDATA("XXS4",'xuanson (2016)'!$A$3,"MA_HT","SKS","MA_QH","SKC")</f>
        <v>0</v>
      </c>
      <c r="Z27" s="43" t="e">
        <f ca="1">$D27-$BF27</f>
        <v>#REF!</v>
      </c>
      <c r="AA27" s="52">
        <f ca="1" t="shared" si="12"/>
        <v>0</v>
      </c>
      <c r="AB27" s="22">
        <f ca="1">+GETPIVOTDATA("XXS4",'xuanson (2016)'!$A$3,"MA_HT","SKS","MA_QH","DGT")</f>
        <v>0</v>
      </c>
      <c r="AC27" s="22">
        <f ca="1">+GETPIVOTDATA("XXS4",'xuanson (2016)'!$A$3,"MA_HT","SKS","MA_QH","DTL")</f>
        <v>0</v>
      </c>
      <c r="AD27" s="22">
        <f ca="1">+GETPIVOTDATA("XXS4",'xuanson (2016)'!$A$3,"MA_HT","SKS","MA_QH","DNL")</f>
        <v>0</v>
      </c>
      <c r="AE27" s="22">
        <f ca="1">+GETPIVOTDATA("XXS4",'xuanson (2016)'!$A$3,"MA_HT","SKS","MA_QH","DBV")</f>
        <v>0</v>
      </c>
      <c r="AF27" s="22">
        <f ca="1">+GETPIVOTDATA("XXS4",'xuanson (2016)'!$A$3,"MA_HT","SKS","MA_QH","DVH")</f>
        <v>0</v>
      </c>
      <c r="AG27" s="22">
        <f ca="1">+GETPIVOTDATA("XXS4",'xuanson (2016)'!$A$3,"MA_HT","SKS","MA_QH","DYT")</f>
        <v>0</v>
      </c>
      <c r="AH27" s="22">
        <f ca="1">+GETPIVOTDATA("XXS4",'xuanson (2016)'!$A$3,"MA_HT","SKS","MA_QH","DGD")</f>
        <v>0</v>
      </c>
      <c r="AI27" s="22">
        <f ca="1">+GETPIVOTDATA("XXS4",'xuanson (2016)'!$A$3,"MA_HT","SKS","MA_QH","DTT")</f>
        <v>0</v>
      </c>
      <c r="AJ27" s="22">
        <f ca="1">+GETPIVOTDATA("XXS4",'xuanson (2016)'!$A$3,"MA_HT","SKS","MA_QH","NCK")</f>
        <v>0</v>
      </c>
      <c r="AK27" s="22">
        <f ca="1">+GETPIVOTDATA("XXS4",'xuanson (2016)'!$A$3,"MA_HT","SKS","MA_QH","DXH")</f>
        <v>0</v>
      </c>
      <c r="AL27" s="22">
        <f ca="1">+GETPIVOTDATA("XXS4",'xuanson (2016)'!$A$3,"MA_HT","SKS","MA_QH","DCH")</f>
        <v>0</v>
      </c>
      <c r="AM27" s="22">
        <f ca="1">+GETPIVOTDATA("XXS4",'xuanson (2016)'!$A$3,"MA_HT","SKS","MA_QH","DKG")</f>
        <v>0</v>
      </c>
      <c r="AN27" s="22">
        <f ca="1">+GETPIVOTDATA("XXS4",'xuanson (2016)'!$A$3,"MA_HT","SKS","MA_QH","DDT")</f>
        <v>0</v>
      </c>
      <c r="AO27" s="22">
        <f ca="1">+GETPIVOTDATA("XXS4",'xuanson (2016)'!$A$3,"MA_HT","SKS","MA_QH","DDL")</f>
        <v>0</v>
      </c>
      <c r="AP27" s="22">
        <f ca="1">+GETPIVOTDATA("XXS4",'xuanson (2016)'!$A$3,"MA_HT","SKS","MA_QH","DRA")</f>
        <v>0</v>
      </c>
      <c r="AQ27" s="22">
        <f ca="1">+GETPIVOTDATA("XXS4",'xuanson (2016)'!$A$3,"MA_HT","SKS","MA_QH","ONT")</f>
        <v>0</v>
      </c>
      <c r="AR27" s="22">
        <f ca="1">+GETPIVOTDATA("XXS4",'xuanson (2016)'!$A$3,"MA_HT","SKS","MA_QH","ODT")</f>
        <v>0</v>
      </c>
      <c r="AS27" s="22">
        <f ca="1">+GETPIVOTDATA("XXS4",'xuanson (2016)'!$A$3,"MA_HT","SKS","MA_QH","TSC")</f>
        <v>0</v>
      </c>
      <c r="AT27" s="22">
        <f ca="1">+GETPIVOTDATA("XXS4",'xuanson (2016)'!$A$3,"MA_HT","SKS","MA_QH","DTS")</f>
        <v>0</v>
      </c>
      <c r="AU27" s="22">
        <f ca="1">+GETPIVOTDATA("XXS4",'xuanson (2016)'!$A$3,"MA_HT","SKS","MA_QH","DNG")</f>
        <v>0</v>
      </c>
      <c r="AV27" s="22">
        <f ca="1">+GETPIVOTDATA("XXS4",'xuanson (2016)'!$A$3,"MA_HT","SKS","MA_QH","TON")</f>
        <v>0</v>
      </c>
      <c r="AW27" s="22">
        <f ca="1">+GETPIVOTDATA("XXS4",'xuanson (2016)'!$A$3,"MA_HT","SKS","MA_QH","NTD")</f>
        <v>0</v>
      </c>
      <c r="AX27" s="22">
        <f ca="1">+GETPIVOTDATA("XXS4",'xuanson (2016)'!$A$3,"MA_HT","SKS","MA_QH","SKX")</f>
        <v>0</v>
      </c>
      <c r="AY27" s="22">
        <f ca="1">+GETPIVOTDATA("XXS4",'xuanson (2016)'!$A$3,"MA_HT","SKS","MA_QH","DSH")</f>
        <v>0</v>
      </c>
      <c r="AZ27" s="22">
        <f ca="1">+GETPIVOTDATA("XXS4",'xuanson (2016)'!$A$3,"MA_HT","SKS","MA_QH","DKV")</f>
        <v>0</v>
      </c>
      <c r="BA27" s="89">
        <f ca="1">+GETPIVOTDATA("XXS4",'xuanson (2016)'!$A$3,"MA_HT","SKS","MA_QH","TIN")</f>
        <v>0</v>
      </c>
      <c r="BB27" s="50">
        <f ca="1">+GETPIVOTDATA("XXS4",'xuanson (2016)'!$A$3,"MA_HT","SKS","MA_QH","SON")</f>
        <v>0</v>
      </c>
      <c r="BC27" s="50">
        <f ca="1">+GETPIVOTDATA("XXS4",'xuanson (2016)'!$A$3,"MA_HT","SKS","MA_QH","MNC")</f>
        <v>0</v>
      </c>
      <c r="BD27" s="22">
        <f ca="1">+GETPIVOTDATA("XXS4",'xuanson (2016)'!$A$3,"MA_HT","SKS","MA_QH","PNK")</f>
        <v>0</v>
      </c>
      <c r="BE27" s="71">
        <f ca="1">+GETPIVOTDATA("XXS4",'xuanson (2016)'!$A$3,"MA_HT","SKS","MA_QH","CSD")</f>
        <v>0</v>
      </c>
      <c r="BF27" s="74">
        <f ca="1" t="shared" si="13"/>
        <v>0</v>
      </c>
      <c r="BG27" s="101">
        <f ca="1">Z$59-$BF27</f>
        <v>0</v>
      </c>
      <c r="BH27" s="41" t="e">
        <f ca="1" t="shared" si="14"/>
        <v>#REF!</v>
      </c>
      <c r="BI27" s="98"/>
      <c r="BJ27" s="107" t="e">
        <f>#REF!</f>
        <v>#REF!</v>
      </c>
      <c r="BK27" s="107" t="e">
        <f ca="1">BH27-BJ27</f>
        <v>#REF!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="2" customFormat="1" ht="15.75" customHeight="1" spans="1:79">
      <c r="A28" s="39" t="s">
        <v>76</v>
      </c>
      <c r="B28" s="53" t="s">
        <v>718</v>
      </c>
      <c r="C28" s="40" t="s">
        <v>78</v>
      </c>
      <c r="D28" s="41" t="e">
        <f>+#REF!</f>
        <v>#REF!</v>
      </c>
      <c r="E28" s="42">
        <f ca="1" t="shared" si="15"/>
        <v>0</v>
      </c>
      <c r="F28" s="52">
        <f ca="1" t="shared" si="9"/>
        <v>0</v>
      </c>
      <c r="G28" s="44">
        <f ca="1">SUM(G29:G39)</f>
        <v>0</v>
      </c>
      <c r="H28" s="44">
        <f ca="1" t="shared" ref="H28:Q28" si="16">SUM(H29:H39)</f>
        <v>0</v>
      </c>
      <c r="I28" s="44">
        <f ca="1" t="shared" si="16"/>
        <v>0</v>
      </c>
      <c r="J28" s="44">
        <f ca="1" t="shared" si="16"/>
        <v>0</v>
      </c>
      <c r="K28" s="44">
        <f ca="1" t="shared" si="16"/>
        <v>0</v>
      </c>
      <c r="L28" s="44">
        <f ca="1" t="shared" si="16"/>
        <v>0</v>
      </c>
      <c r="M28" s="44">
        <f ca="1" t="shared" si="16"/>
        <v>0</v>
      </c>
      <c r="N28" s="44">
        <f ca="1" t="shared" si="16"/>
        <v>0</v>
      </c>
      <c r="O28" s="44">
        <f ca="1" t="shared" si="16"/>
        <v>0</v>
      </c>
      <c r="P28" s="44">
        <f ca="1" t="shared" si="16"/>
        <v>0</v>
      </c>
      <c r="Q28" s="44">
        <f ca="1" t="shared" si="16"/>
        <v>0</v>
      </c>
      <c r="R28" s="44">
        <f ca="1">SUM(S28:Z28,AN28:BD28)</f>
        <v>0</v>
      </c>
      <c r="S28" s="44">
        <f ca="1">SUM(S29:S39)</f>
        <v>0</v>
      </c>
      <c r="T28" s="44">
        <f ca="1" t="shared" ref="T28:Z28" si="17">SUM(T29:T39)</f>
        <v>0</v>
      </c>
      <c r="U28" s="44">
        <f ca="1" t="shared" si="17"/>
        <v>0</v>
      </c>
      <c r="V28" s="44">
        <f ca="1" t="shared" si="17"/>
        <v>0</v>
      </c>
      <c r="W28" s="44">
        <f ca="1" t="shared" si="17"/>
        <v>0</v>
      </c>
      <c r="X28" s="44">
        <f ca="1" t="shared" si="17"/>
        <v>0</v>
      </c>
      <c r="Y28" s="44">
        <f ca="1" t="shared" si="17"/>
        <v>0</v>
      </c>
      <c r="Z28" s="44">
        <f ca="1" t="shared" si="17"/>
        <v>0</v>
      </c>
      <c r="AA28" s="43" t="e">
        <f ca="1">$D28-$BF28</f>
        <v>#REF!</v>
      </c>
      <c r="AB28" s="44">
        <f ca="1">SUM(AB30:AB39)</f>
        <v>0</v>
      </c>
      <c r="AC28" s="44">
        <f ca="1">SUM(AC29,AC31:AC39)</f>
        <v>0</v>
      </c>
      <c r="AD28" s="44">
        <f ca="1">SUM(AD29:AD30,AD32:AD39)</f>
        <v>0</v>
      </c>
      <c r="AE28" s="44">
        <f ca="1">SUM(AE29:AE31,AE33:AE39)</f>
        <v>0</v>
      </c>
      <c r="AF28" s="44">
        <f ca="1">SUM(AF29:AF32,AF34:AF39)</f>
        <v>0</v>
      </c>
      <c r="AG28" s="44">
        <f ca="1">SUM(AG29:AG33,AG35:AG39)</f>
        <v>0</v>
      </c>
      <c r="AH28" s="44">
        <f ca="1">SUM(AH29:AH34,AH36:AH39)</f>
        <v>0</v>
      </c>
      <c r="AI28" s="44">
        <f ca="1">SUM(AI29:AI35,AI37:AI39)</f>
        <v>0</v>
      </c>
      <c r="AJ28" s="44">
        <f ca="1">SUM(AJ29:AJ36,AJ38:AJ39)</f>
        <v>0</v>
      </c>
      <c r="AK28" s="44">
        <f ca="1">SUM(AK29:AK37,AK39)</f>
        <v>0</v>
      </c>
      <c r="AL28" s="44">
        <f ca="1">SUM(AL29:AL38)</f>
        <v>0</v>
      </c>
      <c r="AM28" s="44">
        <f ca="1">SUM(AM29:AM38)</f>
        <v>0</v>
      </c>
      <c r="AN28" s="44">
        <f ca="1" t="shared" ref="AN28:BE28" si="18">SUM(AN29:AN39)</f>
        <v>0</v>
      </c>
      <c r="AO28" s="44">
        <f ca="1" t="shared" si="18"/>
        <v>0</v>
      </c>
      <c r="AP28" s="44">
        <f ca="1" t="shared" si="18"/>
        <v>0</v>
      </c>
      <c r="AQ28" s="44">
        <f ca="1" t="shared" si="18"/>
        <v>0</v>
      </c>
      <c r="AR28" s="44">
        <f ca="1" t="shared" si="18"/>
        <v>0</v>
      </c>
      <c r="AS28" s="44">
        <f ca="1" t="shared" si="18"/>
        <v>0</v>
      </c>
      <c r="AT28" s="44">
        <f ca="1" t="shared" si="18"/>
        <v>0</v>
      </c>
      <c r="AU28" s="44">
        <f ca="1" t="shared" si="18"/>
        <v>0</v>
      </c>
      <c r="AV28" s="44">
        <f ca="1" t="shared" si="18"/>
        <v>0</v>
      </c>
      <c r="AW28" s="44">
        <f ca="1" t="shared" si="18"/>
        <v>0</v>
      </c>
      <c r="AX28" s="44">
        <f ca="1" t="shared" si="18"/>
        <v>0</v>
      </c>
      <c r="AY28" s="44">
        <f ca="1" t="shared" si="18"/>
        <v>0</v>
      </c>
      <c r="AZ28" s="44">
        <f ca="1" t="shared" si="18"/>
        <v>0</v>
      </c>
      <c r="BA28" s="44">
        <f ca="1" t="shared" si="18"/>
        <v>0</v>
      </c>
      <c r="BB28" s="44">
        <f ca="1" t="shared" si="18"/>
        <v>0</v>
      </c>
      <c r="BC28" s="44">
        <f ca="1" t="shared" si="18"/>
        <v>0</v>
      </c>
      <c r="BD28" s="44">
        <f ca="1" t="shared" si="18"/>
        <v>0</v>
      </c>
      <c r="BE28" s="44">
        <f ca="1" t="shared" si="18"/>
        <v>0</v>
      </c>
      <c r="BF28" s="74">
        <f ca="1" t="shared" si="13"/>
        <v>0</v>
      </c>
      <c r="BG28" s="101">
        <f ca="1">AA$59-$BF28</f>
        <v>0</v>
      </c>
      <c r="BH28" s="41" t="e">
        <f ca="1" t="shared" si="14"/>
        <v>#REF!</v>
      </c>
      <c r="BI28" s="98"/>
      <c r="BJ28" s="107"/>
      <c r="BK28" s="10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="4" customFormat="1" ht="16.5" customHeight="1" spans="1:79">
      <c r="A29" s="45" t="s">
        <v>719</v>
      </c>
      <c r="B29" s="45" t="s">
        <v>720</v>
      </c>
      <c r="C29" s="46" t="s">
        <v>81</v>
      </c>
      <c r="D29" s="47" t="e">
        <f>+#REF!</f>
        <v>#REF!</v>
      </c>
      <c r="E29" s="42">
        <f ca="1" t="shared" si="15"/>
        <v>0</v>
      </c>
      <c r="F29" s="52">
        <f ca="1" t="shared" si="9"/>
        <v>0</v>
      </c>
      <c r="G29" s="50">
        <f ca="1">+GETPIVOTDATA("XXS4",'xuanson (2016)'!$A$3,"MA_HT","DGT","MA_QH","LUC")</f>
        <v>0</v>
      </c>
      <c r="H29" s="50">
        <f ca="1">+GETPIVOTDATA("XXS4",'xuanson (2016)'!$A$3,"MA_HT","DGT","MA_QH","LUK")</f>
        <v>0</v>
      </c>
      <c r="I29" s="50">
        <f ca="1">+GETPIVOTDATA("XXS4",'xuanson (2016)'!$A$3,"MA_HT","DGT","MA_QH","LUN")</f>
        <v>0</v>
      </c>
      <c r="J29" s="50">
        <f ca="1">+GETPIVOTDATA("XXS4",'xuanson (2016)'!$A$3,"MA_HT","DGT","MA_QH","HNK")</f>
        <v>0</v>
      </c>
      <c r="K29" s="50">
        <f ca="1">+GETPIVOTDATA("XXS4",'xuanson (2016)'!$A$3,"MA_HT","DGT","MA_QH","CLN")</f>
        <v>0</v>
      </c>
      <c r="L29" s="50">
        <f ca="1">+GETPIVOTDATA("XXS4",'xuanson (2016)'!$A$3,"MA_HT","DGT","MA_QH","RSX")</f>
        <v>0</v>
      </c>
      <c r="M29" s="50">
        <f ca="1">+GETPIVOTDATA("XXS4",'xuanson (2016)'!$A$3,"MA_HT","DGT","MA_QH","RPH")</f>
        <v>0</v>
      </c>
      <c r="N29" s="50">
        <f ca="1">+GETPIVOTDATA("XXS4",'xuanson (2016)'!$A$3,"MA_HT","DGT","MA_QH","RDD")</f>
        <v>0</v>
      </c>
      <c r="O29" s="50">
        <f ca="1">+GETPIVOTDATA("XXS4",'xuanson (2016)'!$A$3,"MA_HT","DGT","MA_QH","NTS")</f>
        <v>0</v>
      </c>
      <c r="P29" s="50">
        <f ca="1">+GETPIVOTDATA("XXS4",'xuanson (2016)'!$A$3,"MA_HT","DGT","MA_QH","LMU")</f>
        <v>0</v>
      </c>
      <c r="Q29" s="50">
        <f ca="1">+GETPIVOTDATA("XXS4",'xuanson (2016)'!$A$3,"MA_HT","DGT","MA_QH","NKH")</f>
        <v>0</v>
      </c>
      <c r="R29" s="48">
        <f ca="1">SUM(S29:AA29,AN29:BD29)</f>
        <v>0</v>
      </c>
      <c r="S29" s="50">
        <f ca="1">+GETPIVOTDATA("XXS4",'xuanson (2016)'!$A$3,"MA_HT","DGT","MA_QH","CQP")</f>
        <v>0</v>
      </c>
      <c r="T29" s="50">
        <f ca="1">+GETPIVOTDATA("XXS4",'xuanson (2016)'!$A$3,"MA_HT","DGT","MA_QH","CAN")</f>
        <v>0</v>
      </c>
      <c r="U29" s="50">
        <f ca="1">+GETPIVOTDATA("XXS4",'xuanson (2016)'!$A$3,"MA_HT","DGT","MA_QH","SKK")</f>
        <v>0</v>
      </c>
      <c r="V29" s="50">
        <f ca="1">+GETPIVOTDATA("XXS4",'xuanson (2016)'!$A$3,"MA_HT","DGT","MA_QH","SKT")</f>
        <v>0</v>
      </c>
      <c r="W29" s="50">
        <f ca="1">+GETPIVOTDATA("XXS4",'xuanson (2016)'!$A$3,"MA_HT","DGT","MA_QH","SKN")</f>
        <v>0</v>
      </c>
      <c r="X29" s="50">
        <f ca="1">+GETPIVOTDATA("XXS4",'xuanson (2016)'!$A$3,"MA_HT","DGT","MA_QH","TMD")</f>
        <v>0</v>
      </c>
      <c r="Y29" s="50">
        <f ca="1">+GETPIVOTDATA("XXS4",'xuanson (2016)'!$A$3,"MA_HT","DGT","MA_QH","SKC")</f>
        <v>0</v>
      </c>
      <c r="Z29" s="50">
        <f ca="1">+GETPIVOTDATA("XXS4",'xuanson (2016)'!$A$3,"MA_HT","DGT","MA_QH","SKS")</f>
        <v>0</v>
      </c>
      <c r="AA29" s="52">
        <f ca="1">+SUM(AC29:AM29)</f>
        <v>0</v>
      </c>
      <c r="AB29" s="49" t="e">
        <f ca="1">$D29-$BF29</f>
        <v>#REF!</v>
      </c>
      <c r="AC29" s="50">
        <f ca="1">+GETPIVOTDATA("XXS4",'xuanson (2016)'!$A$3,"MA_HT","DGT","MA_QH","DTL")</f>
        <v>0</v>
      </c>
      <c r="AD29" s="50">
        <f ca="1">+GETPIVOTDATA("XXS4",'xuanson (2016)'!$A$3,"MA_HT","DGT","MA_QH","DNL")</f>
        <v>0</v>
      </c>
      <c r="AE29" s="50">
        <f ca="1">+GETPIVOTDATA("XXS4",'xuanson (2016)'!$A$3,"MA_HT","DGT","MA_QH","DBV")</f>
        <v>0</v>
      </c>
      <c r="AF29" s="50">
        <f ca="1">+GETPIVOTDATA("XXS4",'xuanson (2016)'!$A$3,"MA_HT","DGT","MA_QH","DVH")</f>
        <v>0</v>
      </c>
      <c r="AG29" s="50">
        <f ca="1">+GETPIVOTDATA("XXS4",'xuanson (2016)'!$A$3,"MA_HT","DGT","MA_QH","DYT")</f>
        <v>0</v>
      </c>
      <c r="AH29" s="50">
        <f ca="1">+GETPIVOTDATA("XXS4",'xuanson (2016)'!$A$3,"MA_HT","DGT","MA_QH","DGD")</f>
        <v>0</v>
      </c>
      <c r="AI29" s="50">
        <f ca="1">+GETPIVOTDATA("XXS4",'xuanson (2016)'!$A$3,"MA_HT","DGT","MA_QH","DTT")</f>
        <v>0</v>
      </c>
      <c r="AJ29" s="50">
        <f ca="1">+GETPIVOTDATA("XXS4",'xuanson (2016)'!$A$3,"MA_HT","DGT","MA_QH","NCK")</f>
        <v>0</v>
      </c>
      <c r="AK29" s="50">
        <f ca="1">+GETPIVOTDATA("XXS4",'xuanson (2016)'!$A$3,"MA_HT","DGT","MA_QH","DXH")</f>
        <v>0</v>
      </c>
      <c r="AL29" s="50">
        <f ca="1">+GETPIVOTDATA("XXS4",'xuanson (2016)'!$A$3,"MA_HT","DGT","MA_QH","DCH")</f>
        <v>0</v>
      </c>
      <c r="AM29" s="50">
        <f ca="1">+GETPIVOTDATA("XXS4",'xuanson (2016)'!$A$3,"MA_HT","DGT","MA_QH","DKG")</f>
        <v>0</v>
      </c>
      <c r="AN29" s="50">
        <f ca="1">+GETPIVOTDATA("XXS4",'xuanson (2016)'!$A$3,"MA_HT","DGT","MA_QH","DDT")</f>
        <v>0</v>
      </c>
      <c r="AO29" s="50">
        <f ca="1">+GETPIVOTDATA("XXS4",'xuanson (2016)'!$A$3,"MA_HT","DGT","MA_QH","DDL")</f>
        <v>0</v>
      </c>
      <c r="AP29" s="50">
        <f ca="1">+GETPIVOTDATA("XXS4",'xuanson (2016)'!$A$3,"MA_HT","DGT","MA_QH","DRA")</f>
        <v>0</v>
      </c>
      <c r="AQ29" s="50">
        <f ca="1">+GETPIVOTDATA("XXS4",'xuanson (2016)'!$A$3,"MA_HT","DGT","MA_QH","ONT")</f>
        <v>0</v>
      </c>
      <c r="AR29" s="50">
        <f ca="1">+GETPIVOTDATA("XXS4",'xuanson (2016)'!$A$3,"MA_HT","DGT","MA_QH","ODT")</f>
        <v>0</v>
      </c>
      <c r="AS29" s="50">
        <f ca="1">+GETPIVOTDATA("XXS4",'xuanson (2016)'!$A$3,"MA_HT","DGT","MA_QH","TSC")</f>
        <v>0</v>
      </c>
      <c r="AT29" s="50">
        <f ca="1">+GETPIVOTDATA("XXS4",'xuanson (2016)'!$A$3,"MA_HT","DGT","MA_QH","DTS")</f>
        <v>0</v>
      </c>
      <c r="AU29" s="50">
        <f ca="1">+GETPIVOTDATA("XXS4",'xuanson (2016)'!$A$3,"MA_HT","DGT","MA_QH","DNG")</f>
        <v>0</v>
      </c>
      <c r="AV29" s="50">
        <f ca="1">+GETPIVOTDATA("XXS4",'xuanson (2016)'!$A$3,"MA_HT","DGT","MA_QH","TON")</f>
        <v>0</v>
      </c>
      <c r="AW29" s="50">
        <f ca="1">+GETPIVOTDATA("XXS4",'xuanson (2016)'!$A$3,"MA_HT","DGT","MA_QH","NTD")</f>
        <v>0</v>
      </c>
      <c r="AX29" s="50">
        <f ca="1">+GETPIVOTDATA("XXS4",'xuanson (2016)'!$A$3,"MA_HT","DGT","MA_QH","SKX")</f>
        <v>0</v>
      </c>
      <c r="AY29" s="50">
        <f ca="1">+GETPIVOTDATA("XXS4",'xuanson (2016)'!$A$3,"MA_HT","DGT","MA_QH","DSH")</f>
        <v>0</v>
      </c>
      <c r="AZ29" s="50">
        <f ca="1">+GETPIVOTDATA("XXS4",'xuanson (2016)'!$A$3,"MA_HT","DGT","MA_QH","DKV")</f>
        <v>0</v>
      </c>
      <c r="BA29" s="88">
        <f ca="1">+GETPIVOTDATA("XXS4",'xuanson (2016)'!$A$3,"MA_HT","DGT","MA_QH","TIN")</f>
        <v>0</v>
      </c>
      <c r="BB29" s="50">
        <f ca="1">+GETPIVOTDATA("XXS4",'xuanson (2016)'!$A$3,"MA_HT","DGT","MA_QH","SON")</f>
        <v>0</v>
      </c>
      <c r="BC29" s="50">
        <f ca="1">+GETPIVOTDATA("XXS4",'xuanson (2016)'!$A$3,"MA_HT","DGT","MA_QH","MNC")</f>
        <v>0</v>
      </c>
      <c r="BD29" s="50">
        <f ca="1">+GETPIVOTDATA("XXS4",'xuanson (2016)'!$A$3,"MA_HT","DGT","MA_QH","PNK")</f>
        <v>0</v>
      </c>
      <c r="BE29" s="80">
        <f ca="1">+GETPIVOTDATA("XXS4",'xuanson (2016)'!$A$3,"MA_HT","DGT","MA_QH","CSD")</f>
        <v>0</v>
      </c>
      <c r="BF29" s="103">
        <f ca="1" t="shared" si="13"/>
        <v>0</v>
      </c>
      <c r="BG29" s="104">
        <f ca="1">AB$59-$BF29</f>
        <v>0</v>
      </c>
      <c r="BH29" s="47" t="e">
        <f ca="1" t="shared" si="14"/>
        <v>#REF!</v>
      </c>
      <c r="BI29" s="105"/>
      <c r="BJ29" s="105" t="e">
        <f>#REF!</f>
        <v>#REF!</v>
      </c>
      <c r="BK29" s="108" t="e">
        <f ca="1" t="shared" ref="BK29:BK40" si="19">BH29-BJ29</f>
        <v>#REF!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</row>
    <row r="30" s="4" customFormat="1" ht="16.5" customHeight="1" spans="1:79">
      <c r="A30" s="45" t="s">
        <v>721</v>
      </c>
      <c r="B30" s="45" t="s">
        <v>722</v>
      </c>
      <c r="C30" s="46" t="s">
        <v>83</v>
      </c>
      <c r="D30" s="47" t="e">
        <f>+#REF!</f>
        <v>#REF!</v>
      </c>
      <c r="E30" s="42">
        <f ca="1" t="shared" si="15"/>
        <v>0</v>
      </c>
      <c r="F30" s="52">
        <f ca="1" t="shared" si="9"/>
        <v>0</v>
      </c>
      <c r="G30" s="50">
        <f ca="1">+GETPIVOTDATA("XXS4",'xuanson (2016)'!$A$3,"MA_HT","DTL","MA_QH","LUC")</f>
        <v>0</v>
      </c>
      <c r="H30" s="50">
        <f ca="1">+GETPIVOTDATA("XXS4",'xuanson (2016)'!$A$3,"MA_HT","DTL","MA_QH","LUK")</f>
        <v>0</v>
      </c>
      <c r="I30" s="50">
        <f ca="1">+GETPIVOTDATA("XXS4",'xuanson (2016)'!$A$3,"MA_HT","DTL","MA_QH","LUN")</f>
        <v>0</v>
      </c>
      <c r="J30" s="50">
        <f ca="1">+GETPIVOTDATA("XXS4",'xuanson (2016)'!$A$3,"MA_HT","DTL","MA_QH","HNK")</f>
        <v>0</v>
      </c>
      <c r="K30" s="50">
        <f ca="1">+GETPIVOTDATA("XXS4",'xuanson (2016)'!$A$3,"MA_HT","DTL","MA_QH","CLN")</f>
        <v>0</v>
      </c>
      <c r="L30" s="50">
        <f ca="1">+GETPIVOTDATA("XXS4",'xuanson (2016)'!$A$3,"MA_HT","DTL","MA_QH","RSX")</f>
        <v>0</v>
      </c>
      <c r="M30" s="50">
        <f ca="1">+GETPIVOTDATA("XXS4",'xuanson (2016)'!$A$3,"MA_HT","DTL","MA_QH","RPH")</f>
        <v>0</v>
      </c>
      <c r="N30" s="50">
        <f ca="1">+GETPIVOTDATA("XXS4",'xuanson (2016)'!$A$3,"MA_HT","DTL","MA_QH","RDD")</f>
        <v>0</v>
      </c>
      <c r="O30" s="50">
        <f ca="1">+GETPIVOTDATA("XXS4",'xuanson (2016)'!$A$3,"MA_HT","DTL","MA_QH","NTS")</f>
        <v>0</v>
      </c>
      <c r="P30" s="50">
        <f ca="1">+GETPIVOTDATA("XXS4",'xuanson (2016)'!$A$3,"MA_HT","DTL","MA_QH","LMU")</f>
        <v>0</v>
      </c>
      <c r="Q30" s="50">
        <f ca="1">+GETPIVOTDATA("XXS4",'xuanson (2016)'!$A$3,"MA_HT","DTL","MA_QH","NKH")</f>
        <v>0</v>
      </c>
      <c r="R30" s="48">
        <f ca="1" t="shared" ref="R30:R40" si="20">SUM(S30:AA30,AN30:BD30)</f>
        <v>0</v>
      </c>
      <c r="S30" s="50">
        <f ca="1">+GETPIVOTDATA("XXS4",'xuanson (2016)'!$A$3,"MA_HT","DTL","MA_QH","CQP")</f>
        <v>0</v>
      </c>
      <c r="T30" s="50">
        <f ca="1">+GETPIVOTDATA("XXS4",'xuanson (2016)'!$A$3,"MA_HT","DTL","MA_QH","CAN")</f>
        <v>0</v>
      </c>
      <c r="U30" s="50">
        <f ca="1">+GETPIVOTDATA("XXS4",'xuanson (2016)'!$A$3,"MA_HT","DTL","MA_QH","SKK")</f>
        <v>0</v>
      </c>
      <c r="V30" s="50">
        <f ca="1">+GETPIVOTDATA("XXS4",'xuanson (2016)'!$A$3,"MA_HT","DTL","MA_QH","SKT")</f>
        <v>0</v>
      </c>
      <c r="W30" s="50">
        <f ca="1">+GETPIVOTDATA("XXS4",'xuanson (2016)'!$A$3,"MA_HT","DTL","MA_QH","SKN")</f>
        <v>0</v>
      </c>
      <c r="X30" s="50">
        <f ca="1">+GETPIVOTDATA("XXS4",'xuanson (2016)'!$A$3,"MA_HT","DTL","MA_QH","TMD")</f>
        <v>0</v>
      </c>
      <c r="Y30" s="50">
        <f ca="1">+GETPIVOTDATA("XXS4",'xuanson (2016)'!$A$3,"MA_HT","DTL","MA_QH","SKC")</f>
        <v>0</v>
      </c>
      <c r="Z30" s="50">
        <f ca="1">+GETPIVOTDATA("XXS4",'xuanson (2016)'!$A$3,"MA_HT","DTL","MA_QH","SKS")</f>
        <v>0</v>
      </c>
      <c r="AA30" s="52">
        <f ca="1">+SUM(AB30,AD30:AM30)</f>
        <v>0</v>
      </c>
      <c r="AB30" s="50">
        <f ca="1">+GETPIVOTDATA("XXS4",'xuanson (2016)'!$A$3,"MA_HT","DTL","MA_QH","DGT")</f>
        <v>0</v>
      </c>
      <c r="AC30" s="49" t="e">
        <f ca="1">$D30-$BF30</f>
        <v>#REF!</v>
      </c>
      <c r="AD30" s="50">
        <f ca="1">+GETPIVOTDATA("XXS4",'xuanson (2016)'!$A$3,"MA_HT","DTL","MA_QH","DNL")</f>
        <v>0</v>
      </c>
      <c r="AE30" s="50">
        <f ca="1">+GETPIVOTDATA("XXS4",'xuanson (2016)'!$A$3,"MA_HT","DTL","MA_QH","DBV")</f>
        <v>0</v>
      </c>
      <c r="AF30" s="50">
        <f ca="1">+GETPIVOTDATA("XXS4",'xuanson (2016)'!$A$3,"MA_HT","DTL","MA_QH","DVH")</f>
        <v>0</v>
      </c>
      <c r="AG30" s="50">
        <f ca="1">+GETPIVOTDATA("XXS4",'xuanson (2016)'!$A$3,"MA_HT","DTL","MA_QH","DYT")</f>
        <v>0</v>
      </c>
      <c r="AH30" s="50">
        <f ca="1">+GETPIVOTDATA("XXS4",'xuanson (2016)'!$A$3,"MA_HT","DTL","MA_QH","DGD")</f>
        <v>0</v>
      </c>
      <c r="AI30" s="50">
        <f ca="1">+GETPIVOTDATA("XXS4",'xuanson (2016)'!$A$3,"MA_HT","DTL","MA_QH","DTT")</f>
        <v>0</v>
      </c>
      <c r="AJ30" s="50">
        <f ca="1">+GETPIVOTDATA("XXS4",'xuanson (2016)'!$A$3,"MA_HT","DTL","MA_QH","NCK")</f>
        <v>0</v>
      </c>
      <c r="AK30" s="50">
        <f ca="1">+GETPIVOTDATA("XXS4",'xuanson (2016)'!$A$3,"MA_HT","DTL","MA_QH","DXH")</f>
        <v>0</v>
      </c>
      <c r="AL30" s="50">
        <f ca="1">+GETPIVOTDATA("XXS4",'xuanson (2016)'!$A$3,"MA_HT","DTL","MA_QH","DCH")</f>
        <v>0</v>
      </c>
      <c r="AM30" s="50">
        <f ca="1">+GETPIVOTDATA("XXS4",'xuanson (2016)'!$A$3,"MA_HT","DTL","MA_QH","DKG")</f>
        <v>0</v>
      </c>
      <c r="AN30" s="50">
        <f ca="1">+GETPIVOTDATA("XXS4",'xuanson (2016)'!$A$3,"MA_HT","DTL","MA_QH","DDT")</f>
        <v>0</v>
      </c>
      <c r="AO30" s="50">
        <f ca="1">+GETPIVOTDATA("XXS4",'xuanson (2016)'!$A$3,"MA_HT","DTL","MA_QH","DDL")</f>
        <v>0</v>
      </c>
      <c r="AP30" s="50">
        <f ca="1">+GETPIVOTDATA("XXS4",'xuanson (2016)'!$A$3,"MA_HT","DTL","MA_QH","DRA")</f>
        <v>0</v>
      </c>
      <c r="AQ30" s="50">
        <f ca="1">+GETPIVOTDATA("XXS4",'xuanson (2016)'!$A$3,"MA_HT","DTL","MA_QH","ONT")</f>
        <v>0</v>
      </c>
      <c r="AR30" s="50">
        <f ca="1">+GETPIVOTDATA("XXS4",'xuanson (2016)'!$A$3,"MA_HT","DTL","MA_QH","ODT")</f>
        <v>0</v>
      </c>
      <c r="AS30" s="50">
        <f ca="1">+GETPIVOTDATA("XXS4",'xuanson (2016)'!$A$3,"MA_HT","DTL","MA_QH","TSC")</f>
        <v>0</v>
      </c>
      <c r="AT30" s="50">
        <f ca="1">+GETPIVOTDATA("XXS4",'xuanson (2016)'!$A$3,"MA_HT","DTL","MA_QH","DTS")</f>
        <v>0</v>
      </c>
      <c r="AU30" s="50">
        <f ca="1">+GETPIVOTDATA("XXS4",'xuanson (2016)'!$A$3,"MA_HT","DTL","MA_QH","DNG")</f>
        <v>0</v>
      </c>
      <c r="AV30" s="50">
        <f ca="1">+GETPIVOTDATA("XXS4",'xuanson (2016)'!$A$3,"MA_HT","DTL","MA_QH","TON")</f>
        <v>0</v>
      </c>
      <c r="AW30" s="50">
        <f ca="1">+GETPIVOTDATA("XXS4",'xuanson (2016)'!$A$3,"MA_HT","DTL","MA_QH","NTD")</f>
        <v>0</v>
      </c>
      <c r="AX30" s="50">
        <f ca="1">+GETPIVOTDATA("XXS4",'xuanson (2016)'!$A$3,"MA_HT","DTL","MA_QH","SKX")</f>
        <v>0</v>
      </c>
      <c r="AY30" s="50">
        <f ca="1">+GETPIVOTDATA("XXS4",'xuanson (2016)'!$A$3,"MA_HT","DTL","MA_QH","DSH")</f>
        <v>0</v>
      </c>
      <c r="AZ30" s="50">
        <f ca="1">+GETPIVOTDATA("XXS4",'xuanson (2016)'!$A$3,"MA_HT","DTL","MA_QH","DKV")</f>
        <v>0</v>
      </c>
      <c r="BA30" s="88">
        <f ca="1">+GETPIVOTDATA("XXS4",'xuanson (2016)'!$A$3,"MA_HT","DTL","MA_QH","TIN")</f>
        <v>0</v>
      </c>
      <c r="BB30" s="50">
        <f ca="1">+GETPIVOTDATA("XXS4",'xuanson (2016)'!$A$3,"MA_HT","DTL","MA_QH","SON")</f>
        <v>0</v>
      </c>
      <c r="BC30" s="50">
        <f ca="1">+GETPIVOTDATA("XXS4",'xuanson (2016)'!$A$3,"MA_HT","DTL","MA_QH","MNC")</f>
        <v>0</v>
      </c>
      <c r="BD30" s="50">
        <f ca="1">+GETPIVOTDATA("XXS4",'xuanson (2016)'!$A$3,"MA_HT","DTL","MA_QH","PNK")</f>
        <v>0</v>
      </c>
      <c r="BE30" s="80">
        <f ca="1">+GETPIVOTDATA("XXS4",'xuanson (2016)'!$A$3,"MA_HT","DTL","MA_QH","CSD")</f>
        <v>0</v>
      </c>
      <c r="BF30" s="103">
        <f ca="1" t="shared" si="13"/>
        <v>0</v>
      </c>
      <c r="BG30" s="104">
        <f ca="1">AC$59-$BF30</f>
        <v>0</v>
      </c>
      <c r="BH30" s="47" t="e">
        <f ca="1" t="shared" si="14"/>
        <v>#REF!</v>
      </c>
      <c r="BI30" s="105"/>
      <c r="BJ30" s="105" t="e">
        <f>#REF!</f>
        <v>#REF!</v>
      </c>
      <c r="BK30" s="108" t="e">
        <f ca="1" t="shared" si="19"/>
        <v>#REF!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</row>
    <row r="31" s="4" customFormat="1" ht="16.5" customHeight="1" spans="1:79">
      <c r="A31" s="45" t="s">
        <v>723</v>
      </c>
      <c r="B31" s="45" t="s">
        <v>724</v>
      </c>
      <c r="C31" s="46" t="s">
        <v>93</v>
      </c>
      <c r="D31" s="47" t="e">
        <f>+#REF!</f>
        <v>#REF!</v>
      </c>
      <c r="E31" s="42">
        <f ca="1" t="shared" si="15"/>
        <v>0</v>
      </c>
      <c r="F31" s="52">
        <f ca="1" t="shared" si="9"/>
        <v>0</v>
      </c>
      <c r="G31" s="50">
        <f ca="1">+GETPIVOTDATA("XXS4",'xuanson (2016)'!$A$3,"MA_HT","DNL","MA_QH","LUC")</f>
        <v>0</v>
      </c>
      <c r="H31" s="50">
        <f ca="1">+GETPIVOTDATA("XXS4",'xuanson (2016)'!$A$3,"MA_HT","DNL","MA_QH","LUK")</f>
        <v>0</v>
      </c>
      <c r="I31" s="50">
        <f ca="1">+GETPIVOTDATA("XXS4",'xuanson (2016)'!$A$3,"MA_HT","DNL","MA_QH","LUN")</f>
        <v>0</v>
      </c>
      <c r="J31" s="50">
        <f ca="1">+GETPIVOTDATA("XXS4",'xuanson (2016)'!$A$3,"MA_HT","DNL","MA_QH","HNK")</f>
        <v>0</v>
      </c>
      <c r="K31" s="50">
        <f ca="1">+GETPIVOTDATA("XXS4",'xuanson (2016)'!$A$3,"MA_HT","DNL","MA_QH","CLN")</f>
        <v>0</v>
      </c>
      <c r="L31" s="50">
        <f ca="1">+GETPIVOTDATA("XXS4",'xuanson (2016)'!$A$3,"MA_HT","DNL","MA_QH","RSX")</f>
        <v>0</v>
      </c>
      <c r="M31" s="50">
        <f ca="1">+GETPIVOTDATA("XXS4",'xuanson (2016)'!$A$3,"MA_HT","DNL","MA_QH","RPH")</f>
        <v>0</v>
      </c>
      <c r="N31" s="50">
        <f ca="1">+GETPIVOTDATA("XXS4",'xuanson (2016)'!$A$3,"MA_HT","DNL","MA_QH","RDD")</f>
        <v>0</v>
      </c>
      <c r="O31" s="50">
        <f ca="1">+GETPIVOTDATA("XXS4",'xuanson (2016)'!$A$3,"MA_HT","DNL","MA_QH","NTS")</f>
        <v>0</v>
      </c>
      <c r="P31" s="50">
        <f ca="1">+GETPIVOTDATA("XXS4",'xuanson (2016)'!$A$3,"MA_HT","DNL","MA_QH","LMU")</f>
        <v>0</v>
      </c>
      <c r="Q31" s="50">
        <f ca="1">+GETPIVOTDATA("XXS4",'xuanson (2016)'!$A$3,"MA_HT","DNL","MA_QH","NKH")</f>
        <v>0</v>
      </c>
      <c r="R31" s="48">
        <f ca="1" t="shared" si="20"/>
        <v>0</v>
      </c>
      <c r="S31" s="50">
        <f ca="1">+GETPIVOTDATA("XXS4",'xuanson (2016)'!$A$3,"MA_HT","DNL","MA_QH","CQP")</f>
        <v>0</v>
      </c>
      <c r="T31" s="50">
        <f ca="1">+GETPIVOTDATA("XXS4",'xuanson (2016)'!$A$3,"MA_HT","DNL","MA_QH","CAN")</f>
        <v>0</v>
      </c>
      <c r="U31" s="50">
        <f ca="1">+GETPIVOTDATA("XXS4",'xuanson (2016)'!$A$3,"MA_HT","DNL","MA_QH","SKK")</f>
        <v>0</v>
      </c>
      <c r="V31" s="50">
        <f ca="1">+GETPIVOTDATA("XXS4",'xuanson (2016)'!$A$3,"MA_HT","DNL","MA_QH","SKT")</f>
        <v>0</v>
      </c>
      <c r="W31" s="50">
        <f ca="1">+GETPIVOTDATA("XXS4",'xuanson (2016)'!$A$3,"MA_HT","DNL","MA_QH","SKN")</f>
        <v>0</v>
      </c>
      <c r="X31" s="50">
        <f ca="1">+GETPIVOTDATA("XXS4",'xuanson (2016)'!$A$3,"MA_HT","DNL","MA_QH","TMD")</f>
        <v>0</v>
      </c>
      <c r="Y31" s="50">
        <f ca="1">+GETPIVOTDATA("XXS4",'xuanson (2016)'!$A$3,"MA_HT","DNL","MA_QH","SKC")</f>
        <v>0</v>
      </c>
      <c r="Z31" s="50">
        <f ca="1">+GETPIVOTDATA("XXS4",'xuanson (2016)'!$A$3,"MA_HT","DNL","MA_QH","SKS")</f>
        <v>0</v>
      </c>
      <c r="AA31" s="52">
        <f ca="1">+SUM(AB31:AC31,AE31:AM31)</f>
        <v>0</v>
      </c>
      <c r="AB31" s="50">
        <f ca="1">+GETPIVOTDATA("XXS4",'xuanson (2016)'!$A$3,"MA_HT","DNL","MA_QH","DGT")</f>
        <v>0</v>
      </c>
      <c r="AC31" s="50">
        <f ca="1">+GETPIVOTDATA("XXS4",'xuanson (2016)'!$A$3,"MA_HT","DNL","MA_QH","DTL")</f>
        <v>0</v>
      </c>
      <c r="AD31" s="49" t="e">
        <f ca="1">$D31-$BF31</f>
        <v>#REF!</v>
      </c>
      <c r="AE31" s="50">
        <f ca="1">+GETPIVOTDATA("XXS4",'xuanson (2016)'!$A$3,"MA_HT","DNL","MA_QH","DBV")</f>
        <v>0</v>
      </c>
      <c r="AF31" s="50">
        <f ca="1">+GETPIVOTDATA("XXS4",'xuanson (2016)'!$A$3,"MA_HT","DNL","MA_QH","DVH")</f>
        <v>0</v>
      </c>
      <c r="AG31" s="50">
        <f ca="1">+GETPIVOTDATA("XXS4",'xuanson (2016)'!$A$3,"MA_HT","DNL","MA_QH","DYT")</f>
        <v>0</v>
      </c>
      <c r="AH31" s="50">
        <f ca="1">+GETPIVOTDATA("XXS4",'xuanson (2016)'!$A$3,"MA_HT","DNL","MA_QH","DGD")</f>
        <v>0</v>
      </c>
      <c r="AI31" s="50">
        <f ca="1">+GETPIVOTDATA("XXS4",'xuanson (2016)'!$A$3,"MA_HT","DNL","MA_QH","DTT")</f>
        <v>0</v>
      </c>
      <c r="AJ31" s="50">
        <f ca="1">+GETPIVOTDATA("XXS4",'xuanson (2016)'!$A$3,"MA_HT","DNL","MA_QH","NCK")</f>
        <v>0</v>
      </c>
      <c r="AK31" s="50">
        <f ca="1">+GETPIVOTDATA("XXS4",'xuanson (2016)'!$A$3,"MA_HT","DNL","MA_QH","DXH")</f>
        <v>0</v>
      </c>
      <c r="AL31" s="50">
        <f ca="1">+GETPIVOTDATA("XXS4",'xuanson (2016)'!$A$3,"MA_HT","DNL","MA_QH","DCH")</f>
        <v>0</v>
      </c>
      <c r="AM31" s="50">
        <f ca="1">+GETPIVOTDATA("XXS4",'xuanson (2016)'!$A$3,"MA_HT","DNL","MA_QH","DKG")</f>
        <v>0</v>
      </c>
      <c r="AN31" s="50">
        <f ca="1">+GETPIVOTDATA("XXS4",'xuanson (2016)'!$A$3,"MA_HT","DNL","MA_QH","DDT")</f>
        <v>0</v>
      </c>
      <c r="AO31" s="50">
        <f ca="1">+GETPIVOTDATA("XXS4",'xuanson (2016)'!$A$3,"MA_HT","DNL","MA_QH","DDL")</f>
        <v>0</v>
      </c>
      <c r="AP31" s="50">
        <f ca="1">+GETPIVOTDATA("XXS4",'xuanson (2016)'!$A$3,"MA_HT","DNL","MA_QH","DRA")</f>
        <v>0</v>
      </c>
      <c r="AQ31" s="50">
        <f ca="1">+GETPIVOTDATA("XXS4",'xuanson (2016)'!$A$3,"MA_HT","DNL","MA_QH","ONT")</f>
        <v>0</v>
      </c>
      <c r="AR31" s="50">
        <f ca="1">+GETPIVOTDATA("XXS4",'xuanson (2016)'!$A$3,"MA_HT","DNL","MA_QH","ODT")</f>
        <v>0</v>
      </c>
      <c r="AS31" s="50">
        <f ca="1">+GETPIVOTDATA("XXS4",'xuanson (2016)'!$A$3,"MA_HT","DNL","MA_QH","TSC")</f>
        <v>0</v>
      </c>
      <c r="AT31" s="50">
        <f ca="1">+GETPIVOTDATA("XXS4",'xuanson (2016)'!$A$3,"MA_HT","DNL","MA_QH","DTS")</f>
        <v>0</v>
      </c>
      <c r="AU31" s="50">
        <f ca="1">+GETPIVOTDATA("XXS4",'xuanson (2016)'!$A$3,"MA_HT","DNL","MA_QH","DNG")</f>
        <v>0</v>
      </c>
      <c r="AV31" s="50">
        <f ca="1">+GETPIVOTDATA("XXS4",'xuanson (2016)'!$A$3,"MA_HT","DNL","MA_QH","TON")</f>
        <v>0</v>
      </c>
      <c r="AW31" s="50">
        <f ca="1">+GETPIVOTDATA("XXS4",'xuanson (2016)'!$A$3,"MA_HT","DNL","MA_QH","NTD")</f>
        <v>0</v>
      </c>
      <c r="AX31" s="50">
        <f ca="1">+GETPIVOTDATA("XXS4",'xuanson (2016)'!$A$3,"MA_HT","DNL","MA_QH","SKX")</f>
        <v>0</v>
      </c>
      <c r="AY31" s="50">
        <f ca="1">+GETPIVOTDATA("XXS4",'xuanson (2016)'!$A$3,"MA_HT","DNL","MA_QH","DSH")</f>
        <v>0</v>
      </c>
      <c r="AZ31" s="50">
        <f ca="1">+GETPIVOTDATA("XXS4",'xuanson (2016)'!$A$3,"MA_HT","DNL","MA_QH","DKV")</f>
        <v>0</v>
      </c>
      <c r="BA31" s="88">
        <f ca="1">+GETPIVOTDATA("XXS4",'xuanson (2016)'!$A$3,"MA_HT","DNL","MA_QH","TIN")</f>
        <v>0</v>
      </c>
      <c r="BB31" s="50">
        <f ca="1">+GETPIVOTDATA("XXS4",'xuanson (2016)'!$A$3,"MA_HT","DNL","MA_QH","SON")</f>
        <v>0</v>
      </c>
      <c r="BC31" s="50">
        <f ca="1">+GETPIVOTDATA("XXS4",'xuanson (2016)'!$A$3,"MA_HT","DNL","MA_QH","MNC")</f>
        <v>0</v>
      </c>
      <c r="BD31" s="50">
        <f ca="1">+GETPIVOTDATA("XXS4",'xuanson (2016)'!$A$3,"MA_HT","DNL","MA_QH","PNK")</f>
        <v>0</v>
      </c>
      <c r="BE31" s="80">
        <f ca="1">+GETPIVOTDATA("XXS4",'xuanson (2016)'!$A$3,"MA_HT","DNL","MA_QH","CSD")</f>
        <v>0</v>
      </c>
      <c r="BF31" s="103">
        <f ca="1" t="shared" si="13"/>
        <v>0</v>
      </c>
      <c r="BG31" s="104">
        <f ca="1">AD$59-$BF31</f>
        <v>0</v>
      </c>
      <c r="BH31" s="47" t="e">
        <f ca="1" t="shared" si="14"/>
        <v>#REF!</v>
      </c>
      <c r="BI31" s="105"/>
      <c r="BJ31" s="105" t="e">
        <f>#REF!</f>
        <v>#REF!</v>
      </c>
      <c r="BK31" s="108" t="e">
        <f ca="1" t="shared" si="19"/>
        <v>#REF!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</row>
    <row r="32" s="4" customFormat="1" ht="16.5" customHeight="1" spans="1:79">
      <c r="A32" s="45" t="s">
        <v>725</v>
      </c>
      <c r="B32" s="45" t="s">
        <v>726</v>
      </c>
      <c r="C32" s="46" t="s">
        <v>95</v>
      </c>
      <c r="D32" s="47" t="e">
        <f>+#REF!</f>
        <v>#REF!</v>
      </c>
      <c r="E32" s="42">
        <f ca="1" t="shared" si="15"/>
        <v>0</v>
      </c>
      <c r="F32" s="52">
        <f ca="1" t="shared" si="9"/>
        <v>0</v>
      </c>
      <c r="G32" s="50">
        <f ca="1">+GETPIVOTDATA("XXS4",'xuanson (2016)'!$A$3,"MA_HT","DBV","MA_QH","LUC")</f>
        <v>0</v>
      </c>
      <c r="H32" s="50">
        <f ca="1">+GETPIVOTDATA("XXS4",'xuanson (2016)'!$A$3,"MA_HT","DBV","MA_QH","LUK")</f>
        <v>0</v>
      </c>
      <c r="I32" s="50">
        <f ca="1">+GETPIVOTDATA("XXS4",'xuanson (2016)'!$A$3,"MA_HT","DBV","MA_QH","LUN")</f>
        <v>0</v>
      </c>
      <c r="J32" s="50">
        <f ca="1">+GETPIVOTDATA("XXS4",'xuanson (2016)'!$A$3,"MA_HT","DBV","MA_QH","HNK")</f>
        <v>0</v>
      </c>
      <c r="K32" s="50">
        <f ca="1">+GETPIVOTDATA("XXS4",'xuanson (2016)'!$A$3,"MA_HT","DBV","MA_QH","CLN")</f>
        <v>0</v>
      </c>
      <c r="L32" s="50">
        <f ca="1">+GETPIVOTDATA("XXS4",'xuanson (2016)'!$A$3,"MA_HT","DBV","MA_QH","RSX")</f>
        <v>0</v>
      </c>
      <c r="M32" s="50">
        <f ca="1">+GETPIVOTDATA("XXS4",'xuanson (2016)'!$A$3,"MA_HT","DBV","MA_QH","RPH")</f>
        <v>0</v>
      </c>
      <c r="N32" s="50">
        <f ca="1">+GETPIVOTDATA("XXS4",'xuanson (2016)'!$A$3,"MA_HT","DBV","MA_QH","RDD")</f>
        <v>0</v>
      </c>
      <c r="O32" s="50">
        <f ca="1">+GETPIVOTDATA("XXS4",'xuanson (2016)'!$A$3,"MA_HT","DBV","MA_QH","NTS")</f>
        <v>0</v>
      </c>
      <c r="P32" s="50">
        <f ca="1">+GETPIVOTDATA("XXS4",'xuanson (2016)'!$A$3,"MA_HT","DBV","MA_QH","LMU")</f>
        <v>0</v>
      </c>
      <c r="Q32" s="50">
        <f ca="1">+GETPIVOTDATA("XXS4",'xuanson (2016)'!$A$3,"MA_HT","DBV","MA_QH","NKH")</f>
        <v>0</v>
      </c>
      <c r="R32" s="48">
        <f ca="1" t="shared" si="20"/>
        <v>0</v>
      </c>
      <c r="S32" s="50">
        <f ca="1">+GETPIVOTDATA("XXS4",'xuanson (2016)'!$A$3,"MA_HT","DBV","MA_QH","CQP")</f>
        <v>0</v>
      </c>
      <c r="T32" s="50">
        <f ca="1">+GETPIVOTDATA("XXS4",'xuanson (2016)'!$A$3,"MA_HT","DBV","MA_QH","CAN")</f>
        <v>0</v>
      </c>
      <c r="U32" s="50">
        <f ca="1">+GETPIVOTDATA("XXS4",'xuanson (2016)'!$A$3,"MA_HT","DBV","MA_QH","SKK")</f>
        <v>0</v>
      </c>
      <c r="V32" s="50">
        <f ca="1">+GETPIVOTDATA("XXS4",'xuanson (2016)'!$A$3,"MA_HT","DBV","MA_QH","SKT")</f>
        <v>0</v>
      </c>
      <c r="W32" s="50">
        <f ca="1">+GETPIVOTDATA("XXS4",'xuanson (2016)'!$A$3,"MA_HT","DBV","MA_QH","SKN")</f>
        <v>0</v>
      </c>
      <c r="X32" s="50">
        <f ca="1">+GETPIVOTDATA("XXS4",'xuanson (2016)'!$A$3,"MA_HT","DBV","MA_QH","TMD")</f>
        <v>0</v>
      </c>
      <c r="Y32" s="50">
        <f ca="1">+GETPIVOTDATA("XXS4",'xuanson (2016)'!$A$3,"MA_HT","DBV","MA_QH","SKC")</f>
        <v>0</v>
      </c>
      <c r="Z32" s="50">
        <f ca="1">+GETPIVOTDATA("XXS4",'xuanson (2016)'!$A$3,"MA_HT","DBV","MA_QH","SKS")</f>
        <v>0</v>
      </c>
      <c r="AA32" s="52">
        <f ca="1">+SUM(AB32:AD32,AF32:AM32)</f>
        <v>0</v>
      </c>
      <c r="AB32" s="50">
        <f ca="1">+GETPIVOTDATA("XXS4",'xuanson (2016)'!$A$3,"MA_HT","DBV","MA_QH","DGT")</f>
        <v>0</v>
      </c>
      <c r="AC32" s="50">
        <f ca="1">+GETPIVOTDATA("XXS4",'xuanson (2016)'!$A$3,"MA_HT","DBV","MA_QH","DTL")</f>
        <v>0</v>
      </c>
      <c r="AD32" s="50">
        <f ca="1">+GETPIVOTDATA("XXS4",'xuanson (2016)'!$A$3,"MA_HT","DBV","MA_QH","DNL")</f>
        <v>0</v>
      </c>
      <c r="AE32" s="49" t="e">
        <f ca="1">$D32-$BF32</f>
        <v>#REF!</v>
      </c>
      <c r="AF32" s="50">
        <f ca="1">+GETPIVOTDATA("XXS4",'xuanson (2016)'!$A$3,"MA_HT","DBV","MA_QH","DVH")</f>
        <v>0</v>
      </c>
      <c r="AG32" s="50">
        <f ca="1">+GETPIVOTDATA("XXS4",'xuanson (2016)'!$A$3,"MA_HT","DBV","MA_QH","DYT")</f>
        <v>0</v>
      </c>
      <c r="AH32" s="50">
        <f ca="1">+GETPIVOTDATA("XXS4",'xuanson (2016)'!$A$3,"MA_HT","DBV","MA_QH","DGD")</f>
        <v>0</v>
      </c>
      <c r="AI32" s="50">
        <f ca="1">+GETPIVOTDATA("XXS4",'xuanson (2016)'!$A$3,"MA_HT","DBV","MA_QH","DTT")</f>
        <v>0</v>
      </c>
      <c r="AJ32" s="50">
        <f ca="1">+GETPIVOTDATA("XXS4",'xuanson (2016)'!$A$3,"MA_HT","DBV","MA_QH","NCK")</f>
        <v>0</v>
      </c>
      <c r="AK32" s="50">
        <f ca="1">+GETPIVOTDATA("XXS4",'xuanson (2016)'!$A$3,"MA_HT","DBV","MA_QH","DXH")</f>
        <v>0</v>
      </c>
      <c r="AL32" s="50">
        <f ca="1">+GETPIVOTDATA("XXS4",'xuanson (2016)'!$A$3,"MA_HT","DBV","MA_QH","DCH")</f>
        <v>0</v>
      </c>
      <c r="AM32" s="50">
        <f ca="1">+GETPIVOTDATA("XXS4",'xuanson (2016)'!$A$3,"MA_HT","DBV","MA_QH","DKG")</f>
        <v>0</v>
      </c>
      <c r="AN32" s="50">
        <f ca="1">+GETPIVOTDATA("XXS4",'xuanson (2016)'!$A$3,"MA_HT","DBV","MA_QH","DDT")</f>
        <v>0</v>
      </c>
      <c r="AO32" s="50">
        <f ca="1">+GETPIVOTDATA("XXS4",'xuanson (2016)'!$A$3,"MA_HT","DBV","MA_QH","DDL")</f>
        <v>0</v>
      </c>
      <c r="AP32" s="50">
        <f ca="1">+GETPIVOTDATA("XXS4",'xuanson (2016)'!$A$3,"MA_HT","DBV","MA_QH","DRA")</f>
        <v>0</v>
      </c>
      <c r="AQ32" s="50">
        <f ca="1">+GETPIVOTDATA("XXS4",'xuanson (2016)'!$A$3,"MA_HT","DBV","MA_QH","ONT")</f>
        <v>0</v>
      </c>
      <c r="AR32" s="50">
        <f ca="1">+GETPIVOTDATA("XXS4",'xuanson (2016)'!$A$3,"MA_HT","DBV","MA_QH","ODT")</f>
        <v>0</v>
      </c>
      <c r="AS32" s="50">
        <f ca="1">+GETPIVOTDATA("XXS4",'xuanson (2016)'!$A$3,"MA_HT","DBV","MA_QH","TSC")</f>
        <v>0</v>
      </c>
      <c r="AT32" s="50">
        <f ca="1">+GETPIVOTDATA("XXS4",'xuanson (2016)'!$A$3,"MA_HT","DBV","MA_QH","DTS")</f>
        <v>0</v>
      </c>
      <c r="AU32" s="50">
        <f ca="1">+GETPIVOTDATA("XXS4",'xuanson (2016)'!$A$3,"MA_HT","DBV","MA_QH","DNG")</f>
        <v>0</v>
      </c>
      <c r="AV32" s="50">
        <f ca="1">+GETPIVOTDATA("XXS4",'xuanson (2016)'!$A$3,"MA_HT","DBV","MA_QH","TON")</f>
        <v>0</v>
      </c>
      <c r="AW32" s="50">
        <f ca="1">+GETPIVOTDATA("XXS4",'xuanson (2016)'!$A$3,"MA_HT","DBV","MA_QH","NTD")</f>
        <v>0</v>
      </c>
      <c r="AX32" s="50">
        <f ca="1">+GETPIVOTDATA("XXS4",'xuanson (2016)'!$A$3,"MA_HT","DBV","MA_QH","SKX")</f>
        <v>0</v>
      </c>
      <c r="AY32" s="50">
        <f ca="1">+GETPIVOTDATA("XXS4",'xuanson (2016)'!$A$3,"MA_HT","DBV","MA_QH","DSH")</f>
        <v>0</v>
      </c>
      <c r="AZ32" s="50">
        <f ca="1">+GETPIVOTDATA("XXS4",'xuanson (2016)'!$A$3,"MA_HT","DBV","MA_QH","DKV")</f>
        <v>0</v>
      </c>
      <c r="BA32" s="88">
        <f ca="1">+GETPIVOTDATA("XXS4",'xuanson (2016)'!$A$3,"MA_HT","DBV","MA_QH","TIN")</f>
        <v>0</v>
      </c>
      <c r="BB32" s="50">
        <f ca="1">+GETPIVOTDATA("XXS4",'xuanson (2016)'!$A$3,"MA_HT","DBV","MA_QH","SON")</f>
        <v>0</v>
      </c>
      <c r="BC32" s="50">
        <f ca="1">+GETPIVOTDATA("XXS4",'xuanson (2016)'!$A$3,"MA_HT","DBV","MA_QH","MNC")</f>
        <v>0</v>
      </c>
      <c r="BD32" s="50">
        <f ca="1">+GETPIVOTDATA("XXS4",'xuanson (2016)'!$A$3,"MA_HT","DBV","MA_QH","PNK")</f>
        <v>0</v>
      </c>
      <c r="BE32" s="80">
        <f ca="1">+GETPIVOTDATA("XXS4",'xuanson (2016)'!$A$3,"MA_HT","DBV","MA_QH","CSD")</f>
        <v>0</v>
      </c>
      <c r="BF32" s="103">
        <f ca="1" t="shared" si="13"/>
        <v>0</v>
      </c>
      <c r="BG32" s="104">
        <f ca="1">AE$59-$BF32</f>
        <v>0</v>
      </c>
      <c r="BH32" s="47" t="e">
        <f ca="1" t="shared" si="14"/>
        <v>#REF!</v>
      </c>
      <c r="BI32" s="105"/>
      <c r="BJ32" s="105" t="e">
        <f>#REF!</f>
        <v>#REF!</v>
      </c>
      <c r="BK32" s="108" t="e">
        <f ca="1" t="shared" si="19"/>
        <v>#REF!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</row>
    <row r="33" s="4" customFormat="1" ht="16.5" customHeight="1" spans="1:79">
      <c r="A33" s="45" t="s">
        <v>727</v>
      </c>
      <c r="B33" s="45" t="s">
        <v>728</v>
      </c>
      <c r="C33" s="46" t="s">
        <v>85</v>
      </c>
      <c r="D33" s="47" t="e">
        <f>+#REF!</f>
        <v>#REF!</v>
      </c>
      <c r="E33" s="42">
        <f ca="1" t="shared" si="15"/>
        <v>0</v>
      </c>
      <c r="F33" s="52">
        <f ca="1" t="shared" si="9"/>
        <v>0</v>
      </c>
      <c r="G33" s="50">
        <f ca="1">+GETPIVOTDATA("XXS4",'xuanson (2016)'!$A$3,"MA_HT","DVH","MA_QH","LUC")</f>
        <v>0</v>
      </c>
      <c r="H33" s="50">
        <f ca="1">+GETPIVOTDATA("XXS4",'xuanson (2016)'!$A$3,"MA_HT","DVH","MA_QH","LUK")</f>
        <v>0</v>
      </c>
      <c r="I33" s="50">
        <f ca="1">+GETPIVOTDATA("XXS4",'xuanson (2016)'!$A$3,"MA_HT","DVH","MA_QH","LUN")</f>
        <v>0</v>
      </c>
      <c r="J33" s="50">
        <f ca="1">+GETPIVOTDATA("XXS4",'xuanson (2016)'!$A$3,"MA_HT","DVH","MA_QH","HNK")</f>
        <v>0</v>
      </c>
      <c r="K33" s="50">
        <f ca="1">+GETPIVOTDATA("XXS4",'xuanson (2016)'!$A$3,"MA_HT","DVH","MA_QH","CLN")</f>
        <v>0</v>
      </c>
      <c r="L33" s="50">
        <f ca="1">+GETPIVOTDATA("XXS4",'xuanson (2016)'!$A$3,"MA_HT","DVH","MA_QH","RSX")</f>
        <v>0</v>
      </c>
      <c r="M33" s="50">
        <f ca="1">+GETPIVOTDATA("XXS4",'xuanson (2016)'!$A$3,"MA_HT","DVH","MA_QH","RPH")</f>
        <v>0</v>
      </c>
      <c r="N33" s="50">
        <f ca="1">+GETPIVOTDATA("XXS4",'xuanson (2016)'!$A$3,"MA_HT","DVH","MA_QH","RDD")</f>
        <v>0</v>
      </c>
      <c r="O33" s="50">
        <f ca="1">+GETPIVOTDATA("XXS4",'xuanson (2016)'!$A$3,"MA_HT","DVH","MA_QH","NTS")</f>
        <v>0</v>
      </c>
      <c r="P33" s="50">
        <f ca="1">+GETPIVOTDATA("XXS4",'xuanson (2016)'!$A$3,"MA_HT","DVH","MA_QH","LMU")</f>
        <v>0</v>
      </c>
      <c r="Q33" s="50">
        <f ca="1">+GETPIVOTDATA("XXS4",'xuanson (2016)'!$A$3,"MA_HT","DVH","MA_QH","NKH")</f>
        <v>0</v>
      </c>
      <c r="R33" s="48">
        <f ca="1" t="shared" si="20"/>
        <v>0</v>
      </c>
      <c r="S33" s="50">
        <f ca="1">+GETPIVOTDATA("XXS4",'xuanson (2016)'!$A$3,"MA_HT","DVH","MA_QH","CQP")</f>
        <v>0</v>
      </c>
      <c r="T33" s="50">
        <f ca="1">+GETPIVOTDATA("XXS4",'xuanson (2016)'!$A$3,"MA_HT","DVH","MA_QH","CAN")</f>
        <v>0</v>
      </c>
      <c r="U33" s="50">
        <f ca="1">+GETPIVOTDATA("XXS4",'xuanson (2016)'!$A$3,"MA_HT","DVH","MA_QH","SKK")</f>
        <v>0</v>
      </c>
      <c r="V33" s="50">
        <f ca="1">+GETPIVOTDATA("XXS4",'xuanson (2016)'!$A$3,"MA_HT","DVH","MA_QH","SKT")</f>
        <v>0</v>
      </c>
      <c r="W33" s="50">
        <f ca="1">+GETPIVOTDATA("XXS4",'xuanson (2016)'!$A$3,"MA_HT","DVH","MA_QH","SKN")</f>
        <v>0</v>
      </c>
      <c r="X33" s="50">
        <f ca="1">+GETPIVOTDATA("XXS4",'xuanson (2016)'!$A$3,"MA_HT","DVH","MA_QH","TMD")</f>
        <v>0</v>
      </c>
      <c r="Y33" s="50">
        <f ca="1">+GETPIVOTDATA("XXS4",'xuanson (2016)'!$A$3,"MA_HT","DVH","MA_QH","SKC")</f>
        <v>0</v>
      </c>
      <c r="Z33" s="50">
        <f ca="1">+GETPIVOTDATA("XXS4",'xuanson (2016)'!$A$3,"MA_HT","DVH","MA_QH","SKS")</f>
        <v>0</v>
      </c>
      <c r="AA33" s="52">
        <f ca="1">+SUM(AB33:AE33,AG33:AM33)</f>
        <v>0</v>
      </c>
      <c r="AB33" s="50">
        <f ca="1">+GETPIVOTDATA("XXS4",'xuanson (2016)'!$A$3,"MA_HT","DVH","MA_QH","DGT")</f>
        <v>0</v>
      </c>
      <c r="AC33" s="50">
        <f ca="1">+GETPIVOTDATA("XXS4",'xuanson (2016)'!$A$3,"MA_HT","DVH","MA_QH","DTL")</f>
        <v>0</v>
      </c>
      <c r="AD33" s="50">
        <f ca="1">+GETPIVOTDATA("XXS4",'xuanson (2016)'!$A$3,"MA_HT","DVH","MA_QH","DNL")</f>
        <v>0</v>
      </c>
      <c r="AE33" s="50">
        <f ca="1">+GETPIVOTDATA("XXS4",'xuanson (2016)'!$A$3,"MA_HT","DVH","MA_QH","DBV")</f>
        <v>0</v>
      </c>
      <c r="AF33" s="49" t="e">
        <f ca="1">$D33-$BF33</f>
        <v>#REF!</v>
      </c>
      <c r="AG33" s="50">
        <f ca="1">+GETPIVOTDATA("XXS4",'xuanson (2016)'!$A$3,"MA_HT","DVH","MA_QH","DYT")</f>
        <v>0</v>
      </c>
      <c r="AH33" s="50">
        <f ca="1">+GETPIVOTDATA("XXS4",'xuanson (2016)'!$A$3,"MA_HT","DVH","MA_QH","DGD")</f>
        <v>0</v>
      </c>
      <c r="AI33" s="50">
        <f ca="1">+GETPIVOTDATA("XXS4",'xuanson (2016)'!$A$3,"MA_HT","DVH","MA_QH","DTT")</f>
        <v>0</v>
      </c>
      <c r="AJ33" s="50">
        <f ca="1">+GETPIVOTDATA("XXS4",'xuanson (2016)'!$A$3,"MA_HT","DVH","MA_QH","NCK")</f>
        <v>0</v>
      </c>
      <c r="AK33" s="50">
        <f ca="1">+GETPIVOTDATA("XXS4",'xuanson (2016)'!$A$3,"MA_HT","DVH","MA_QH","DXH")</f>
        <v>0</v>
      </c>
      <c r="AL33" s="50">
        <f ca="1">+GETPIVOTDATA("XXS4",'xuanson (2016)'!$A$3,"MA_HT","DVH","MA_QH","DCH")</f>
        <v>0</v>
      </c>
      <c r="AM33" s="50">
        <f ca="1">+GETPIVOTDATA("XXS4",'xuanson (2016)'!$A$3,"MA_HT","DVH","MA_QH","DKG")</f>
        <v>0</v>
      </c>
      <c r="AN33" s="50">
        <f ca="1">+GETPIVOTDATA("XXS4",'xuanson (2016)'!$A$3,"MA_HT","DVH","MA_QH","DDT")</f>
        <v>0</v>
      </c>
      <c r="AO33" s="50">
        <f ca="1">+GETPIVOTDATA("XXS4",'xuanson (2016)'!$A$3,"MA_HT","DVH","MA_QH","DDL")</f>
        <v>0</v>
      </c>
      <c r="AP33" s="50">
        <f ca="1">+GETPIVOTDATA("XXS4",'xuanson (2016)'!$A$3,"MA_HT","DVH","MA_QH","DRA")</f>
        <v>0</v>
      </c>
      <c r="AQ33" s="50">
        <f ca="1">+GETPIVOTDATA("XXS4",'xuanson (2016)'!$A$3,"MA_HT","DVH","MA_QH","ONT")</f>
        <v>0</v>
      </c>
      <c r="AR33" s="50">
        <f ca="1">+GETPIVOTDATA("XXS4",'xuanson (2016)'!$A$3,"MA_HT","DVH","MA_QH","ODT")</f>
        <v>0</v>
      </c>
      <c r="AS33" s="50">
        <f ca="1">+GETPIVOTDATA("XXS4",'xuanson (2016)'!$A$3,"MA_HT","DVH","MA_QH","TSC")</f>
        <v>0</v>
      </c>
      <c r="AT33" s="50">
        <f ca="1">+GETPIVOTDATA("XXS4",'xuanson (2016)'!$A$3,"MA_HT","DVH","MA_QH","DTS")</f>
        <v>0</v>
      </c>
      <c r="AU33" s="50">
        <f ca="1">+GETPIVOTDATA("XXS4",'xuanson (2016)'!$A$3,"MA_HT","DVH","MA_QH","DNG")</f>
        <v>0</v>
      </c>
      <c r="AV33" s="50">
        <f ca="1">+GETPIVOTDATA("XXS4",'xuanson (2016)'!$A$3,"MA_HT","DVH","MA_QH","TON")</f>
        <v>0</v>
      </c>
      <c r="AW33" s="50">
        <f ca="1">+GETPIVOTDATA("XXS4",'xuanson (2016)'!$A$3,"MA_HT","DVH","MA_QH","NTD")</f>
        <v>0</v>
      </c>
      <c r="AX33" s="50">
        <f ca="1">+GETPIVOTDATA("XXS4",'xuanson (2016)'!$A$3,"MA_HT","DVH","MA_QH","SKX")</f>
        <v>0</v>
      </c>
      <c r="AY33" s="50">
        <f ca="1">+GETPIVOTDATA("XXS4",'xuanson (2016)'!$A$3,"MA_HT","DVH","MA_QH","DSH")</f>
        <v>0</v>
      </c>
      <c r="AZ33" s="50">
        <f ca="1">+GETPIVOTDATA("XXS4",'xuanson (2016)'!$A$3,"MA_HT","DVH","MA_QH","DKV")</f>
        <v>0</v>
      </c>
      <c r="BA33" s="88">
        <f ca="1">+GETPIVOTDATA("XXS4",'xuanson (2016)'!$A$3,"MA_HT","DVH","MA_QH","TIN")</f>
        <v>0</v>
      </c>
      <c r="BB33" s="50">
        <f ca="1">+GETPIVOTDATA("XXS4",'xuanson (2016)'!$A$3,"MA_HT","DVH","MA_QH","SON")</f>
        <v>0</v>
      </c>
      <c r="BC33" s="50">
        <f ca="1">+GETPIVOTDATA("XXS4",'xuanson (2016)'!$A$3,"MA_HT","DVH","MA_QH","MNC")</f>
        <v>0</v>
      </c>
      <c r="BD33" s="50">
        <f ca="1">+GETPIVOTDATA("XXS4",'xuanson (2016)'!$A$3,"MA_HT","DVH","MA_QH","PNK")</f>
        <v>0</v>
      </c>
      <c r="BE33" s="80">
        <f ca="1">+GETPIVOTDATA("XXS4",'xuanson (2016)'!$A$3,"MA_HT","DVH","MA_QH","CSD")</f>
        <v>0</v>
      </c>
      <c r="BF33" s="103">
        <f ca="1" t="shared" si="13"/>
        <v>0</v>
      </c>
      <c r="BG33" s="104">
        <f ca="1">AF$59-$BF33</f>
        <v>0</v>
      </c>
      <c r="BH33" s="47" t="e">
        <f ca="1" t="shared" si="14"/>
        <v>#REF!</v>
      </c>
      <c r="BI33" s="105"/>
      <c r="BJ33" s="105" t="e">
        <f>#REF!</f>
        <v>#REF!</v>
      </c>
      <c r="BK33" s="108" t="e">
        <f ca="1" t="shared" si="19"/>
        <v>#REF!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="4" customFormat="1" ht="16.5" customHeight="1" spans="1:79">
      <c r="A34" s="45" t="s">
        <v>729</v>
      </c>
      <c r="B34" s="45" t="s">
        <v>730</v>
      </c>
      <c r="C34" s="46" t="s">
        <v>87</v>
      </c>
      <c r="D34" s="47" t="e">
        <f>+#REF!</f>
        <v>#REF!</v>
      </c>
      <c r="E34" s="42">
        <f ca="1" t="shared" si="15"/>
        <v>0</v>
      </c>
      <c r="F34" s="52">
        <f ca="1" t="shared" si="9"/>
        <v>0</v>
      </c>
      <c r="G34" s="50">
        <f ca="1">+GETPIVOTDATA("XXS4",'xuanson (2016)'!$A$3,"MA_HT","DYT","MA_QH","LUC")</f>
        <v>0</v>
      </c>
      <c r="H34" s="50">
        <f ca="1">+GETPIVOTDATA("XXS4",'xuanson (2016)'!$A$3,"MA_HT","DYT","MA_QH","LUK")</f>
        <v>0</v>
      </c>
      <c r="I34" s="50">
        <f ca="1">+GETPIVOTDATA("XXS4",'xuanson (2016)'!$A$3,"MA_HT","DYT","MA_QH","LUN")</f>
        <v>0</v>
      </c>
      <c r="J34" s="50">
        <f ca="1">+GETPIVOTDATA("XXS4",'xuanson (2016)'!$A$3,"MA_HT","DYT","MA_QH","HNK")</f>
        <v>0</v>
      </c>
      <c r="K34" s="50">
        <f ca="1">+GETPIVOTDATA("XXS4",'xuanson (2016)'!$A$3,"MA_HT","DYT","MA_QH","CLN")</f>
        <v>0</v>
      </c>
      <c r="L34" s="50">
        <f ca="1">+GETPIVOTDATA("XXS4",'xuanson (2016)'!$A$3,"MA_HT","DYT","MA_QH","RSX")</f>
        <v>0</v>
      </c>
      <c r="M34" s="50">
        <f ca="1">+GETPIVOTDATA("XXS4",'xuanson (2016)'!$A$3,"MA_HT","DYT","MA_QH","RPH")</f>
        <v>0</v>
      </c>
      <c r="N34" s="50">
        <f ca="1">+GETPIVOTDATA("XXS4",'xuanson (2016)'!$A$3,"MA_HT","DYT","MA_QH","RDD")</f>
        <v>0</v>
      </c>
      <c r="O34" s="50">
        <f ca="1">+GETPIVOTDATA("XXS4",'xuanson (2016)'!$A$3,"MA_HT","DYT","MA_QH","NTS")</f>
        <v>0</v>
      </c>
      <c r="P34" s="50">
        <f ca="1">+GETPIVOTDATA("XXS4",'xuanson (2016)'!$A$3,"MA_HT","DYT","MA_QH","LMU")</f>
        <v>0</v>
      </c>
      <c r="Q34" s="50">
        <f ca="1">+GETPIVOTDATA("XXS4",'xuanson (2016)'!$A$3,"MA_HT","DYT","MA_QH","NKH")</f>
        <v>0</v>
      </c>
      <c r="R34" s="48">
        <f ca="1" t="shared" si="20"/>
        <v>0</v>
      </c>
      <c r="S34" s="50">
        <f ca="1">+GETPIVOTDATA("XXS4",'xuanson (2016)'!$A$3,"MA_HT","DYT","MA_QH","CQP")</f>
        <v>0</v>
      </c>
      <c r="T34" s="50">
        <f ca="1">+GETPIVOTDATA("XXS4",'xuanson (2016)'!$A$3,"MA_HT","DYT","MA_QH","CAN")</f>
        <v>0</v>
      </c>
      <c r="U34" s="50">
        <f ca="1">+GETPIVOTDATA("XXS4",'xuanson (2016)'!$A$3,"MA_HT","DYT","MA_QH","SKK")</f>
        <v>0</v>
      </c>
      <c r="V34" s="50">
        <f ca="1">+GETPIVOTDATA("XXS4",'xuanson (2016)'!$A$3,"MA_HT","DYT","MA_QH","SKT")</f>
        <v>0</v>
      </c>
      <c r="W34" s="50">
        <f ca="1">+GETPIVOTDATA("XXS4",'xuanson (2016)'!$A$3,"MA_HT","DYT","MA_QH","SKN")</f>
        <v>0</v>
      </c>
      <c r="X34" s="50">
        <f ca="1">+GETPIVOTDATA("XXS4",'xuanson (2016)'!$A$3,"MA_HT","DYT","MA_QH","TMD")</f>
        <v>0</v>
      </c>
      <c r="Y34" s="50">
        <f ca="1">+GETPIVOTDATA("XXS4",'xuanson (2016)'!$A$3,"MA_HT","DYT","MA_QH","SKC")</f>
        <v>0</v>
      </c>
      <c r="Z34" s="50">
        <f ca="1">+GETPIVOTDATA("XXS4",'xuanson (2016)'!$A$3,"MA_HT","DYT","MA_QH","SKS")</f>
        <v>0</v>
      </c>
      <c r="AA34" s="52">
        <f ca="1">+SUM(AB34:AF34,AH34:AM34)</f>
        <v>0</v>
      </c>
      <c r="AB34" s="50">
        <f ca="1">+GETPIVOTDATA("XXS4",'xuanson (2016)'!$A$3,"MA_HT","DYT","MA_QH","DGT")</f>
        <v>0</v>
      </c>
      <c r="AC34" s="50">
        <f ca="1">+GETPIVOTDATA("XXS4",'xuanson (2016)'!$A$3,"MA_HT","DYT","MA_QH","DTL")</f>
        <v>0</v>
      </c>
      <c r="AD34" s="50">
        <f ca="1">+GETPIVOTDATA("XXS4",'xuanson (2016)'!$A$3,"MA_HT","DYT","MA_QH","DNL")</f>
        <v>0</v>
      </c>
      <c r="AE34" s="50">
        <f ca="1">+GETPIVOTDATA("XXS4",'xuanson (2016)'!$A$3,"MA_HT","DYT","MA_QH","DBV")</f>
        <v>0</v>
      </c>
      <c r="AF34" s="50">
        <f ca="1">+GETPIVOTDATA("XXS4",'xuanson (2016)'!$A$3,"MA_HT","DYT","MA_QH","DVH")</f>
        <v>0</v>
      </c>
      <c r="AG34" s="49" t="e">
        <f ca="1">$D34-$BF34</f>
        <v>#REF!</v>
      </c>
      <c r="AH34" s="50">
        <f ca="1">+GETPIVOTDATA("XXS4",'xuanson (2016)'!$A$3,"MA_HT","DYT","MA_QH","DGD")</f>
        <v>0</v>
      </c>
      <c r="AI34" s="50">
        <f ca="1">+GETPIVOTDATA("XXS4",'xuanson (2016)'!$A$3,"MA_HT","DYT","MA_QH","DTT")</f>
        <v>0</v>
      </c>
      <c r="AJ34" s="50">
        <f ca="1">+GETPIVOTDATA("XXS4",'xuanson (2016)'!$A$3,"MA_HT","DYT","MA_QH","NCK")</f>
        <v>0</v>
      </c>
      <c r="AK34" s="50">
        <f ca="1">+GETPIVOTDATA("XXS4",'xuanson (2016)'!$A$3,"MA_HT","DYT","MA_QH","DXH")</f>
        <v>0</v>
      </c>
      <c r="AL34" s="50">
        <f ca="1">+GETPIVOTDATA("XXS4",'xuanson (2016)'!$A$3,"MA_HT","DYT","MA_QH","DCH")</f>
        <v>0</v>
      </c>
      <c r="AM34" s="50">
        <f ca="1">+GETPIVOTDATA("XXS4",'xuanson (2016)'!$A$3,"MA_HT","DYT","MA_QH","DKG")</f>
        <v>0</v>
      </c>
      <c r="AN34" s="50">
        <f ca="1">+GETPIVOTDATA("XXS4",'xuanson (2016)'!$A$3,"MA_HT","DYT","MA_QH","DDT")</f>
        <v>0</v>
      </c>
      <c r="AO34" s="50">
        <f ca="1">+GETPIVOTDATA("XXS4",'xuanson (2016)'!$A$3,"MA_HT","DYT","MA_QH","DDL")</f>
        <v>0</v>
      </c>
      <c r="AP34" s="50">
        <f ca="1">+GETPIVOTDATA("XXS4",'xuanson (2016)'!$A$3,"MA_HT","DYT","MA_QH","DRA")</f>
        <v>0</v>
      </c>
      <c r="AQ34" s="50">
        <f ca="1">+GETPIVOTDATA("XXS4",'xuanson (2016)'!$A$3,"MA_HT","DYT","MA_QH","ONT")</f>
        <v>0</v>
      </c>
      <c r="AR34" s="50">
        <f ca="1">+GETPIVOTDATA("XXS4",'xuanson (2016)'!$A$3,"MA_HT","DYT","MA_QH","ODT")</f>
        <v>0</v>
      </c>
      <c r="AS34" s="50">
        <f ca="1">+GETPIVOTDATA("XXS4",'xuanson (2016)'!$A$3,"MA_HT","DYT","MA_QH","TSC")</f>
        <v>0</v>
      </c>
      <c r="AT34" s="50">
        <f ca="1">+GETPIVOTDATA("XXS4",'xuanson (2016)'!$A$3,"MA_HT","DYT","MA_QH","DTS")</f>
        <v>0</v>
      </c>
      <c r="AU34" s="50">
        <f ca="1">+GETPIVOTDATA("XXS4",'xuanson (2016)'!$A$3,"MA_HT","DYT","MA_QH","DNG")</f>
        <v>0</v>
      </c>
      <c r="AV34" s="50">
        <f ca="1">+GETPIVOTDATA("XXS4",'xuanson (2016)'!$A$3,"MA_HT","DYT","MA_QH","TON")</f>
        <v>0</v>
      </c>
      <c r="AW34" s="50">
        <f ca="1">+GETPIVOTDATA("XXS4",'xuanson (2016)'!$A$3,"MA_HT","DYT","MA_QH","NTD")</f>
        <v>0</v>
      </c>
      <c r="AX34" s="50">
        <f ca="1">+GETPIVOTDATA("XXS4",'xuanson (2016)'!$A$3,"MA_HT","DYT","MA_QH","SKX")</f>
        <v>0</v>
      </c>
      <c r="AY34" s="50">
        <f ca="1">+GETPIVOTDATA("XXS4",'xuanson (2016)'!$A$3,"MA_HT","DYT","MA_QH","DSH")</f>
        <v>0</v>
      </c>
      <c r="AZ34" s="50">
        <f ca="1">+GETPIVOTDATA("XXS4",'xuanson (2016)'!$A$3,"MA_HT","DYT","MA_QH","DKV")</f>
        <v>0</v>
      </c>
      <c r="BA34" s="88">
        <f ca="1">+GETPIVOTDATA("XXS4",'xuanson (2016)'!$A$3,"MA_HT","DYT","MA_QH","TIN")</f>
        <v>0</v>
      </c>
      <c r="BB34" s="50">
        <f ca="1">+GETPIVOTDATA("XXS4",'xuanson (2016)'!$A$3,"MA_HT","DYT","MA_QH","SON")</f>
        <v>0</v>
      </c>
      <c r="BC34" s="50">
        <f ca="1">+GETPIVOTDATA("XXS4",'xuanson (2016)'!$A$3,"MA_HT","DYT","MA_QH","MNC")</f>
        <v>0</v>
      </c>
      <c r="BD34" s="50">
        <f ca="1">+GETPIVOTDATA("XXS4",'xuanson (2016)'!$A$3,"MA_HT","DYT","MA_QH","PNK")</f>
        <v>0</v>
      </c>
      <c r="BE34" s="80">
        <f ca="1">+GETPIVOTDATA("XXS4",'xuanson (2016)'!$A$3,"MA_HT","DYT","MA_QH","CSD")</f>
        <v>0</v>
      </c>
      <c r="BF34" s="103">
        <f ca="1" t="shared" si="13"/>
        <v>0</v>
      </c>
      <c r="BG34" s="104">
        <f ca="1">AG$59-$BF34</f>
        <v>0</v>
      </c>
      <c r="BH34" s="47" t="e">
        <f ca="1" t="shared" si="14"/>
        <v>#REF!</v>
      </c>
      <c r="BI34" s="105"/>
      <c r="BJ34" s="105" t="e">
        <f>#REF!</f>
        <v>#REF!</v>
      </c>
      <c r="BK34" s="108" t="e">
        <f ca="1" t="shared" si="19"/>
        <v>#REF!</v>
      </c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="4" customFormat="1" ht="16.5" customHeight="1" spans="1:79">
      <c r="A35" s="45" t="s">
        <v>731</v>
      </c>
      <c r="B35" s="45" t="s">
        <v>732</v>
      </c>
      <c r="C35" s="46" t="s">
        <v>89</v>
      </c>
      <c r="D35" s="47" t="e">
        <f>+#REF!</f>
        <v>#REF!</v>
      </c>
      <c r="E35" s="42">
        <f ca="1" t="shared" si="15"/>
        <v>0</v>
      </c>
      <c r="F35" s="52">
        <f ca="1" t="shared" si="9"/>
        <v>0</v>
      </c>
      <c r="G35" s="50">
        <f ca="1">+GETPIVOTDATA("XXS4",'xuanson (2016)'!$A$3,"MA_HT","DGD","MA_QH","LUC")</f>
        <v>0</v>
      </c>
      <c r="H35" s="50">
        <f ca="1">+GETPIVOTDATA("XXS4",'xuanson (2016)'!$A$3,"MA_HT","DGD","MA_QH","LUK")</f>
        <v>0</v>
      </c>
      <c r="I35" s="50">
        <f ca="1">+GETPIVOTDATA("XXS4",'xuanson (2016)'!$A$3,"MA_HT","DGD","MA_QH","LUN")</f>
        <v>0</v>
      </c>
      <c r="J35" s="50">
        <f ca="1">+GETPIVOTDATA("XXS4",'xuanson (2016)'!$A$3,"MA_HT","DGD","MA_QH","HNK")</f>
        <v>0</v>
      </c>
      <c r="K35" s="50">
        <f ca="1">+GETPIVOTDATA("XXS4",'xuanson (2016)'!$A$3,"MA_HT","DGD","MA_QH","CLN")</f>
        <v>0</v>
      </c>
      <c r="L35" s="50">
        <f ca="1">+GETPIVOTDATA("XXS4",'xuanson (2016)'!$A$3,"MA_HT","DGD","MA_QH","RSX")</f>
        <v>0</v>
      </c>
      <c r="M35" s="50">
        <f ca="1">+GETPIVOTDATA("XXS4",'xuanson (2016)'!$A$3,"MA_HT","DGD","MA_QH","RPH")</f>
        <v>0</v>
      </c>
      <c r="N35" s="50">
        <f ca="1">+GETPIVOTDATA("XXS4",'xuanson (2016)'!$A$3,"MA_HT","DGD","MA_QH","RDD")</f>
        <v>0</v>
      </c>
      <c r="O35" s="50">
        <f ca="1">+GETPIVOTDATA("XXS4",'xuanson (2016)'!$A$3,"MA_HT","DGD","MA_QH","NTS")</f>
        <v>0</v>
      </c>
      <c r="P35" s="50">
        <f ca="1">+GETPIVOTDATA("XXS4",'xuanson (2016)'!$A$3,"MA_HT","DGD","MA_QH","LMU")</f>
        <v>0</v>
      </c>
      <c r="Q35" s="50">
        <f ca="1">+GETPIVOTDATA("XXS4",'xuanson (2016)'!$A$3,"MA_HT","DGD","MA_QH","NKH")</f>
        <v>0</v>
      </c>
      <c r="R35" s="48">
        <f ca="1" t="shared" si="20"/>
        <v>0</v>
      </c>
      <c r="S35" s="50">
        <f ca="1">+GETPIVOTDATA("XXS4",'xuanson (2016)'!$A$3,"MA_HT","DGD","MA_QH","CQP")</f>
        <v>0</v>
      </c>
      <c r="T35" s="50">
        <f ca="1">+GETPIVOTDATA("XXS4",'xuanson (2016)'!$A$3,"MA_HT","DGD","MA_QH","CAN")</f>
        <v>0</v>
      </c>
      <c r="U35" s="50">
        <f ca="1">+GETPIVOTDATA("XXS4",'xuanson (2016)'!$A$3,"MA_HT","DGD","MA_QH","SKK")</f>
        <v>0</v>
      </c>
      <c r="V35" s="50">
        <f ca="1">+GETPIVOTDATA("XXS4",'xuanson (2016)'!$A$3,"MA_HT","DGD","MA_QH","SKT")</f>
        <v>0</v>
      </c>
      <c r="W35" s="50">
        <f ca="1">+GETPIVOTDATA("XXS4",'xuanson (2016)'!$A$3,"MA_HT","DGD","MA_QH","SKN")</f>
        <v>0</v>
      </c>
      <c r="X35" s="50">
        <f ca="1">+GETPIVOTDATA("XXS4",'xuanson (2016)'!$A$3,"MA_HT","DGD","MA_QH","TMD")</f>
        <v>0</v>
      </c>
      <c r="Y35" s="50">
        <f ca="1">+GETPIVOTDATA("XXS4",'xuanson (2016)'!$A$3,"MA_HT","DGD","MA_QH","SKC")</f>
        <v>0</v>
      </c>
      <c r="Z35" s="50">
        <f ca="1">+GETPIVOTDATA("XXS4",'xuanson (2016)'!$A$3,"MA_HT","DGD","MA_QH","SKS")</f>
        <v>0</v>
      </c>
      <c r="AA35" s="52">
        <f ca="1">+SUM(AB35:AG35,AI35:AM35)</f>
        <v>0</v>
      </c>
      <c r="AB35" s="50">
        <f ca="1">+GETPIVOTDATA("XXS4",'xuanson (2016)'!$A$3,"MA_HT","DGD","MA_QH","DGT")</f>
        <v>0</v>
      </c>
      <c r="AC35" s="50">
        <f ca="1">+GETPIVOTDATA("XXS4",'xuanson (2016)'!$A$3,"MA_HT","DGD","MA_QH","DTL")</f>
        <v>0</v>
      </c>
      <c r="AD35" s="50">
        <f ca="1">+GETPIVOTDATA("XXS4",'xuanson (2016)'!$A$3,"MA_HT","DGD","MA_QH","DNL")</f>
        <v>0</v>
      </c>
      <c r="AE35" s="50">
        <f ca="1">+GETPIVOTDATA("XXS4",'xuanson (2016)'!$A$3,"MA_HT","DGD","MA_QH","DBV")</f>
        <v>0</v>
      </c>
      <c r="AF35" s="50">
        <f ca="1">+GETPIVOTDATA("XXS4",'xuanson (2016)'!$A$3,"MA_HT","DGD","MA_QH","DVH")</f>
        <v>0</v>
      </c>
      <c r="AG35" s="50">
        <f ca="1">+GETPIVOTDATA("XXS4",'xuanson (2016)'!$A$3,"MA_HT","DGD","MA_QH","DYT")</f>
        <v>0</v>
      </c>
      <c r="AH35" s="49" t="e">
        <f ca="1">$D35-$BF35</f>
        <v>#REF!</v>
      </c>
      <c r="AI35" s="50">
        <f ca="1">+GETPIVOTDATA("XXS4",'xuanson (2016)'!$A$3,"MA_HT","DGD","MA_QH","DTT")</f>
        <v>0</v>
      </c>
      <c r="AJ35" s="50">
        <f ca="1">+GETPIVOTDATA("XXS4",'xuanson (2016)'!$A$3,"MA_HT","DGD","MA_QH","NCK")</f>
        <v>0</v>
      </c>
      <c r="AK35" s="50">
        <f ca="1">+GETPIVOTDATA("XXS4",'xuanson (2016)'!$A$3,"MA_HT","DGD","MA_QH","DXH")</f>
        <v>0</v>
      </c>
      <c r="AL35" s="50">
        <f ca="1">+GETPIVOTDATA("XXS4",'xuanson (2016)'!$A$3,"MA_HT","DGD","MA_QH","DCH")</f>
        <v>0</v>
      </c>
      <c r="AM35" s="50">
        <f ca="1">+GETPIVOTDATA("XXS4",'xuanson (2016)'!$A$3,"MA_HT","DGD","MA_QH","DKG")</f>
        <v>0</v>
      </c>
      <c r="AN35" s="50">
        <f ca="1">+GETPIVOTDATA("XXS4",'xuanson (2016)'!$A$3,"MA_HT","DGD","MA_QH","DDT")</f>
        <v>0</v>
      </c>
      <c r="AO35" s="50">
        <f ca="1">+GETPIVOTDATA("XXS4",'xuanson (2016)'!$A$3,"MA_HT","DGD","MA_QH","DDL")</f>
        <v>0</v>
      </c>
      <c r="AP35" s="50">
        <f ca="1">+GETPIVOTDATA("XXS4",'xuanson (2016)'!$A$3,"MA_HT","DGD","MA_QH","DRA")</f>
        <v>0</v>
      </c>
      <c r="AQ35" s="50">
        <f ca="1">+GETPIVOTDATA("XXS4",'xuanson (2016)'!$A$3,"MA_HT","DGD","MA_QH","ONT")</f>
        <v>0</v>
      </c>
      <c r="AR35" s="50">
        <f ca="1">+GETPIVOTDATA("XXS4",'xuanson (2016)'!$A$3,"MA_HT","DGD","MA_QH","ODT")</f>
        <v>0</v>
      </c>
      <c r="AS35" s="50">
        <f ca="1">+GETPIVOTDATA("XXS4",'xuanson (2016)'!$A$3,"MA_HT","DGD","MA_QH","TSC")</f>
        <v>0</v>
      </c>
      <c r="AT35" s="50">
        <f ca="1">+GETPIVOTDATA("XXS4",'xuanson (2016)'!$A$3,"MA_HT","DGD","MA_QH","DTS")</f>
        <v>0</v>
      </c>
      <c r="AU35" s="50">
        <f ca="1">+GETPIVOTDATA("XXS4",'xuanson (2016)'!$A$3,"MA_HT","DGD","MA_QH","DNG")</f>
        <v>0</v>
      </c>
      <c r="AV35" s="50">
        <f ca="1">+GETPIVOTDATA("XXS4",'xuanson (2016)'!$A$3,"MA_HT","DGD","MA_QH","TON")</f>
        <v>0</v>
      </c>
      <c r="AW35" s="50">
        <f ca="1">+GETPIVOTDATA("XXS4",'xuanson (2016)'!$A$3,"MA_HT","DGD","MA_QH","NTD")</f>
        <v>0</v>
      </c>
      <c r="AX35" s="50">
        <f ca="1">+GETPIVOTDATA("XXS4",'xuanson (2016)'!$A$3,"MA_HT","DGD","MA_QH","SKX")</f>
        <v>0</v>
      </c>
      <c r="AY35" s="50">
        <f ca="1">+GETPIVOTDATA("XXS4",'xuanson (2016)'!$A$3,"MA_HT","DGD","MA_QH","DSH")</f>
        <v>0</v>
      </c>
      <c r="AZ35" s="50">
        <f ca="1">+GETPIVOTDATA("XXS4",'xuanson (2016)'!$A$3,"MA_HT","DGD","MA_QH","DKV")</f>
        <v>0</v>
      </c>
      <c r="BA35" s="88">
        <f ca="1">+GETPIVOTDATA("XXS4",'xuanson (2016)'!$A$3,"MA_HT","DGD","MA_QH","TIN")</f>
        <v>0</v>
      </c>
      <c r="BB35" s="50">
        <f ca="1">+GETPIVOTDATA("XXS4",'xuanson (2016)'!$A$3,"MA_HT","DGD","MA_QH","SON")</f>
        <v>0</v>
      </c>
      <c r="BC35" s="50">
        <f ca="1">+GETPIVOTDATA("XXS4",'xuanson (2016)'!$A$3,"MA_HT","DGD","MA_QH","MNC")</f>
        <v>0</v>
      </c>
      <c r="BD35" s="50">
        <f ca="1">+GETPIVOTDATA("XXS4",'xuanson (2016)'!$A$3,"MA_HT","DGD","MA_QH","PNK")</f>
        <v>0</v>
      </c>
      <c r="BE35" s="80">
        <f ca="1">+GETPIVOTDATA("XXS4",'xuanson (2016)'!$A$3,"MA_HT","DGD","MA_QH","CSD")</f>
        <v>0</v>
      </c>
      <c r="BF35" s="103">
        <f ca="1" t="shared" si="13"/>
        <v>0</v>
      </c>
      <c r="BG35" s="104">
        <f ca="1">AH$59-$BF35</f>
        <v>0</v>
      </c>
      <c r="BH35" s="47" t="e">
        <f ca="1" t="shared" si="14"/>
        <v>#REF!</v>
      </c>
      <c r="BI35" s="105"/>
      <c r="BJ35" s="105" t="e">
        <f>#REF!</f>
        <v>#REF!</v>
      </c>
      <c r="BK35" s="108" t="e">
        <f ca="1" t="shared" si="19"/>
        <v>#REF!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</row>
    <row r="36" s="4" customFormat="1" ht="16.5" customHeight="1" spans="1:79">
      <c r="A36" s="45" t="s">
        <v>733</v>
      </c>
      <c r="B36" s="45" t="s">
        <v>734</v>
      </c>
      <c r="C36" s="46" t="s">
        <v>91</v>
      </c>
      <c r="D36" s="47" t="e">
        <f>+#REF!</f>
        <v>#REF!</v>
      </c>
      <c r="E36" s="42">
        <f ca="1" t="shared" si="15"/>
        <v>0</v>
      </c>
      <c r="F36" s="52">
        <f ca="1" t="shared" si="9"/>
        <v>0</v>
      </c>
      <c r="G36" s="50">
        <f ca="1">+GETPIVOTDATA("XXS4",'xuanson (2016)'!$A$3,"MA_HT","DTT","MA_QH","LUC")</f>
        <v>0</v>
      </c>
      <c r="H36" s="50">
        <f ca="1">+GETPIVOTDATA("XXS4",'xuanson (2016)'!$A$3,"MA_HT","DTT","MA_QH","LUK")</f>
        <v>0</v>
      </c>
      <c r="I36" s="50">
        <f ca="1">+GETPIVOTDATA("XXS4",'xuanson (2016)'!$A$3,"MA_HT","DTT","MA_QH","LUN")</f>
        <v>0</v>
      </c>
      <c r="J36" s="50">
        <f ca="1">+GETPIVOTDATA("XXS4",'xuanson (2016)'!$A$3,"MA_HT","DTT","MA_QH","HNK")</f>
        <v>0</v>
      </c>
      <c r="K36" s="50">
        <f ca="1">+GETPIVOTDATA("XXS4",'xuanson (2016)'!$A$3,"MA_HT","DTT","MA_QH","CLN")</f>
        <v>0</v>
      </c>
      <c r="L36" s="50">
        <f ca="1">+GETPIVOTDATA("XXS4",'xuanson (2016)'!$A$3,"MA_HT","DTT","MA_QH","RSX")</f>
        <v>0</v>
      </c>
      <c r="M36" s="50">
        <f ca="1">+GETPIVOTDATA("XXS4",'xuanson (2016)'!$A$3,"MA_HT","DTT","MA_QH","RPH")</f>
        <v>0</v>
      </c>
      <c r="N36" s="50">
        <f ca="1">+GETPIVOTDATA("XXS4",'xuanson (2016)'!$A$3,"MA_HT","DTT","MA_QH","RDD")</f>
        <v>0</v>
      </c>
      <c r="O36" s="50">
        <f ca="1">+GETPIVOTDATA("XXS4",'xuanson (2016)'!$A$3,"MA_HT","DTT","MA_QH","NTS")</f>
        <v>0</v>
      </c>
      <c r="P36" s="50">
        <f ca="1">+GETPIVOTDATA("XXS4",'xuanson (2016)'!$A$3,"MA_HT","DTT","MA_QH","LMU")</f>
        <v>0</v>
      </c>
      <c r="Q36" s="50">
        <f ca="1">+GETPIVOTDATA("XXS4",'xuanson (2016)'!$A$3,"MA_HT","DTT","MA_QH","NKH")</f>
        <v>0</v>
      </c>
      <c r="R36" s="48">
        <f ca="1" t="shared" si="20"/>
        <v>0</v>
      </c>
      <c r="S36" s="50">
        <f ca="1">+GETPIVOTDATA("XXS4",'xuanson (2016)'!$A$3,"MA_HT","DTT","MA_QH","CQP")</f>
        <v>0</v>
      </c>
      <c r="T36" s="50">
        <f ca="1">+GETPIVOTDATA("XXS4",'xuanson (2016)'!$A$3,"MA_HT","DTT","MA_QH","CAN")</f>
        <v>0</v>
      </c>
      <c r="U36" s="50">
        <f ca="1">+GETPIVOTDATA("XXS4",'xuanson (2016)'!$A$3,"MA_HT","DTT","MA_QH","SKK")</f>
        <v>0</v>
      </c>
      <c r="V36" s="50">
        <f ca="1">+GETPIVOTDATA("XXS4",'xuanson (2016)'!$A$3,"MA_HT","DTT","MA_QH","SKT")</f>
        <v>0</v>
      </c>
      <c r="W36" s="50">
        <f ca="1">+GETPIVOTDATA("XXS4",'xuanson (2016)'!$A$3,"MA_HT","DTT","MA_QH","SKN")</f>
        <v>0</v>
      </c>
      <c r="X36" s="50">
        <f ca="1">+GETPIVOTDATA("XXS4",'xuanson (2016)'!$A$3,"MA_HT","DTT","MA_QH","TMD")</f>
        <v>0</v>
      </c>
      <c r="Y36" s="50">
        <f ca="1">+GETPIVOTDATA("XXS4",'xuanson (2016)'!$A$3,"MA_HT","DTT","MA_QH","SKC")</f>
        <v>0</v>
      </c>
      <c r="Z36" s="50">
        <f ca="1">+GETPIVOTDATA("XXS4",'xuanson (2016)'!$A$3,"MA_HT","DTT","MA_QH","SKS")</f>
        <v>0</v>
      </c>
      <c r="AA36" s="52">
        <f ca="1">+SUM(AB36:AH36,AJ36:AM36)</f>
        <v>0</v>
      </c>
      <c r="AB36" s="50">
        <f ca="1">+GETPIVOTDATA("XXS4",'xuanson (2016)'!$A$3,"MA_HT","DTT","MA_QH","DGT")</f>
        <v>0</v>
      </c>
      <c r="AC36" s="50">
        <f ca="1">+GETPIVOTDATA("XXS4",'xuanson (2016)'!$A$3,"MA_HT","DTT","MA_QH","DTL")</f>
        <v>0</v>
      </c>
      <c r="AD36" s="50">
        <f ca="1">+GETPIVOTDATA("XXS4",'xuanson (2016)'!$A$3,"MA_HT","DTT","MA_QH","DNL")</f>
        <v>0</v>
      </c>
      <c r="AE36" s="50">
        <f ca="1">+GETPIVOTDATA("XXS4",'xuanson (2016)'!$A$3,"MA_HT","DTT","MA_QH","DBV")</f>
        <v>0</v>
      </c>
      <c r="AF36" s="50">
        <f ca="1">+GETPIVOTDATA("XXS4",'xuanson (2016)'!$A$3,"MA_HT","DTT","MA_QH","DVH")</f>
        <v>0</v>
      </c>
      <c r="AG36" s="50">
        <f ca="1">+GETPIVOTDATA("XXS4",'xuanson (2016)'!$A$3,"MA_HT","DTT","MA_QH","DYT")</f>
        <v>0</v>
      </c>
      <c r="AH36" s="50">
        <f ca="1">+GETPIVOTDATA("XXS4",'xuanson (2016)'!$A$3,"MA_HT","DTT","MA_QH","DGD")</f>
        <v>0</v>
      </c>
      <c r="AI36" s="49" t="e">
        <f ca="1">$D36-$BF36</f>
        <v>#REF!</v>
      </c>
      <c r="AJ36" s="50">
        <f ca="1">+GETPIVOTDATA("XXS4",'xuanson (2016)'!$A$3,"MA_HT","DTT","MA_QH","NCK")</f>
        <v>0</v>
      </c>
      <c r="AK36" s="50">
        <f ca="1">+GETPIVOTDATA("XXS4",'xuanson (2016)'!$A$3,"MA_HT","DTT","MA_QH","DXH")</f>
        <v>0</v>
      </c>
      <c r="AL36" s="50">
        <f ca="1">+GETPIVOTDATA("XXS4",'xuanson (2016)'!$A$3,"MA_HT","DTT","MA_QH","DCH")</f>
        <v>0</v>
      </c>
      <c r="AM36" s="50">
        <f ca="1">+GETPIVOTDATA("XXS4",'xuanson (2016)'!$A$3,"MA_HT","DTT","MA_QH","DKG")</f>
        <v>0</v>
      </c>
      <c r="AN36" s="50">
        <f ca="1">+GETPIVOTDATA("XXS4",'xuanson (2016)'!$A$3,"MA_HT","DTT","MA_QH","DDT")</f>
        <v>0</v>
      </c>
      <c r="AO36" s="50">
        <f ca="1">+GETPIVOTDATA("XXS4",'xuanson (2016)'!$A$3,"MA_HT","DTT","MA_QH","DDL")</f>
        <v>0</v>
      </c>
      <c r="AP36" s="50">
        <f ca="1">+GETPIVOTDATA("XXS4",'xuanson (2016)'!$A$3,"MA_HT","DTT","MA_QH","DRA")</f>
        <v>0</v>
      </c>
      <c r="AQ36" s="50">
        <f ca="1">+GETPIVOTDATA("XXS4",'xuanson (2016)'!$A$3,"MA_HT","DTT","MA_QH","ONT")</f>
        <v>0</v>
      </c>
      <c r="AR36" s="50">
        <f ca="1">+GETPIVOTDATA("XXS4",'xuanson (2016)'!$A$3,"MA_HT","DTT","MA_QH","ODT")</f>
        <v>0</v>
      </c>
      <c r="AS36" s="50">
        <f ca="1">+GETPIVOTDATA("XXS4",'xuanson (2016)'!$A$3,"MA_HT","DTT","MA_QH","TSC")</f>
        <v>0</v>
      </c>
      <c r="AT36" s="50">
        <f ca="1">+GETPIVOTDATA("XXS4",'xuanson (2016)'!$A$3,"MA_HT","DTT","MA_QH","DTS")</f>
        <v>0</v>
      </c>
      <c r="AU36" s="50">
        <f ca="1">+GETPIVOTDATA("XXS4",'xuanson (2016)'!$A$3,"MA_HT","DTT","MA_QH","DNG")</f>
        <v>0</v>
      </c>
      <c r="AV36" s="50">
        <f ca="1">+GETPIVOTDATA("XXS4",'xuanson (2016)'!$A$3,"MA_HT","DTT","MA_QH","TON")</f>
        <v>0</v>
      </c>
      <c r="AW36" s="50">
        <f ca="1">+GETPIVOTDATA("XXS4",'xuanson (2016)'!$A$3,"MA_HT","DTT","MA_QH","NTD")</f>
        <v>0</v>
      </c>
      <c r="AX36" s="50">
        <f ca="1">+GETPIVOTDATA("XXS4",'xuanson (2016)'!$A$3,"MA_HT","DTT","MA_QH","SKX")</f>
        <v>0</v>
      </c>
      <c r="AY36" s="50">
        <f ca="1">+GETPIVOTDATA("XXS4",'xuanson (2016)'!$A$3,"MA_HT","DTT","MA_QH","DSH")</f>
        <v>0</v>
      </c>
      <c r="AZ36" s="50">
        <f ca="1">+GETPIVOTDATA("XXS4",'xuanson (2016)'!$A$3,"MA_HT","DTT","MA_QH","DKV")</f>
        <v>0</v>
      </c>
      <c r="BA36" s="88">
        <f ca="1">+GETPIVOTDATA("XXS4",'xuanson (2016)'!$A$3,"MA_HT","DTT","MA_QH","TIN")</f>
        <v>0</v>
      </c>
      <c r="BB36" s="50">
        <f ca="1">+GETPIVOTDATA("XXS4",'xuanson (2016)'!$A$3,"MA_HT","DTT","MA_QH","SON")</f>
        <v>0</v>
      </c>
      <c r="BC36" s="50">
        <f ca="1">+GETPIVOTDATA("XXS4",'xuanson (2016)'!$A$3,"MA_HT","DTT","MA_QH","MNC")</f>
        <v>0</v>
      </c>
      <c r="BD36" s="50">
        <f ca="1">+GETPIVOTDATA("XXS4",'xuanson (2016)'!$A$3,"MA_HT","DTT","MA_QH","PNK")</f>
        <v>0</v>
      </c>
      <c r="BE36" s="80">
        <f ca="1">+GETPIVOTDATA("XXS4",'xuanson (2016)'!$A$3,"MA_HT","DTT","MA_QH","CSD")</f>
        <v>0</v>
      </c>
      <c r="BF36" s="103">
        <f ca="1" t="shared" si="13"/>
        <v>0</v>
      </c>
      <c r="BG36" s="104">
        <f ca="1">AI$59-$BF36</f>
        <v>0</v>
      </c>
      <c r="BH36" s="47" t="e">
        <f ca="1" t="shared" si="14"/>
        <v>#REF!</v>
      </c>
      <c r="BI36" s="105"/>
      <c r="BJ36" s="105" t="e">
        <f>#REF!</f>
        <v>#REF!</v>
      </c>
      <c r="BK36" s="108" t="e">
        <f ca="1" t="shared" si="19"/>
        <v>#REF!</v>
      </c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</row>
    <row r="37" s="4" customFormat="1" ht="16.5" customHeight="1" spans="1:79">
      <c r="A37" s="45" t="s">
        <v>735</v>
      </c>
      <c r="B37" s="45" t="s">
        <v>736</v>
      </c>
      <c r="C37" s="46" t="s">
        <v>685</v>
      </c>
      <c r="D37" s="47" t="e">
        <f>+#REF!</f>
        <v>#REF!</v>
      </c>
      <c r="E37" s="42">
        <f ca="1" t="shared" si="15"/>
        <v>0</v>
      </c>
      <c r="F37" s="52">
        <f ca="1" t="shared" si="9"/>
        <v>0</v>
      </c>
      <c r="G37" s="50">
        <f ca="1">+GETPIVOTDATA("XXS4",'xuanson (2016)'!$A$3,"MA_HT","NCK","MA_QH","LUC")</f>
        <v>0</v>
      </c>
      <c r="H37" s="50">
        <f ca="1">+GETPIVOTDATA("XXS4",'xuanson (2016)'!$A$3,"MA_HT","NCK","MA_QH","LUK")</f>
        <v>0</v>
      </c>
      <c r="I37" s="50">
        <f ca="1">+GETPIVOTDATA("XXS4",'xuanson (2016)'!$A$3,"MA_HT","NCK","MA_QH","LUN")</f>
        <v>0</v>
      </c>
      <c r="J37" s="50">
        <f ca="1">+GETPIVOTDATA("XXS4",'xuanson (2016)'!$A$3,"MA_HT","NCK","MA_QH","HNK")</f>
        <v>0</v>
      </c>
      <c r="K37" s="50">
        <f ca="1">+GETPIVOTDATA("XXS4",'xuanson (2016)'!$A$3,"MA_HT","NCK","MA_QH","CLN")</f>
        <v>0</v>
      </c>
      <c r="L37" s="50">
        <f ca="1">+GETPIVOTDATA("XXS4",'xuanson (2016)'!$A$3,"MA_HT","NCK","MA_QH","RSX")</f>
        <v>0</v>
      </c>
      <c r="M37" s="50">
        <f ca="1">+GETPIVOTDATA("XXS4",'xuanson (2016)'!$A$3,"MA_HT","NCK","MA_QH","RPH")</f>
        <v>0</v>
      </c>
      <c r="N37" s="50">
        <f ca="1">+GETPIVOTDATA("XXS4",'xuanson (2016)'!$A$3,"MA_HT","NCK","MA_QH","RDD")</f>
        <v>0</v>
      </c>
      <c r="O37" s="50">
        <f ca="1">+GETPIVOTDATA("XXS4",'xuanson (2016)'!$A$3,"MA_HT","NCK","MA_QH","NTS")</f>
        <v>0</v>
      </c>
      <c r="P37" s="50">
        <f ca="1">+GETPIVOTDATA("XXS4",'xuanson (2016)'!$A$3,"MA_HT","NCK","MA_QH","LMU")</f>
        <v>0</v>
      </c>
      <c r="Q37" s="50">
        <f ca="1">+GETPIVOTDATA("XXS4",'xuanson (2016)'!$A$3,"MA_HT","NCK","MA_QH","NKH")</f>
        <v>0</v>
      </c>
      <c r="R37" s="48">
        <f ca="1" t="shared" si="20"/>
        <v>0</v>
      </c>
      <c r="S37" s="50">
        <f ca="1">+GETPIVOTDATA("XXS4",'xuanson (2016)'!$A$3,"MA_HT","NCK","MA_QH","CQP")</f>
        <v>0</v>
      </c>
      <c r="T37" s="50">
        <f ca="1">+GETPIVOTDATA("XXS4",'xuanson (2016)'!$A$3,"MA_HT","NCK","MA_QH","CAN")</f>
        <v>0</v>
      </c>
      <c r="U37" s="50">
        <f ca="1">+GETPIVOTDATA("XXS4",'xuanson (2016)'!$A$3,"MA_HT","NCK","MA_QH","SKK")</f>
        <v>0</v>
      </c>
      <c r="V37" s="50">
        <f ca="1">+GETPIVOTDATA("XXS4",'xuanson (2016)'!$A$3,"MA_HT","NCK","MA_QH","SKT")</f>
        <v>0</v>
      </c>
      <c r="W37" s="50">
        <f ca="1">+GETPIVOTDATA("XXS4",'xuanson (2016)'!$A$3,"MA_HT","NCK","MA_QH","SKN")</f>
        <v>0</v>
      </c>
      <c r="X37" s="50">
        <f ca="1">+GETPIVOTDATA("XXS4",'xuanson (2016)'!$A$3,"MA_HT","NCK","MA_QH","TMD")</f>
        <v>0</v>
      </c>
      <c r="Y37" s="50">
        <f ca="1">+GETPIVOTDATA("XXS4",'xuanson (2016)'!$A$3,"MA_HT","NCK","MA_QH","SKC")</f>
        <v>0</v>
      </c>
      <c r="Z37" s="50">
        <f ca="1">+GETPIVOTDATA("XXS4",'xuanson (2016)'!$A$3,"MA_HT","NCK","MA_QH","SKS")</f>
        <v>0</v>
      </c>
      <c r="AA37" s="52">
        <f ca="1">+SUM(AB37:AI37,AK37:AM37)</f>
        <v>0</v>
      </c>
      <c r="AB37" s="50">
        <f ca="1">+GETPIVOTDATA("XXS4",'xuanson (2016)'!$A$3,"MA_HT","NCK","MA_QH","DGT")</f>
        <v>0</v>
      </c>
      <c r="AC37" s="50">
        <f ca="1">+GETPIVOTDATA("XXS4",'xuanson (2016)'!$A$3,"MA_HT","NCK","MA_QH","DTL")</f>
        <v>0</v>
      </c>
      <c r="AD37" s="50">
        <f ca="1">+GETPIVOTDATA("XXS4",'xuanson (2016)'!$A$3,"MA_HT","NCK","MA_QH","DNL")</f>
        <v>0</v>
      </c>
      <c r="AE37" s="50">
        <f ca="1">+GETPIVOTDATA("XXS4",'xuanson (2016)'!$A$3,"MA_HT","NCK","MA_QH","DBV")</f>
        <v>0</v>
      </c>
      <c r="AF37" s="50">
        <f ca="1">+GETPIVOTDATA("XXS4",'xuanson (2016)'!$A$3,"MA_HT","NCK","MA_QH","DVH")</f>
        <v>0</v>
      </c>
      <c r="AG37" s="50">
        <f ca="1">+GETPIVOTDATA("XXS4",'xuanson (2016)'!$A$3,"MA_HT","NCK","MA_QH","DYT")</f>
        <v>0</v>
      </c>
      <c r="AH37" s="50">
        <f ca="1">+GETPIVOTDATA("XXS4",'xuanson (2016)'!$A$3,"MA_HT","NCK","MA_QH","DGD")</f>
        <v>0</v>
      </c>
      <c r="AI37" s="50">
        <f ca="1">+GETPIVOTDATA("XXS4",'xuanson (2016)'!$A$3,"MA_HT","NCK","MA_QH","DTT")</f>
        <v>0</v>
      </c>
      <c r="AJ37" s="49" t="e">
        <f ca="1">$D37-$BF37</f>
        <v>#REF!</v>
      </c>
      <c r="AK37" s="50">
        <f ca="1">+GETPIVOTDATA("XXS4",'xuanson (2016)'!$A$3,"MA_HT","NCK","MA_QH","DXH")</f>
        <v>0</v>
      </c>
      <c r="AL37" s="50">
        <f ca="1">+GETPIVOTDATA("XXS4",'xuanson (2016)'!$A$3,"MA_HT","NCK","MA_QH","DCH")</f>
        <v>0</v>
      </c>
      <c r="AM37" s="50">
        <f ca="1">+GETPIVOTDATA("XXS4",'xuanson (2016)'!$A$3,"MA_HT","NCK","MA_QH","DKG")</f>
        <v>0</v>
      </c>
      <c r="AN37" s="50">
        <f ca="1">+GETPIVOTDATA("XXS4",'xuanson (2016)'!$A$3,"MA_HT","NCK","MA_QH","DDT")</f>
        <v>0</v>
      </c>
      <c r="AO37" s="50">
        <f ca="1">+GETPIVOTDATA("XXS4",'xuanson (2016)'!$A$3,"MA_HT","NCK","MA_QH","DDL")</f>
        <v>0</v>
      </c>
      <c r="AP37" s="50">
        <f ca="1">+GETPIVOTDATA("XXS4",'xuanson (2016)'!$A$3,"MA_HT","NCK","MA_QH","DRA")</f>
        <v>0</v>
      </c>
      <c r="AQ37" s="50">
        <f ca="1">+GETPIVOTDATA("XXS4",'xuanson (2016)'!$A$3,"MA_HT","NCK","MA_QH","ONT")</f>
        <v>0</v>
      </c>
      <c r="AR37" s="50">
        <f ca="1">+GETPIVOTDATA("XXS4",'xuanson (2016)'!$A$3,"MA_HT","NCK","MA_QH","ODT")</f>
        <v>0</v>
      </c>
      <c r="AS37" s="50">
        <f ca="1">+GETPIVOTDATA("XXS4",'xuanson (2016)'!$A$3,"MA_HT","NCK","MA_QH","TSC")</f>
        <v>0</v>
      </c>
      <c r="AT37" s="50">
        <f ca="1">+GETPIVOTDATA("XXS4",'xuanson (2016)'!$A$3,"MA_HT","NCK","MA_QH","DTS")</f>
        <v>0</v>
      </c>
      <c r="AU37" s="50">
        <f ca="1">+GETPIVOTDATA("XXS4",'xuanson (2016)'!$A$3,"MA_HT","NCK","MA_QH","DNG")</f>
        <v>0</v>
      </c>
      <c r="AV37" s="50">
        <f ca="1">+GETPIVOTDATA("XXS4",'xuanson (2016)'!$A$3,"MA_HT","NCK","MA_QH","TON")</f>
        <v>0</v>
      </c>
      <c r="AW37" s="50">
        <f ca="1">+GETPIVOTDATA("XXS4",'xuanson (2016)'!$A$3,"MA_HT","NCK","MA_QH","NTD")</f>
        <v>0</v>
      </c>
      <c r="AX37" s="50">
        <f ca="1">+GETPIVOTDATA("XXS4",'xuanson (2016)'!$A$3,"MA_HT","NCK","MA_QH","SKX")</f>
        <v>0</v>
      </c>
      <c r="AY37" s="50">
        <f ca="1">+GETPIVOTDATA("XXS4",'xuanson (2016)'!$A$3,"MA_HT","NCK","MA_QH","DSH")</f>
        <v>0</v>
      </c>
      <c r="AZ37" s="50">
        <f ca="1">+GETPIVOTDATA("XXS4",'xuanson (2016)'!$A$3,"MA_HT","NCK","MA_QH","DKV")</f>
        <v>0</v>
      </c>
      <c r="BA37" s="88">
        <f ca="1">+GETPIVOTDATA("XXS4",'xuanson (2016)'!$A$3,"MA_HT","NCK","MA_QH","TIN")</f>
        <v>0</v>
      </c>
      <c r="BB37" s="50">
        <f ca="1">+GETPIVOTDATA("XXS4",'xuanson (2016)'!$A$3,"MA_HT","NCK","MA_QH","SON")</f>
        <v>0</v>
      </c>
      <c r="BC37" s="50">
        <f ca="1">+GETPIVOTDATA("XXS4",'xuanson (2016)'!$A$3,"MA_HT","NCK","MA_QH","MNC")</f>
        <v>0</v>
      </c>
      <c r="BD37" s="50">
        <f ca="1">+GETPIVOTDATA("XXS4",'xuanson (2016)'!$A$3,"MA_HT","NCK","MA_QH","PNK")</f>
        <v>0</v>
      </c>
      <c r="BE37" s="80">
        <f ca="1">+GETPIVOTDATA("XXS4",'xuanson (2016)'!$A$3,"MA_HT","NCK","MA_QH","CSD")</f>
        <v>0</v>
      </c>
      <c r="BF37" s="103">
        <f ca="1" t="shared" si="13"/>
        <v>0</v>
      </c>
      <c r="BG37" s="104">
        <f ca="1">AJ$59-$BF37</f>
        <v>0</v>
      </c>
      <c r="BH37" s="47" t="e">
        <f ca="1" t="shared" si="14"/>
        <v>#REF!</v>
      </c>
      <c r="BI37" s="105"/>
      <c r="BJ37" s="105" t="e">
        <f>#REF!</f>
        <v>#REF!</v>
      </c>
      <c r="BK37" s="108" t="e">
        <f ca="1" t="shared" si="19"/>
        <v>#REF!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</row>
    <row r="38" s="4" customFormat="1" ht="16.5" customHeight="1" spans="1:79">
      <c r="A38" s="45" t="s">
        <v>737</v>
      </c>
      <c r="B38" s="45" t="s">
        <v>738</v>
      </c>
      <c r="C38" s="46" t="s">
        <v>109</v>
      </c>
      <c r="D38" s="47" t="e">
        <f>+#REF!</f>
        <v>#REF!</v>
      </c>
      <c r="E38" s="42">
        <f ca="1" t="shared" si="15"/>
        <v>0</v>
      </c>
      <c r="F38" s="52">
        <f ca="1" t="shared" si="9"/>
        <v>0</v>
      </c>
      <c r="G38" s="50">
        <f ca="1">+GETPIVOTDATA("XXS4",'xuanson (2016)'!$A$3,"MA_HT","DXH","MA_QH","LUC")</f>
        <v>0</v>
      </c>
      <c r="H38" s="50">
        <f ca="1">+GETPIVOTDATA("XXS4",'xuanson (2016)'!$A$3,"MA_HT","DXH","MA_QH","LUK")</f>
        <v>0</v>
      </c>
      <c r="I38" s="50">
        <f ca="1">+GETPIVOTDATA("XXS4",'xuanson (2016)'!$A$3,"MA_HT","DXH","MA_QH","LUN")</f>
        <v>0</v>
      </c>
      <c r="J38" s="50">
        <f ca="1">+GETPIVOTDATA("XXS4",'xuanson (2016)'!$A$3,"MA_HT","DXH","MA_QH","HNK")</f>
        <v>0</v>
      </c>
      <c r="K38" s="50">
        <f ca="1">+GETPIVOTDATA("XXS4",'xuanson (2016)'!$A$3,"MA_HT","DXH","MA_QH","CLN")</f>
        <v>0</v>
      </c>
      <c r="L38" s="50">
        <f ca="1">+GETPIVOTDATA("XXS4",'xuanson (2016)'!$A$3,"MA_HT","DXH","MA_QH","RSX")</f>
        <v>0</v>
      </c>
      <c r="M38" s="50">
        <f ca="1">+GETPIVOTDATA("XXS4",'xuanson (2016)'!$A$3,"MA_HT","DXH","MA_QH","RPH")</f>
        <v>0</v>
      </c>
      <c r="N38" s="50">
        <f ca="1">+GETPIVOTDATA("XXS4",'xuanson (2016)'!$A$3,"MA_HT","DXH","MA_QH","RDD")</f>
        <v>0</v>
      </c>
      <c r="O38" s="50">
        <f ca="1">+GETPIVOTDATA("XXS4",'xuanson (2016)'!$A$3,"MA_HT","DXH","MA_QH","NTS")</f>
        <v>0</v>
      </c>
      <c r="P38" s="50">
        <f ca="1">+GETPIVOTDATA("XXS4",'xuanson (2016)'!$A$3,"MA_HT","DXH","MA_QH","LMU")</f>
        <v>0</v>
      </c>
      <c r="Q38" s="50">
        <f ca="1">+GETPIVOTDATA("XXS4",'xuanson (2016)'!$A$3,"MA_HT","DXH","MA_QH","NKH")</f>
        <v>0</v>
      </c>
      <c r="R38" s="48">
        <f ca="1" t="shared" si="20"/>
        <v>0</v>
      </c>
      <c r="S38" s="50">
        <f ca="1">+GETPIVOTDATA("XXS4",'xuanson (2016)'!$A$3,"MA_HT","DXH","MA_QH","CQP")</f>
        <v>0</v>
      </c>
      <c r="T38" s="50">
        <f ca="1">+GETPIVOTDATA("XXS4",'xuanson (2016)'!$A$3,"MA_HT","DXH","MA_QH","CAN")</f>
        <v>0</v>
      </c>
      <c r="U38" s="50">
        <f ca="1">+GETPIVOTDATA("XXS4",'xuanson (2016)'!$A$3,"MA_HT","DXH","MA_QH","SKK")</f>
        <v>0</v>
      </c>
      <c r="V38" s="50">
        <f ca="1">+GETPIVOTDATA("XXS4",'xuanson (2016)'!$A$3,"MA_HT","DXH","MA_QH","SKT")</f>
        <v>0</v>
      </c>
      <c r="W38" s="50">
        <f ca="1">+GETPIVOTDATA("XXS4",'xuanson (2016)'!$A$3,"MA_HT","DXH","MA_QH","SKN")</f>
        <v>0</v>
      </c>
      <c r="X38" s="50">
        <f ca="1">+GETPIVOTDATA("XXS4",'xuanson (2016)'!$A$3,"MA_HT","DXH","MA_QH","TMD")</f>
        <v>0</v>
      </c>
      <c r="Y38" s="50">
        <f ca="1">+GETPIVOTDATA("XXS4",'xuanson (2016)'!$A$3,"MA_HT","DXH","MA_QH","SKC")</f>
        <v>0</v>
      </c>
      <c r="Z38" s="50">
        <f ca="1">+GETPIVOTDATA("XXS4",'xuanson (2016)'!$A$3,"MA_HT","DXH","MA_QH","SKS")</f>
        <v>0</v>
      </c>
      <c r="AA38" s="52">
        <f ca="1">+SUM(AB38:AJ38,AL38:AM38)</f>
        <v>0</v>
      </c>
      <c r="AB38" s="50">
        <f ca="1">+GETPIVOTDATA("XXS4",'xuanson (2016)'!$A$3,"MA_HT","DXH","MA_QH","DGT")</f>
        <v>0</v>
      </c>
      <c r="AC38" s="50">
        <f ca="1">+GETPIVOTDATA("XXS4",'xuanson (2016)'!$A$3,"MA_HT","DXH","MA_QH","DTL")</f>
        <v>0</v>
      </c>
      <c r="AD38" s="50">
        <f ca="1">+GETPIVOTDATA("XXS4",'xuanson (2016)'!$A$3,"MA_HT","DXH","MA_QH","DNL")</f>
        <v>0</v>
      </c>
      <c r="AE38" s="50">
        <f ca="1">+GETPIVOTDATA("XXS4",'xuanson (2016)'!$A$3,"MA_HT","DXH","MA_QH","DBV")</f>
        <v>0</v>
      </c>
      <c r="AF38" s="50">
        <f ca="1">+GETPIVOTDATA("XXS4",'xuanson (2016)'!$A$3,"MA_HT","DXH","MA_QH","DVH")</f>
        <v>0</v>
      </c>
      <c r="AG38" s="50">
        <f ca="1">+GETPIVOTDATA("XXS4",'xuanson (2016)'!$A$3,"MA_HT","DXH","MA_QH","DYT")</f>
        <v>0</v>
      </c>
      <c r="AH38" s="50">
        <f ca="1">+GETPIVOTDATA("XXS4",'xuanson (2016)'!$A$3,"MA_HT","DXH","MA_QH","DGD")</f>
        <v>0</v>
      </c>
      <c r="AI38" s="50">
        <f ca="1">+GETPIVOTDATA("XXS4",'xuanson (2016)'!$A$3,"MA_HT","DXH","MA_QH","DTT")</f>
        <v>0</v>
      </c>
      <c r="AJ38" s="50">
        <f ca="1">+GETPIVOTDATA("XXS4",'xuanson (2016)'!$A$3,"MA_HT","DXH","MA_QH","NCK")</f>
        <v>0</v>
      </c>
      <c r="AK38" s="49" t="e">
        <f ca="1">$D38-$BF38</f>
        <v>#REF!</v>
      </c>
      <c r="AL38" s="50">
        <f ca="1">+GETPIVOTDATA("XXS4",'xuanson (2016)'!$A$3,"MA_HT","DXH","MA_QH","DCH")</f>
        <v>0</v>
      </c>
      <c r="AM38" s="50">
        <f ca="1">+GETPIVOTDATA("XXS4",'xuanson (2016)'!$A$3,"MA_HT","DXH","MA_QH","DKG")</f>
        <v>0</v>
      </c>
      <c r="AN38" s="50">
        <f ca="1">+GETPIVOTDATA("XXS4",'xuanson (2016)'!$A$3,"MA_HT","DXH","MA_QH","DDT")</f>
        <v>0</v>
      </c>
      <c r="AO38" s="50">
        <f ca="1">+GETPIVOTDATA("XXS4",'xuanson (2016)'!$A$3,"MA_HT","DXH","MA_QH","DDL")</f>
        <v>0</v>
      </c>
      <c r="AP38" s="50">
        <f ca="1">+GETPIVOTDATA("XXS4",'xuanson (2016)'!$A$3,"MA_HT","DXH","MA_QH","DRA")</f>
        <v>0</v>
      </c>
      <c r="AQ38" s="50">
        <f ca="1">+GETPIVOTDATA("XXS4",'xuanson (2016)'!$A$3,"MA_HT","DXH","MA_QH","ONT")</f>
        <v>0</v>
      </c>
      <c r="AR38" s="50">
        <f ca="1">+GETPIVOTDATA("XXS4",'xuanson (2016)'!$A$3,"MA_HT","DXH","MA_QH","ODT")</f>
        <v>0</v>
      </c>
      <c r="AS38" s="50">
        <f ca="1">+GETPIVOTDATA("XXS4",'xuanson (2016)'!$A$3,"MA_HT","DXH","MA_QH","TSC")</f>
        <v>0</v>
      </c>
      <c r="AT38" s="50">
        <f ca="1">+GETPIVOTDATA("XXS4",'xuanson (2016)'!$A$3,"MA_HT","DXH","MA_QH","DTS")</f>
        <v>0</v>
      </c>
      <c r="AU38" s="50">
        <f ca="1">+GETPIVOTDATA("XXS4",'xuanson (2016)'!$A$3,"MA_HT","DXH","MA_QH","DNG")</f>
        <v>0</v>
      </c>
      <c r="AV38" s="50">
        <f ca="1">+GETPIVOTDATA("XXS4",'xuanson (2016)'!$A$3,"MA_HT","DXH","MA_QH","TON")</f>
        <v>0</v>
      </c>
      <c r="AW38" s="50">
        <f ca="1">+GETPIVOTDATA("XXS4",'xuanson (2016)'!$A$3,"MA_HT","DXH","MA_QH","NTD")</f>
        <v>0</v>
      </c>
      <c r="AX38" s="50">
        <f ca="1">+GETPIVOTDATA("XXS4",'xuanson (2016)'!$A$3,"MA_HT","DXH","MA_QH","SKX")</f>
        <v>0</v>
      </c>
      <c r="AY38" s="50">
        <f ca="1">+GETPIVOTDATA("XXS4",'xuanson (2016)'!$A$3,"MA_HT","DXH","MA_QH","DSH")</f>
        <v>0</v>
      </c>
      <c r="AZ38" s="50">
        <f ca="1">+GETPIVOTDATA("XXS4",'xuanson (2016)'!$A$3,"MA_HT","DXH","MA_QH","DKV")</f>
        <v>0</v>
      </c>
      <c r="BA38" s="88">
        <f ca="1">+GETPIVOTDATA("XXS4",'xuanson (2016)'!$A$3,"MA_HT","DXH","MA_QH","TIN")</f>
        <v>0</v>
      </c>
      <c r="BB38" s="50">
        <f ca="1">+GETPIVOTDATA("XXS4",'xuanson (2016)'!$A$3,"MA_HT","DXH","MA_QH","SON")</f>
        <v>0</v>
      </c>
      <c r="BC38" s="50">
        <f ca="1">+GETPIVOTDATA("XXS4",'xuanson (2016)'!$A$3,"MA_HT","DXH","MA_QH","MNC")</f>
        <v>0</v>
      </c>
      <c r="BD38" s="50">
        <f ca="1">+GETPIVOTDATA("XXS4",'xuanson (2016)'!$A$3,"MA_HT","DXH","MA_QH","PNK")</f>
        <v>0</v>
      </c>
      <c r="BE38" s="80">
        <f ca="1">+GETPIVOTDATA("XXS4",'xuanson (2016)'!$A$3,"MA_HT","DXH","MA_QH","CSD")</f>
        <v>0</v>
      </c>
      <c r="BF38" s="103">
        <f ca="1" t="shared" si="13"/>
        <v>0</v>
      </c>
      <c r="BG38" s="104">
        <f ca="1">AK$59-$BF38</f>
        <v>0</v>
      </c>
      <c r="BH38" s="47" t="e">
        <f ca="1" t="shared" si="14"/>
        <v>#REF!</v>
      </c>
      <c r="BI38" s="105"/>
      <c r="BJ38" s="105" t="e">
        <f>#REF!</f>
        <v>#REF!</v>
      </c>
      <c r="BK38" s="108" t="e">
        <f ca="1" t="shared" si="19"/>
        <v>#REF!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</row>
    <row r="39" s="5" customFormat="1" ht="16.5" customHeight="1" spans="1:79">
      <c r="A39" s="45" t="s">
        <v>739</v>
      </c>
      <c r="B39" s="45" t="s">
        <v>740</v>
      </c>
      <c r="C39" s="46" t="s">
        <v>111</v>
      </c>
      <c r="D39" s="47" t="e">
        <f>+#REF!</f>
        <v>#REF!</v>
      </c>
      <c r="E39" s="42">
        <f ca="1" t="shared" si="15"/>
        <v>0</v>
      </c>
      <c r="F39" s="52">
        <f ca="1" t="shared" si="9"/>
        <v>0</v>
      </c>
      <c r="G39" s="50">
        <f ca="1">+GETPIVOTDATA("XXS4",'xuanson (2016)'!$A$3,"MA_HT","DCH","MA_QH","LUC")</f>
        <v>0</v>
      </c>
      <c r="H39" s="50">
        <f ca="1">+GETPIVOTDATA("XXS4",'xuanson (2016)'!$A$3,"MA_HT","DCH","MA_QH","LUK")</f>
        <v>0</v>
      </c>
      <c r="I39" s="50">
        <f ca="1">+GETPIVOTDATA("XXS4",'xuanson (2016)'!$A$3,"MA_HT","DCH","MA_QH","LUN")</f>
        <v>0</v>
      </c>
      <c r="J39" s="50">
        <f ca="1">+GETPIVOTDATA("XXS4",'xuanson (2016)'!$A$3,"MA_HT","DCH","MA_QH","HNK")</f>
        <v>0</v>
      </c>
      <c r="K39" s="50">
        <f ca="1">+GETPIVOTDATA("XXS4",'xuanson (2016)'!$A$3,"MA_HT","DCH","MA_QH","CLN")</f>
        <v>0</v>
      </c>
      <c r="L39" s="50">
        <f ca="1">+GETPIVOTDATA("XXS4",'xuanson (2016)'!$A$3,"MA_HT","DCH","MA_QH","RSX")</f>
        <v>0</v>
      </c>
      <c r="M39" s="50">
        <f ca="1">+GETPIVOTDATA("XXS4",'xuanson (2016)'!$A$3,"MA_HT","DCH","MA_QH","RPH")</f>
        <v>0</v>
      </c>
      <c r="N39" s="50">
        <f ca="1">+GETPIVOTDATA("XXS4",'xuanson (2016)'!$A$3,"MA_HT","DCH","MA_QH","RDD")</f>
        <v>0</v>
      </c>
      <c r="O39" s="50">
        <f ca="1">+GETPIVOTDATA("XXS4",'xuanson (2016)'!$A$3,"MA_HT","DCH","MA_QH","NTS")</f>
        <v>0</v>
      </c>
      <c r="P39" s="50">
        <f ca="1">+GETPIVOTDATA("XXS4",'xuanson (2016)'!$A$3,"MA_HT","DCH","MA_QH","LMU")</f>
        <v>0</v>
      </c>
      <c r="Q39" s="50">
        <f ca="1">+GETPIVOTDATA("XXS4",'xuanson (2016)'!$A$3,"MA_HT","DCH","MA_QH","NKH")</f>
        <v>0</v>
      </c>
      <c r="R39" s="48">
        <f ca="1" t="shared" si="20"/>
        <v>0</v>
      </c>
      <c r="S39" s="50">
        <f ca="1">+GETPIVOTDATA("XXS4",'xuanson (2016)'!$A$3,"MA_HT","DCH","MA_QH","CQP")</f>
        <v>0</v>
      </c>
      <c r="T39" s="50">
        <f ca="1">+GETPIVOTDATA("XXS4",'xuanson (2016)'!$A$3,"MA_HT","DCH","MA_QH","CAN")</f>
        <v>0</v>
      </c>
      <c r="U39" s="50">
        <f ca="1">+GETPIVOTDATA("XXS4",'xuanson (2016)'!$A$3,"MA_HT","DCH","MA_QH","SKK")</f>
        <v>0</v>
      </c>
      <c r="V39" s="50">
        <f ca="1">+GETPIVOTDATA("XXS4",'xuanson (2016)'!$A$3,"MA_HT","DCH","MA_QH","SKT")</f>
        <v>0</v>
      </c>
      <c r="W39" s="50">
        <f ca="1">+GETPIVOTDATA("XXS4",'xuanson (2016)'!$A$3,"MA_HT","DCH","MA_QH","SKN")</f>
        <v>0</v>
      </c>
      <c r="X39" s="50">
        <f ca="1">+GETPIVOTDATA("XXS4",'xuanson (2016)'!$A$3,"MA_HT","DCH","MA_QH","TMD")</f>
        <v>0</v>
      </c>
      <c r="Y39" s="50">
        <f ca="1">+GETPIVOTDATA("XXS4",'xuanson (2016)'!$A$3,"MA_HT","DCH","MA_QH","SKC")</f>
        <v>0</v>
      </c>
      <c r="Z39" s="50">
        <f ca="1">+GETPIVOTDATA("XXS4",'xuanson (2016)'!$A$3,"MA_HT","DCH","MA_QH","SKS")</f>
        <v>0</v>
      </c>
      <c r="AA39" s="52">
        <f ca="1">+SUM(AB39:AK39,AM39)</f>
        <v>0</v>
      </c>
      <c r="AB39" s="50">
        <f ca="1">+GETPIVOTDATA("XXS4",'xuanson (2016)'!$A$3,"MA_HT","DCH","MA_QH","DGT")</f>
        <v>0</v>
      </c>
      <c r="AC39" s="50">
        <f ca="1">+GETPIVOTDATA("XXS4",'xuanson (2016)'!$A$3,"MA_HT","DCH","MA_QH","DTL")</f>
        <v>0</v>
      </c>
      <c r="AD39" s="50">
        <f ca="1">+GETPIVOTDATA("XXS4",'xuanson (2016)'!$A$3,"MA_HT","DCH","MA_QH","DNL")</f>
        <v>0</v>
      </c>
      <c r="AE39" s="50">
        <f ca="1">+GETPIVOTDATA("XXS4",'xuanson (2016)'!$A$3,"MA_HT","DCH","MA_QH","DBV")</f>
        <v>0</v>
      </c>
      <c r="AF39" s="50">
        <f ca="1">+GETPIVOTDATA("XXS4",'xuanson (2016)'!$A$3,"MA_HT","DCH","MA_QH","DVH")</f>
        <v>0</v>
      </c>
      <c r="AG39" s="50">
        <f ca="1">+GETPIVOTDATA("XXS4",'xuanson (2016)'!$A$3,"MA_HT","DCH","MA_QH","DYT")</f>
        <v>0</v>
      </c>
      <c r="AH39" s="50">
        <f ca="1">+GETPIVOTDATA("XXS4",'xuanson (2016)'!$A$3,"MA_HT","DCH","MA_QH","DGD")</f>
        <v>0</v>
      </c>
      <c r="AI39" s="50">
        <f ca="1">+GETPIVOTDATA("XXS4",'xuanson (2016)'!$A$3,"MA_HT","DCH","MA_QH","DTT")</f>
        <v>0</v>
      </c>
      <c r="AJ39" s="50">
        <f ca="1">+GETPIVOTDATA("XXS4",'xuanson (2016)'!$A$3,"MA_HT","DCH","MA_QH","NCK")</f>
        <v>0</v>
      </c>
      <c r="AK39" s="50">
        <f ca="1">+GETPIVOTDATA("XXS4",'xuanson (2016)'!$A$3,"MA_HT","DCH","MA_QH","DXH")</f>
        <v>0</v>
      </c>
      <c r="AL39" s="49" t="e">
        <f ca="1">$D39-$BF39</f>
        <v>#REF!</v>
      </c>
      <c r="AM39" s="50">
        <f ca="1">+GETPIVOTDATA("XXS4",'xuanson (2016)'!$A$3,"MA_HT","DXH","MA_QH","DKG")</f>
        <v>0</v>
      </c>
      <c r="AN39" s="50">
        <f ca="1">+GETPIVOTDATA("XXS4",'xuanson (2016)'!$A$3,"MA_HT","DCH","MA_QH","DDT")</f>
        <v>0</v>
      </c>
      <c r="AO39" s="50">
        <f ca="1">+GETPIVOTDATA("XXS4",'xuanson (2016)'!$A$3,"MA_HT","DCH","MA_QH","DDL")</f>
        <v>0</v>
      </c>
      <c r="AP39" s="50">
        <f ca="1">+GETPIVOTDATA("XXS4",'xuanson (2016)'!$A$3,"MA_HT","DCH","MA_QH","DRA")</f>
        <v>0</v>
      </c>
      <c r="AQ39" s="50">
        <f ca="1">+GETPIVOTDATA("XXS4",'xuanson (2016)'!$A$3,"MA_HT","DCH","MA_QH","ONT")</f>
        <v>0</v>
      </c>
      <c r="AR39" s="50">
        <f ca="1">+GETPIVOTDATA("XXS4",'xuanson (2016)'!$A$3,"MA_HT","DCH","MA_QH","ODT")</f>
        <v>0</v>
      </c>
      <c r="AS39" s="50">
        <f ca="1">+GETPIVOTDATA("XXS4",'xuanson (2016)'!$A$3,"MA_HT","DCH","MA_QH","TSC")</f>
        <v>0</v>
      </c>
      <c r="AT39" s="50">
        <f ca="1">+GETPIVOTDATA("XXS4",'xuanson (2016)'!$A$3,"MA_HT","DCH","MA_QH","DTS")</f>
        <v>0</v>
      </c>
      <c r="AU39" s="50">
        <f ca="1">+GETPIVOTDATA("XXS4",'xuanson (2016)'!$A$3,"MA_HT","DCH","MA_QH","DNG")</f>
        <v>0</v>
      </c>
      <c r="AV39" s="50">
        <f ca="1">+GETPIVOTDATA("XXS4",'xuanson (2016)'!$A$3,"MA_HT","DCH","MA_QH","TON")</f>
        <v>0</v>
      </c>
      <c r="AW39" s="50">
        <f ca="1">+GETPIVOTDATA("XXS4",'xuanson (2016)'!$A$3,"MA_HT","DCH","MA_QH","NTD")</f>
        <v>0</v>
      </c>
      <c r="AX39" s="50">
        <f ca="1">+GETPIVOTDATA("XXS4",'xuanson (2016)'!$A$3,"MA_HT","DCH","MA_QH","SKX")</f>
        <v>0</v>
      </c>
      <c r="AY39" s="50">
        <f ca="1">+GETPIVOTDATA("XXS4",'xuanson (2016)'!$A$3,"MA_HT","DCH","MA_QH","DSH")</f>
        <v>0</v>
      </c>
      <c r="AZ39" s="50">
        <f ca="1">+GETPIVOTDATA("XXS4",'xuanson (2016)'!$A$3,"MA_HT","DCH","MA_QH","DKV")</f>
        <v>0</v>
      </c>
      <c r="BA39" s="88">
        <f ca="1">+GETPIVOTDATA("XXS4",'xuanson (2016)'!$A$3,"MA_HT","DCH","MA_QH","TIN")</f>
        <v>0</v>
      </c>
      <c r="BB39" s="50">
        <f ca="1">+GETPIVOTDATA("XXS4",'xuanson (2016)'!$A$3,"MA_HT","DCH","MA_QH","SON")</f>
        <v>0</v>
      </c>
      <c r="BC39" s="50">
        <f ca="1">+GETPIVOTDATA("XXS4",'xuanson (2016)'!$A$3,"MA_HT","DCH","MA_QH","MNC")</f>
        <v>0</v>
      </c>
      <c r="BD39" s="50">
        <f ca="1">+GETPIVOTDATA("XXS4",'xuanson (2016)'!$A$3,"MA_HT","DCH","MA_QH","PNK")</f>
        <v>0</v>
      </c>
      <c r="BE39" s="80">
        <f ca="1">+GETPIVOTDATA("XXS4",'xuanson (2016)'!$A$3,"MA_HT","DCH","MA_QH","CSD")</f>
        <v>0</v>
      </c>
      <c r="BF39" s="103">
        <f ca="1" t="shared" si="13"/>
        <v>0</v>
      </c>
      <c r="BG39" s="104">
        <f ca="1">AL$59-$BF39</f>
        <v>0</v>
      </c>
      <c r="BH39" s="47" t="e">
        <f ca="1" t="shared" si="14"/>
        <v>#REF!</v>
      </c>
      <c r="BI39" s="109"/>
      <c r="BJ39" s="109" t="e">
        <f>#REF!</f>
        <v>#REF!</v>
      </c>
      <c r="BK39" s="110" t="e">
        <f ca="1" t="shared" si="19"/>
        <v>#REF!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="5" customFormat="1" ht="16.5" customHeight="1" spans="1:79">
      <c r="A40" s="45" t="s">
        <v>741</v>
      </c>
      <c r="B40" s="45" t="s">
        <v>96</v>
      </c>
      <c r="C40" s="46" t="s">
        <v>97</v>
      </c>
      <c r="D40" s="47" t="e">
        <f>+#REF!</f>
        <v>#REF!</v>
      </c>
      <c r="E40" s="42">
        <f ca="1" t="shared" si="15"/>
        <v>0</v>
      </c>
      <c r="F40" s="52">
        <f ca="1" t="shared" si="9"/>
        <v>0</v>
      </c>
      <c r="G40" s="50">
        <f ca="1">+GETPIVOTDATA("XXS4",'xuanson (2016)'!$A$3,"MA_HT","DKG","MA_QH","LUC")</f>
        <v>0</v>
      </c>
      <c r="H40" s="50">
        <f ca="1">+GETPIVOTDATA("XXS4",'xuanson (2016)'!$A$3,"MA_HT","DKG","MA_QH","LUK")</f>
        <v>0</v>
      </c>
      <c r="I40" s="50">
        <f ca="1">+GETPIVOTDATA("XXS4",'xuanson (2016)'!$A$3,"MA_HT","DKG","MA_QH","LUN")</f>
        <v>0</v>
      </c>
      <c r="J40" s="50">
        <f ca="1">+GETPIVOTDATA("XXS4",'xuanson (2016)'!$A$3,"MA_HT","DKG","MA_QH","HNK")</f>
        <v>0</v>
      </c>
      <c r="K40" s="50">
        <f ca="1">+GETPIVOTDATA("XXS4",'xuanson (2016)'!$A$3,"MA_HT","DKG","MA_QH","CLN")</f>
        <v>0</v>
      </c>
      <c r="L40" s="50">
        <f ca="1">+GETPIVOTDATA("XXS4",'xuanson (2016)'!$A$3,"MA_HT","DKG","MA_QH","RSX")</f>
        <v>0</v>
      </c>
      <c r="M40" s="50">
        <f ca="1">+GETPIVOTDATA("XXS4",'xuanson (2016)'!$A$3,"MA_HT","DKG","MA_QH","RPH")</f>
        <v>0</v>
      </c>
      <c r="N40" s="50">
        <f ca="1">+GETPIVOTDATA("XXS4",'xuanson (2016)'!$A$3,"MA_HT","DKG","MA_QH","RDD")</f>
        <v>0</v>
      </c>
      <c r="O40" s="50">
        <f ca="1">+GETPIVOTDATA("XXS4",'xuanson (2016)'!$A$3,"MA_HT","DKG","MA_QH","NTS")</f>
        <v>0</v>
      </c>
      <c r="P40" s="50">
        <f ca="1">+GETPIVOTDATA("XXS4",'xuanson (2016)'!$A$3,"MA_HT","DKG","MA_QH","LMU")</f>
        <v>0</v>
      </c>
      <c r="Q40" s="50">
        <f ca="1">+GETPIVOTDATA("XXS4",'xuanson (2016)'!$A$3,"MA_HT","DKG","MA_QH","NKH")</f>
        <v>0</v>
      </c>
      <c r="R40" s="48">
        <f ca="1" t="shared" si="20"/>
        <v>0</v>
      </c>
      <c r="S40" s="50">
        <f ca="1">+GETPIVOTDATA("XXS4",'xuanson (2016)'!$A$3,"MA_HT","DKG","MA_QH","CQP")</f>
        <v>0</v>
      </c>
      <c r="T40" s="50">
        <f ca="1">+GETPIVOTDATA("XXS4",'xuanson (2016)'!$A$3,"MA_HT","DKG","MA_QH","CAN")</f>
        <v>0</v>
      </c>
      <c r="U40" s="50">
        <f ca="1">+GETPIVOTDATA("XXS4",'xuanson (2016)'!$A$3,"MA_HT","DKG","MA_QH","SKK")</f>
        <v>0</v>
      </c>
      <c r="V40" s="50">
        <f ca="1">+GETPIVOTDATA("XXS4",'xuanson (2016)'!$A$3,"MA_HT","DKG","MA_QH","SKT")</f>
        <v>0</v>
      </c>
      <c r="W40" s="50">
        <f ca="1">+GETPIVOTDATA("XXS4",'xuanson (2016)'!$A$3,"MA_HT","DKG","MA_QH","SKN")</f>
        <v>0</v>
      </c>
      <c r="X40" s="50">
        <f ca="1">+GETPIVOTDATA("XXS4",'xuanson (2016)'!$A$3,"MA_HT","DKG","MA_QH","TMD")</f>
        <v>0</v>
      </c>
      <c r="Y40" s="50">
        <f ca="1">+GETPIVOTDATA("XXS4",'xuanson (2016)'!$A$3,"MA_HT","DKG","MA_QH","SKC")</f>
        <v>0</v>
      </c>
      <c r="Z40" s="50">
        <f ca="1">+GETPIVOTDATA("XXS4",'xuanson (2016)'!$A$3,"MA_HT","DKG","MA_QH","SKS")</f>
        <v>0</v>
      </c>
      <c r="AA40" s="52">
        <f ca="1">+SUM(AB40:AL40)</f>
        <v>0</v>
      </c>
      <c r="AB40" s="50">
        <f ca="1">+GETPIVOTDATA("XXS4",'xuanson (2016)'!$A$3,"MA_HT","DKG","MA_QH","DGT")</f>
        <v>0</v>
      </c>
      <c r="AC40" s="50">
        <f ca="1">+GETPIVOTDATA("XXS4",'xuanson (2016)'!$A$3,"MA_HT","DKG","MA_QH","DTL")</f>
        <v>0</v>
      </c>
      <c r="AD40" s="50">
        <f ca="1">+GETPIVOTDATA("XXS4",'xuanson (2016)'!$A$3,"MA_HT","DKG","MA_QH","DNL")</f>
        <v>0</v>
      </c>
      <c r="AE40" s="50">
        <f ca="1">+GETPIVOTDATA("XXS4",'xuanson (2016)'!$A$3,"MA_HT","DKG","MA_QH","DBV")</f>
        <v>0</v>
      </c>
      <c r="AF40" s="50">
        <f ca="1">+GETPIVOTDATA("XXS4",'xuanson (2016)'!$A$3,"MA_HT","DKG","MA_QH","DVH")</f>
        <v>0</v>
      </c>
      <c r="AG40" s="50">
        <f ca="1">+GETPIVOTDATA("XXS4",'xuanson (2016)'!$A$3,"MA_HT","DKG","MA_QH","DYT")</f>
        <v>0</v>
      </c>
      <c r="AH40" s="50">
        <f ca="1">+GETPIVOTDATA("XXS4",'xuanson (2016)'!$A$3,"MA_HT","DKG","MA_QH","DGD")</f>
        <v>0</v>
      </c>
      <c r="AI40" s="50">
        <f ca="1">+GETPIVOTDATA("XXS4",'xuanson (2016)'!$A$3,"MA_HT","DKG","MA_QH","DTT")</f>
        <v>0</v>
      </c>
      <c r="AJ40" s="50">
        <f ca="1">+GETPIVOTDATA("XXS4",'xuanson (2016)'!$A$3,"MA_HT","DKG","MA_QH","NCK")</f>
        <v>0</v>
      </c>
      <c r="AK40" s="50">
        <f ca="1">+GETPIVOTDATA("XXS4",'xuanson (2016)'!$A$3,"MA_HT","DKG","MA_QH","DXH")</f>
        <v>0</v>
      </c>
      <c r="AL40" s="60">
        <f ca="1">+GETPIVOTDATA("XXS4",'xuanson (2016)'!$A$3,"MA_HT","DDT","MA_QH","DKG")</f>
        <v>0</v>
      </c>
      <c r="AM40" s="49" t="e">
        <f ca="1">$D40-$BF40</f>
        <v>#REF!</v>
      </c>
      <c r="AN40" s="50">
        <f ca="1">+GETPIVOTDATA("XXS4",'xuanson (2016)'!$A$3,"MA_HT","DKG","MA_QH","DDT")</f>
        <v>0</v>
      </c>
      <c r="AO40" s="50">
        <f ca="1">+GETPIVOTDATA("XXS4",'xuanson (2016)'!$A$3,"MA_HT","DKG","MA_QH","DDL")</f>
        <v>0</v>
      </c>
      <c r="AP40" s="50">
        <f ca="1">+GETPIVOTDATA("XXS4",'xuanson (2016)'!$A$3,"MA_HT","DKG","MA_QH","DRA")</f>
        <v>0</v>
      </c>
      <c r="AQ40" s="50">
        <f ca="1">+GETPIVOTDATA("XXS4",'xuanson (2016)'!$A$3,"MA_HT","DKG","MA_QH","ONT")</f>
        <v>0</v>
      </c>
      <c r="AR40" s="50">
        <f ca="1">+GETPIVOTDATA("XXS4",'xuanson (2016)'!$A$3,"MA_HT","DKG","MA_QH","ODT")</f>
        <v>0</v>
      </c>
      <c r="AS40" s="50">
        <f ca="1">+GETPIVOTDATA("XXS4",'xuanson (2016)'!$A$3,"MA_HT","DKG","MA_QH","TSC")</f>
        <v>0</v>
      </c>
      <c r="AT40" s="50">
        <f ca="1">+GETPIVOTDATA("XXS4",'xuanson (2016)'!$A$3,"MA_HT","DKG","MA_QH","DTS")</f>
        <v>0</v>
      </c>
      <c r="AU40" s="50">
        <f ca="1">+GETPIVOTDATA("XXS4",'xuanson (2016)'!$A$3,"MA_HT","DKG","MA_QH","DNG")</f>
        <v>0</v>
      </c>
      <c r="AV40" s="50">
        <f ca="1">+GETPIVOTDATA("XXS4",'xuanson (2016)'!$A$3,"MA_HT","DKG","MA_QH","TON")</f>
        <v>0</v>
      </c>
      <c r="AW40" s="50">
        <f ca="1">+GETPIVOTDATA("XXS4",'xuanson (2016)'!$A$3,"MA_HT","DKG","MA_QH","NTD")</f>
        <v>0</v>
      </c>
      <c r="AX40" s="50">
        <f ca="1">+GETPIVOTDATA("XXS4",'xuanson (2016)'!$A$3,"MA_HT","DKG","MA_QH","SKX")</f>
        <v>0</v>
      </c>
      <c r="AY40" s="50">
        <f ca="1">+GETPIVOTDATA("XXS4",'xuanson (2016)'!$A$3,"MA_HT","DKG","MA_QH","DSH")</f>
        <v>0</v>
      </c>
      <c r="AZ40" s="50">
        <f ca="1">+GETPIVOTDATA("XXS4",'xuanson (2016)'!$A$3,"MA_HT","DKG","MA_QH","DKV")</f>
        <v>0</v>
      </c>
      <c r="BA40" s="88">
        <f ca="1">+GETPIVOTDATA("XXS4",'xuanson (2016)'!$A$3,"MA_HT","DKG","MA_QH","TIN")</f>
        <v>0</v>
      </c>
      <c r="BB40" s="50">
        <f ca="1">+GETPIVOTDATA("XXS4",'xuanson (2016)'!$A$3,"MA_HT","DKG","MA_QH","SON")</f>
        <v>0</v>
      </c>
      <c r="BC40" s="50">
        <f ca="1">+GETPIVOTDATA("XXS4",'xuanson (2016)'!$A$3,"MA_HT","DKG","MA_QH","MNC")</f>
        <v>0</v>
      </c>
      <c r="BD40" s="50">
        <f ca="1">+GETPIVOTDATA("XXS4",'xuanson (2016)'!$A$3,"MA_HT","DKG","MA_QH","PNK")</f>
        <v>0</v>
      </c>
      <c r="BE40" s="80">
        <f ca="1">+GETPIVOTDATA("XXS4",'xuanson (2016)'!$A$3,"MA_HT","DKG","MA_QH","CSD")</f>
        <v>0</v>
      </c>
      <c r="BF40" s="103">
        <f ca="1" t="shared" si="13"/>
        <v>0</v>
      </c>
      <c r="BG40" s="104">
        <f ca="1">AM$59-$BF40</f>
        <v>0</v>
      </c>
      <c r="BH40" s="47" t="e">
        <f ca="1" t="shared" si="14"/>
        <v>#REF!</v>
      </c>
      <c r="BI40" s="109"/>
      <c r="BJ40" s="109" t="e">
        <f>#REF!</f>
        <v>#REF!</v>
      </c>
      <c r="BK40" s="110" t="e">
        <f ca="1" t="shared" si="19"/>
        <v>#REF!</v>
      </c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="6" customFormat="1" ht="15.75" customHeight="1" spans="1:79">
      <c r="A41" s="54" t="s">
        <v>112</v>
      </c>
      <c r="B41" s="55" t="s">
        <v>742</v>
      </c>
      <c r="C41" s="56" t="s">
        <v>99</v>
      </c>
      <c r="D41" s="57" t="e">
        <f>+#REF!</f>
        <v>#REF!</v>
      </c>
      <c r="E41" s="58">
        <f ca="1" t="shared" si="15"/>
        <v>0</v>
      </c>
      <c r="F41" s="59">
        <f ca="1" t="shared" si="9"/>
        <v>0</v>
      </c>
      <c r="G41" s="60">
        <f ca="1">+GETPIVOTDATA("XXS4",'xuanson (2016)'!$A$3,"MA_HT","DDT","MA_QH","LUC")</f>
        <v>0</v>
      </c>
      <c r="H41" s="60">
        <f ca="1">+GETPIVOTDATA("XXS4",'xuanson (2016)'!$A$3,"MA_HT","DDT","MA_QH","LUK")</f>
        <v>0</v>
      </c>
      <c r="I41" s="60">
        <f ca="1">+GETPIVOTDATA("XXS4",'xuanson (2016)'!$A$3,"MA_HT","DDT","MA_QH","LUN")</f>
        <v>0</v>
      </c>
      <c r="J41" s="60">
        <f ca="1">+GETPIVOTDATA("XXS4",'xuanson (2016)'!$A$3,"MA_HT","DDT","MA_QH","HNK")</f>
        <v>0</v>
      </c>
      <c r="K41" s="60">
        <f ca="1">+GETPIVOTDATA("XXS4",'xuanson (2016)'!$A$3,"MA_HT","DDT","MA_QH","CLN")</f>
        <v>0</v>
      </c>
      <c r="L41" s="60">
        <f ca="1">+GETPIVOTDATA("XXS4",'xuanson (2016)'!$A$3,"MA_HT","DDT","MA_QH","RSX")</f>
        <v>0</v>
      </c>
      <c r="M41" s="60">
        <f ca="1">+GETPIVOTDATA("XXS4",'xuanson (2016)'!$A$3,"MA_HT","DDT","MA_QH","RPH")</f>
        <v>0</v>
      </c>
      <c r="N41" s="60">
        <f ca="1">+GETPIVOTDATA("XXS4",'xuanson (2016)'!$A$3,"MA_HT","DDT","MA_QH","RDD")</f>
        <v>0</v>
      </c>
      <c r="O41" s="60">
        <f ca="1">+GETPIVOTDATA("XXS4",'xuanson (2016)'!$A$3,"MA_HT","DDT","MA_QH","NTS")</f>
        <v>0</v>
      </c>
      <c r="P41" s="60">
        <f ca="1">+GETPIVOTDATA("XXS4",'xuanson (2016)'!$A$3,"MA_HT","DDT","MA_QH","LMU")</f>
        <v>0</v>
      </c>
      <c r="Q41" s="60">
        <f ca="1">+GETPIVOTDATA("XXS4",'xuanson (2016)'!$A$3,"MA_HT","DDT","MA_QH","NKH")</f>
        <v>0</v>
      </c>
      <c r="R41" s="78">
        <f ca="1">SUM(S41:AA41,AO41:BD41)</f>
        <v>0</v>
      </c>
      <c r="S41" s="60">
        <f ca="1">+GETPIVOTDATA("XXS4",'xuanson (2016)'!$A$3,"MA_HT","DDT","MA_QH","CQP")</f>
        <v>0</v>
      </c>
      <c r="T41" s="60">
        <f ca="1">+GETPIVOTDATA("XXS4",'xuanson (2016)'!$A$3,"MA_HT","DDT","MA_QH","CAN")</f>
        <v>0</v>
      </c>
      <c r="U41" s="60">
        <f ca="1">+GETPIVOTDATA("XXS4",'xuanson (2016)'!$A$3,"MA_HT","DDT","MA_QH","SKK")</f>
        <v>0</v>
      </c>
      <c r="V41" s="60">
        <f ca="1">+GETPIVOTDATA("XXS4",'xuanson (2016)'!$A$3,"MA_HT","DDT","MA_QH","SKT")</f>
        <v>0</v>
      </c>
      <c r="W41" s="60">
        <f ca="1">+GETPIVOTDATA("XXS4",'xuanson (2016)'!$A$3,"MA_HT","DDT","MA_QH","SKN")</f>
        <v>0</v>
      </c>
      <c r="X41" s="60">
        <f ca="1">+GETPIVOTDATA("XXS4",'xuanson (2016)'!$A$3,"MA_HT","DDT","MA_QH","TMD")</f>
        <v>0</v>
      </c>
      <c r="Y41" s="60">
        <f ca="1">+GETPIVOTDATA("XXS4",'xuanson (2016)'!$A$3,"MA_HT","DDT","MA_QH","SKC")</f>
        <v>0</v>
      </c>
      <c r="Z41" s="60">
        <f ca="1">+GETPIVOTDATA("XXS4",'xuanson (2016)'!$A$3,"MA_HT","DDT","MA_QH","SKS")</f>
        <v>0</v>
      </c>
      <c r="AA41" s="59">
        <f ca="1" t="shared" ref="AA41:AA58" si="21">+SUM(AB41:AM41)</f>
        <v>0</v>
      </c>
      <c r="AB41" s="60">
        <f ca="1">+GETPIVOTDATA("XXS4",'xuanson (2016)'!$A$3,"MA_HT","DDT","MA_QH","DGT")</f>
        <v>0</v>
      </c>
      <c r="AC41" s="60">
        <f ca="1">+GETPIVOTDATA("XXS4",'xuanson (2016)'!$A$3,"MA_HT","DDT","MA_QH","DTL")</f>
        <v>0</v>
      </c>
      <c r="AD41" s="60">
        <f ca="1">+GETPIVOTDATA("XXS4",'xuanson (2016)'!$A$3,"MA_HT","DDT","MA_QH","DNL")</f>
        <v>0</v>
      </c>
      <c r="AE41" s="60">
        <f ca="1">+GETPIVOTDATA("XXS4",'xuanson (2016)'!$A$3,"MA_HT","DDT","MA_QH","DBV")</f>
        <v>0</v>
      </c>
      <c r="AF41" s="60">
        <f ca="1">+GETPIVOTDATA("XXS4",'xuanson (2016)'!$A$3,"MA_HT","DDT","MA_QH","DVH")</f>
        <v>0</v>
      </c>
      <c r="AG41" s="60">
        <f ca="1">+GETPIVOTDATA("XXS4",'xuanson (2016)'!$A$3,"MA_HT","DDT","MA_QH","DYT")</f>
        <v>0</v>
      </c>
      <c r="AH41" s="60">
        <f ca="1">+GETPIVOTDATA("XXS4",'xuanson (2016)'!$A$3,"MA_HT","DDT","MA_QH","DGD")</f>
        <v>0</v>
      </c>
      <c r="AI41" s="60">
        <f ca="1">+GETPIVOTDATA("XXS4",'xuanson (2016)'!$A$3,"MA_HT","DDT","MA_QH","DTT")</f>
        <v>0</v>
      </c>
      <c r="AJ41" s="60">
        <f ca="1">+GETPIVOTDATA("XXS4",'xuanson (2016)'!$A$3,"MA_HT","DDT","MA_QH","NCK")</f>
        <v>0</v>
      </c>
      <c r="AK41" s="60">
        <f ca="1">+GETPIVOTDATA("XXS4",'xuanson (2016)'!$A$3,"MA_HT","DDT","MA_QH","DXH")</f>
        <v>0</v>
      </c>
      <c r="AL41" s="60">
        <f ca="1">+GETPIVOTDATA("XXS4",'xuanson (2016)'!$A$3,"MA_HT","DDT","MA_QH","DCH")</f>
        <v>0</v>
      </c>
      <c r="AM41" s="60">
        <f ca="1">+GETPIVOTDATA("XXS4",'xuanson (2016)'!$A$3,"MA_HT","DDT","MA_QH","DKG")</f>
        <v>0</v>
      </c>
      <c r="AN41" s="81" t="e">
        <f ca="1">$D41-$BF41</f>
        <v>#REF!</v>
      </c>
      <c r="AO41" s="60">
        <f ca="1">+GETPIVOTDATA("XXS4",'xuanson (2016)'!$A$3,"MA_HT","DDT","MA_QH","DDL")</f>
        <v>0</v>
      </c>
      <c r="AP41" s="60">
        <f ca="1">+GETPIVOTDATA("XXS4",'xuanson (2016)'!$A$3,"MA_HT","DDT","MA_QH","DRA")</f>
        <v>0</v>
      </c>
      <c r="AQ41" s="60">
        <f ca="1">+GETPIVOTDATA("XXS4",'xuanson (2016)'!$A$3,"MA_HT","DDT","MA_QH","ONT")</f>
        <v>0</v>
      </c>
      <c r="AR41" s="60">
        <f ca="1">+GETPIVOTDATA("XXS4",'xuanson (2016)'!$A$3,"MA_HT","DDT","MA_QH","ODT")</f>
        <v>0</v>
      </c>
      <c r="AS41" s="60">
        <f ca="1">+GETPIVOTDATA("XXS4",'xuanson (2016)'!$A$3,"MA_HT","DDT","MA_QH","TSC")</f>
        <v>0</v>
      </c>
      <c r="AT41" s="60">
        <f ca="1">+GETPIVOTDATA("XXS4",'xuanson (2016)'!$A$3,"MA_HT","DDT","MA_QH","DTS")</f>
        <v>0</v>
      </c>
      <c r="AU41" s="60">
        <f ca="1">+GETPIVOTDATA("XXS4",'xuanson (2016)'!$A$3,"MA_HT","DDT","MA_QH","DNG")</f>
        <v>0</v>
      </c>
      <c r="AV41" s="60">
        <f ca="1">+GETPIVOTDATA("XXS4",'xuanson (2016)'!$A$3,"MA_HT","DDT","MA_QH","TON")</f>
        <v>0</v>
      </c>
      <c r="AW41" s="60">
        <f ca="1">+GETPIVOTDATA("XXS4",'xuanson (2016)'!$A$3,"MA_HT","DDT","MA_QH","NTD")</f>
        <v>0</v>
      </c>
      <c r="AX41" s="60">
        <f ca="1">+GETPIVOTDATA("XXS4",'xuanson (2016)'!$A$3,"MA_HT","DDT","MA_QH","SKX")</f>
        <v>0</v>
      </c>
      <c r="AY41" s="60">
        <f ca="1">+GETPIVOTDATA("XXS4",'xuanson (2016)'!$A$3,"MA_HT","DDT","MA_QH","DSH")</f>
        <v>0</v>
      </c>
      <c r="AZ41" s="60">
        <f ca="1">+GETPIVOTDATA("XXS4",'xuanson (2016)'!$A$3,"MA_HT","DDT","MA_QH","DKV")</f>
        <v>0</v>
      </c>
      <c r="BA41" s="90">
        <f ca="1">+GETPIVOTDATA("XXS4",'xuanson (2016)'!$A$3,"MA_HT","DDT","MA_QH","TIN")</f>
        <v>0</v>
      </c>
      <c r="BB41" s="91">
        <f ca="1">+GETPIVOTDATA("XXS4",'xuanson (2016)'!$A$3,"MA_HT","DDT","MA_QH","SON")</f>
        <v>0</v>
      </c>
      <c r="BC41" s="91">
        <f ca="1">+GETPIVOTDATA("XXS4",'xuanson (2016)'!$A$3,"MA_HT","DDT","MA_QH","MNC")</f>
        <v>0</v>
      </c>
      <c r="BD41" s="60">
        <f ca="1">+GETPIVOTDATA("XXS4",'xuanson (2016)'!$A$3,"MA_HT","DDT","MA_QH","PNK")</f>
        <v>0</v>
      </c>
      <c r="BE41" s="111">
        <f ca="1">+GETPIVOTDATA("XXS4",'xuanson (2016)'!$A$3,"MA_HT","DDT","MA_QH","CSD")</f>
        <v>0</v>
      </c>
      <c r="BF41" s="112">
        <f ca="1" t="shared" si="13"/>
        <v>0</v>
      </c>
      <c r="BG41" s="113">
        <f ca="1">AN$59-$BF41</f>
        <v>0</v>
      </c>
      <c r="BH41" s="57" t="e">
        <f ca="1" t="shared" si="14"/>
        <v>#REF!</v>
      </c>
      <c r="BI41" s="114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</row>
    <row r="42" s="2" customFormat="1" ht="15.75" customHeight="1" spans="1:79">
      <c r="A42" s="39" t="s">
        <v>115</v>
      </c>
      <c r="B42" s="53" t="s">
        <v>113</v>
      </c>
      <c r="C42" s="40" t="s">
        <v>114</v>
      </c>
      <c r="D42" s="41" t="e">
        <f>+#REF!</f>
        <v>#REF!</v>
      </c>
      <c r="E42" s="42">
        <f ca="1" t="shared" si="15"/>
        <v>0</v>
      </c>
      <c r="F42" s="52">
        <f ca="1" t="shared" si="9"/>
        <v>0</v>
      </c>
      <c r="G42" s="22">
        <f ca="1">+GETPIVOTDATA("XXS4",'xuanson (2016)'!$A$3,"MA_HT","DDL","MA_QH","LUC")</f>
        <v>0</v>
      </c>
      <c r="H42" s="22">
        <f ca="1">+GETPIVOTDATA("XXS4",'xuanson (2016)'!$A$3,"MA_HT","DDL","MA_QH","LUK")</f>
        <v>0</v>
      </c>
      <c r="I42" s="22">
        <f ca="1">+GETPIVOTDATA("XXS4",'xuanson (2016)'!$A$3,"MA_HT","DDL","MA_QH","LUN")</f>
        <v>0</v>
      </c>
      <c r="J42" s="22">
        <f ca="1">+GETPIVOTDATA("XXS4",'xuanson (2016)'!$A$3,"MA_HT","DDL","MA_QH","HNK")</f>
        <v>0</v>
      </c>
      <c r="K42" s="22">
        <f ca="1">+GETPIVOTDATA("XXS4",'xuanson (2016)'!$A$3,"MA_HT","DDL","MA_QH","CLN")</f>
        <v>0</v>
      </c>
      <c r="L42" s="22">
        <f ca="1">+GETPIVOTDATA("XXS4",'xuanson (2016)'!$A$3,"MA_HT","DDL","MA_QH","RSX")</f>
        <v>0</v>
      </c>
      <c r="M42" s="22">
        <f ca="1">+GETPIVOTDATA("XXS4",'xuanson (2016)'!$A$3,"MA_HT","DDL","MA_QH","RPH")</f>
        <v>0</v>
      </c>
      <c r="N42" s="22">
        <f ca="1">+GETPIVOTDATA("XXS4",'xuanson (2016)'!$A$3,"MA_HT","DDL","MA_QH","RDD")</f>
        <v>0</v>
      </c>
      <c r="O42" s="22">
        <f ca="1">+GETPIVOTDATA("XXS4",'xuanson (2016)'!$A$3,"MA_HT","DDL","MA_QH","NTS")</f>
        <v>0</v>
      </c>
      <c r="P42" s="22">
        <f ca="1">+GETPIVOTDATA("XXS4",'xuanson (2016)'!$A$3,"MA_HT","DDL","MA_QH","LMU")</f>
        <v>0</v>
      </c>
      <c r="Q42" s="22">
        <f ca="1">+GETPIVOTDATA("XXS4",'xuanson (2016)'!$A$3,"MA_HT","DDL","MA_QH","NKH")</f>
        <v>0</v>
      </c>
      <c r="R42" s="79">
        <f ca="1">SUM(S42:AA42,AN42,AP42:BD42)</f>
        <v>0</v>
      </c>
      <c r="S42" s="22">
        <f ca="1">+GETPIVOTDATA("XXS4",'xuanson (2016)'!$A$3,"MA_HT","DDL","MA_QH","CQP")</f>
        <v>0</v>
      </c>
      <c r="T42" s="22">
        <f ca="1">+GETPIVOTDATA("XXS4",'xuanson (2016)'!$A$3,"MA_HT","DDL","MA_QH","CAN")</f>
        <v>0</v>
      </c>
      <c r="U42" s="22">
        <f ca="1">+GETPIVOTDATA("XXS4",'xuanson (2016)'!$A$3,"MA_HT","DDL","MA_QH","SKK")</f>
        <v>0</v>
      </c>
      <c r="V42" s="22">
        <f ca="1">+GETPIVOTDATA("XXS4",'xuanson (2016)'!$A$3,"MA_HT","DDL","MA_QH","SKT")</f>
        <v>0</v>
      </c>
      <c r="W42" s="22">
        <f ca="1">+GETPIVOTDATA("XXS4",'xuanson (2016)'!$A$3,"MA_HT","DDL","MA_QH","SKN")</f>
        <v>0</v>
      </c>
      <c r="X42" s="22">
        <f ca="1">+GETPIVOTDATA("XXS4",'xuanson (2016)'!$A$3,"MA_HT","DDL","MA_QH","TMD")</f>
        <v>0</v>
      </c>
      <c r="Y42" s="22">
        <f ca="1">+GETPIVOTDATA("XXS4",'xuanson (2016)'!$A$3,"MA_HT","DDL","MA_QH","SKC")</f>
        <v>0</v>
      </c>
      <c r="Z42" s="22">
        <f ca="1">+GETPIVOTDATA("XXS4",'xuanson (2016)'!$A$3,"MA_HT","DDL","MA_QH","SKS")</f>
        <v>0</v>
      </c>
      <c r="AA42" s="52">
        <f ca="1" t="shared" si="21"/>
        <v>0</v>
      </c>
      <c r="AB42" s="22">
        <f ca="1">+GETPIVOTDATA("XXS4",'xuanson (2016)'!$A$3,"MA_HT","DDL","MA_QH","DGT")</f>
        <v>0</v>
      </c>
      <c r="AC42" s="22">
        <f ca="1">+GETPIVOTDATA("XXS4",'xuanson (2016)'!$A$3,"MA_HT","DDL","MA_QH","DTL")</f>
        <v>0</v>
      </c>
      <c r="AD42" s="22">
        <f ca="1">+GETPIVOTDATA("XXS4",'xuanson (2016)'!$A$3,"MA_HT","DDL","MA_QH","DNL")</f>
        <v>0</v>
      </c>
      <c r="AE42" s="22">
        <f ca="1">+GETPIVOTDATA("XXS4",'xuanson (2016)'!$A$3,"MA_HT","DDL","MA_QH","DBV")</f>
        <v>0</v>
      </c>
      <c r="AF42" s="22">
        <f ca="1">+GETPIVOTDATA("XXS4",'xuanson (2016)'!$A$3,"MA_HT","DDL","MA_QH","DVH")</f>
        <v>0</v>
      </c>
      <c r="AG42" s="22">
        <f ca="1">+GETPIVOTDATA("XXS4",'xuanson (2016)'!$A$3,"MA_HT","DDL","MA_QH","DYT")</f>
        <v>0</v>
      </c>
      <c r="AH42" s="22">
        <f ca="1">+GETPIVOTDATA("XXS4",'xuanson (2016)'!$A$3,"MA_HT","DDL","MA_QH","DGD")</f>
        <v>0</v>
      </c>
      <c r="AI42" s="22">
        <f ca="1">+GETPIVOTDATA("XXS4",'xuanson (2016)'!$A$3,"MA_HT","DDL","MA_QH","DTT")</f>
        <v>0</v>
      </c>
      <c r="AJ42" s="22">
        <f ca="1">+GETPIVOTDATA("XXS4",'xuanson (2016)'!$A$3,"MA_HT","DDL","MA_QH","NCK")</f>
        <v>0</v>
      </c>
      <c r="AK42" s="22">
        <f ca="1">+GETPIVOTDATA("XXS4",'xuanson (2016)'!$A$3,"MA_HT","DDL","MA_QH","DXH")</f>
        <v>0</v>
      </c>
      <c r="AL42" s="22">
        <f ca="1">+GETPIVOTDATA("XXS4",'xuanson (2016)'!$A$3,"MA_HT","DDL","MA_QH","DCH")</f>
        <v>0</v>
      </c>
      <c r="AM42" s="22">
        <f ca="1">+GETPIVOTDATA("XXS4",'xuanson (2016)'!$A$3,"MA_HT","DDL","MA_QH","DKG")</f>
        <v>0</v>
      </c>
      <c r="AN42" s="22">
        <f ca="1">+GETPIVOTDATA("XXS4",'xuanson (2016)'!$A$3,"MA_HT","DDL","MA_QH","DDT")</f>
        <v>0</v>
      </c>
      <c r="AO42" s="43" t="e">
        <f ca="1">$D42-$BF42</f>
        <v>#REF!</v>
      </c>
      <c r="AP42" s="22">
        <f ca="1">+GETPIVOTDATA("XXS4",'xuanson (2016)'!$A$3,"MA_HT","DDL","MA_QH","DRA")</f>
        <v>0</v>
      </c>
      <c r="AQ42" s="22">
        <f ca="1">+GETPIVOTDATA("XXS4",'xuanson (2016)'!$A$3,"MA_HT","DDL","MA_QH","ONT")</f>
        <v>0</v>
      </c>
      <c r="AR42" s="22">
        <f ca="1">+GETPIVOTDATA("XXS4",'xuanson (2016)'!$A$3,"MA_HT","DDL","MA_QH","ODT")</f>
        <v>0</v>
      </c>
      <c r="AS42" s="22">
        <f ca="1">+GETPIVOTDATA("XXS4",'xuanson (2016)'!$A$3,"MA_HT","DDL","MA_QH","TSC")</f>
        <v>0</v>
      </c>
      <c r="AT42" s="22">
        <f ca="1">+GETPIVOTDATA("XXS4",'xuanson (2016)'!$A$3,"MA_HT","DDL","MA_QH","DTS")</f>
        <v>0</v>
      </c>
      <c r="AU42" s="22">
        <f ca="1">+GETPIVOTDATA("XXS4",'xuanson (2016)'!$A$3,"MA_HT","DDL","MA_QH","DNG")</f>
        <v>0</v>
      </c>
      <c r="AV42" s="22">
        <f ca="1">+GETPIVOTDATA("XXS4",'xuanson (2016)'!$A$3,"MA_HT","DDL","MA_QH","TON")</f>
        <v>0</v>
      </c>
      <c r="AW42" s="22">
        <f ca="1">+GETPIVOTDATA("XXS4",'xuanson (2016)'!$A$3,"MA_HT","DDL","MA_QH","NTD")</f>
        <v>0</v>
      </c>
      <c r="AX42" s="22">
        <f ca="1">+GETPIVOTDATA("XXS4",'xuanson (2016)'!$A$3,"MA_HT","DDL","MA_QH","SKX")</f>
        <v>0</v>
      </c>
      <c r="AY42" s="22">
        <f ca="1">+GETPIVOTDATA("XXS4",'xuanson (2016)'!$A$3,"MA_HT","DDL","MA_QH","DSH")</f>
        <v>0</v>
      </c>
      <c r="AZ42" s="22">
        <f ca="1">+GETPIVOTDATA("XXS4",'xuanson (2016)'!$A$3,"MA_HT","DDL","MA_QH","DKV")</f>
        <v>0</v>
      </c>
      <c r="BA42" s="89">
        <f ca="1">+GETPIVOTDATA("XXS4",'xuanson (2016)'!$A$3,"MA_HT","DDL","MA_QH","TIN")</f>
        <v>0</v>
      </c>
      <c r="BB42" s="50">
        <f ca="1">+GETPIVOTDATA("XXS4",'xuanson (2016)'!$A$3,"MA_HT","DDL","MA_QH","SON")</f>
        <v>0</v>
      </c>
      <c r="BC42" s="50">
        <f ca="1">+GETPIVOTDATA("XXS4",'xuanson (2016)'!$A$3,"MA_HT","DDL","MA_QH","MNC")</f>
        <v>0</v>
      </c>
      <c r="BD42" s="22">
        <f ca="1">+GETPIVOTDATA("XXS4",'xuanson (2016)'!$A$3,"MA_HT","DDL","MA_QH","PNK")</f>
        <v>0</v>
      </c>
      <c r="BE42" s="71">
        <f ca="1">+GETPIVOTDATA("XXS4",'xuanson (2016)'!$A$3,"MA_HT","DDL","MA_QH","CSD")</f>
        <v>0</v>
      </c>
      <c r="BF42" s="74">
        <f ca="1" t="shared" si="13"/>
        <v>0</v>
      </c>
      <c r="BG42" s="101">
        <f ca="1">AO$59-$BF42</f>
        <v>0</v>
      </c>
      <c r="BH42" s="41" t="e">
        <f ca="1" t="shared" si="14"/>
        <v>#REF!</v>
      </c>
      <c r="BI42" s="98"/>
      <c r="BJ42" s="107"/>
      <c r="BK42" s="10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</row>
    <row r="43" s="2" customFormat="1" ht="15.75" customHeight="1" spans="1:79">
      <c r="A43" s="39" t="s">
        <v>118</v>
      </c>
      <c r="B43" s="53" t="s">
        <v>743</v>
      </c>
      <c r="C43" s="40" t="s">
        <v>101</v>
      </c>
      <c r="D43" s="41" t="e">
        <f>+#REF!</f>
        <v>#REF!</v>
      </c>
      <c r="E43" s="42">
        <f ca="1" t="shared" si="15"/>
        <v>0</v>
      </c>
      <c r="F43" s="52">
        <f ca="1" t="shared" si="9"/>
        <v>0</v>
      </c>
      <c r="G43" s="22">
        <f ca="1">+GETPIVOTDATA("XXS4",'xuanson (2016)'!$A$3,"MA_HT","DRA","MA_QH","LUC")</f>
        <v>0</v>
      </c>
      <c r="H43" s="22">
        <f ca="1">+GETPIVOTDATA("XXS4",'xuanson (2016)'!$A$3,"MA_HT","DRA","MA_QH","LUK")</f>
        <v>0</v>
      </c>
      <c r="I43" s="22">
        <f ca="1">+GETPIVOTDATA("XXS4",'xuanson (2016)'!$A$3,"MA_HT","DRA","MA_QH","LUN")</f>
        <v>0</v>
      </c>
      <c r="J43" s="22">
        <f ca="1">+GETPIVOTDATA("XXS4",'xuanson (2016)'!$A$3,"MA_HT","DRA","MA_QH","HNK")</f>
        <v>0</v>
      </c>
      <c r="K43" s="22">
        <f ca="1">+GETPIVOTDATA("XXS4",'xuanson (2016)'!$A$3,"MA_HT","DRA","MA_QH","CLN")</f>
        <v>0</v>
      </c>
      <c r="L43" s="22">
        <f ca="1">+GETPIVOTDATA("XXS4",'xuanson (2016)'!$A$3,"MA_HT","DRA","MA_QH","RSX")</f>
        <v>0</v>
      </c>
      <c r="M43" s="22">
        <f ca="1">+GETPIVOTDATA("XXS4",'xuanson (2016)'!$A$3,"MA_HT","DRA","MA_QH","RPH")</f>
        <v>0</v>
      </c>
      <c r="N43" s="22">
        <f ca="1">+GETPIVOTDATA("XXS4",'xuanson (2016)'!$A$3,"MA_HT","DRA","MA_QH","RDD")</f>
        <v>0</v>
      </c>
      <c r="O43" s="22">
        <f ca="1">+GETPIVOTDATA("XXS4",'xuanson (2016)'!$A$3,"MA_HT","DRA","MA_QH","NTS")</f>
        <v>0</v>
      </c>
      <c r="P43" s="22">
        <f ca="1">+GETPIVOTDATA("XXS4",'xuanson (2016)'!$A$3,"MA_HT","DRA","MA_QH","LMU")</f>
        <v>0</v>
      </c>
      <c r="Q43" s="22">
        <f ca="1">+GETPIVOTDATA("XXS4",'xuanson (2016)'!$A$3,"MA_HT","DRA","MA_QH","NKH")</f>
        <v>0</v>
      </c>
      <c r="R43" s="79">
        <f ca="1">SUM(S43:AA43,AN43:AO43,AQ43:BD43)</f>
        <v>0</v>
      </c>
      <c r="S43" s="22">
        <f ca="1">+GETPIVOTDATA("XXS4",'xuanson (2016)'!$A$3,"MA_HT","DRA","MA_QH","CQP")</f>
        <v>0</v>
      </c>
      <c r="T43" s="22">
        <f ca="1">+GETPIVOTDATA("XXS4",'xuanson (2016)'!$A$3,"MA_HT","DRA","MA_QH","CAN")</f>
        <v>0</v>
      </c>
      <c r="U43" s="22">
        <f ca="1">+GETPIVOTDATA("XXS4",'xuanson (2016)'!$A$3,"MA_HT","DRA","MA_QH","SKK")</f>
        <v>0</v>
      </c>
      <c r="V43" s="22">
        <f ca="1">+GETPIVOTDATA("XXS4",'xuanson (2016)'!$A$3,"MA_HT","DRA","MA_QH","SKT")</f>
        <v>0</v>
      </c>
      <c r="W43" s="22">
        <f ca="1">+GETPIVOTDATA("XXS4",'xuanson (2016)'!$A$3,"MA_HT","DRA","MA_QH","SKN")</f>
        <v>0</v>
      </c>
      <c r="X43" s="22">
        <f ca="1">+GETPIVOTDATA("XXS4",'xuanson (2016)'!$A$3,"MA_HT","DRA","MA_QH","TMD")</f>
        <v>0</v>
      </c>
      <c r="Y43" s="22">
        <f ca="1">+GETPIVOTDATA("XXS4",'xuanson (2016)'!$A$3,"MA_HT","DRA","MA_QH","SKC")</f>
        <v>0</v>
      </c>
      <c r="Z43" s="22">
        <f ca="1">+GETPIVOTDATA("XXS4",'xuanson (2016)'!$A$3,"MA_HT","DRA","MA_QH","SKS")</f>
        <v>0</v>
      </c>
      <c r="AA43" s="52">
        <f ca="1" t="shared" si="21"/>
        <v>0</v>
      </c>
      <c r="AB43" s="22">
        <f ca="1">+GETPIVOTDATA("XXS4",'xuanson (2016)'!$A$3,"MA_HT","DRA","MA_QH","DGT")</f>
        <v>0</v>
      </c>
      <c r="AC43" s="22">
        <f ca="1">+GETPIVOTDATA("XXS4",'xuanson (2016)'!$A$3,"MA_HT","DRA","MA_QH","DTL")</f>
        <v>0</v>
      </c>
      <c r="AD43" s="22">
        <f ca="1">+GETPIVOTDATA("XXS4",'xuanson (2016)'!$A$3,"MA_HT","DRA","MA_QH","DNL")</f>
        <v>0</v>
      </c>
      <c r="AE43" s="22">
        <f ca="1">+GETPIVOTDATA("XXS4",'xuanson (2016)'!$A$3,"MA_HT","DRA","MA_QH","DBV")</f>
        <v>0</v>
      </c>
      <c r="AF43" s="22">
        <f ca="1">+GETPIVOTDATA("XXS4",'xuanson (2016)'!$A$3,"MA_HT","DRA","MA_QH","DVH")</f>
        <v>0</v>
      </c>
      <c r="AG43" s="22">
        <f ca="1">+GETPIVOTDATA("XXS4",'xuanson (2016)'!$A$3,"MA_HT","DRA","MA_QH","DYT")</f>
        <v>0</v>
      </c>
      <c r="AH43" s="22">
        <f ca="1">+GETPIVOTDATA("XXS4",'xuanson (2016)'!$A$3,"MA_HT","DRA","MA_QH","DGD")</f>
        <v>0</v>
      </c>
      <c r="AI43" s="22">
        <f ca="1">+GETPIVOTDATA("XXS4",'xuanson (2016)'!$A$3,"MA_HT","DRA","MA_QH","DTT")</f>
        <v>0</v>
      </c>
      <c r="AJ43" s="22">
        <f ca="1">+GETPIVOTDATA("XXS4",'xuanson (2016)'!$A$3,"MA_HT","DRA","MA_QH","NCK")</f>
        <v>0</v>
      </c>
      <c r="AK43" s="22">
        <f ca="1">+GETPIVOTDATA("XXS4",'xuanson (2016)'!$A$3,"MA_HT","DRA","MA_QH","DXH")</f>
        <v>0</v>
      </c>
      <c r="AL43" s="22">
        <f ca="1">+GETPIVOTDATA("XXS4",'xuanson (2016)'!$A$3,"MA_HT","DRA","MA_QH","DCH")</f>
        <v>0</v>
      </c>
      <c r="AM43" s="22">
        <f ca="1">+GETPIVOTDATA("XXS4",'xuanson (2016)'!$A$3,"MA_HT","DRA","MA_QH","DKG")</f>
        <v>0</v>
      </c>
      <c r="AN43" s="22">
        <f ca="1">+GETPIVOTDATA("XXS4",'xuanson (2016)'!$A$3,"MA_HT","DRA","MA_QH","DDT")</f>
        <v>0</v>
      </c>
      <c r="AO43" s="22">
        <f ca="1">+GETPIVOTDATA("XXS4",'xuanson (2016)'!$A$3,"MA_HT","DRA","MA_QH","DDL")</f>
        <v>0</v>
      </c>
      <c r="AP43" s="43" t="e">
        <f ca="1">$D43-$BF43</f>
        <v>#REF!</v>
      </c>
      <c r="AQ43" s="22">
        <f ca="1">+GETPIVOTDATA("XXS4",'xuanson (2016)'!$A$3,"MA_HT","DRA","MA_QH","ONT")</f>
        <v>0</v>
      </c>
      <c r="AR43" s="22">
        <f ca="1">+GETPIVOTDATA("XXS4",'xuanson (2016)'!$A$3,"MA_HT","DRA","MA_QH","ODT")</f>
        <v>0</v>
      </c>
      <c r="AS43" s="22">
        <f ca="1">+GETPIVOTDATA("XXS4",'xuanson (2016)'!$A$3,"MA_HT","DRA","MA_QH","TSC")</f>
        <v>0</v>
      </c>
      <c r="AT43" s="22">
        <f ca="1">+GETPIVOTDATA("XXS4",'xuanson (2016)'!$A$3,"MA_HT","DRA","MA_QH","DTS")</f>
        <v>0</v>
      </c>
      <c r="AU43" s="22">
        <f ca="1">+GETPIVOTDATA("XXS4",'xuanson (2016)'!$A$3,"MA_HT","DRA","MA_QH","DNG")</f>
        <v>0</v>
      </c>
      <c r="AV43" s="22">
        <f ca="1">+GETPIVOTDATA("XXS4",'xuanson (2016)'!$A$3,"MA_HT","DRA","MA_QH","TON")</f>
        <v>0</v>
      </c>
      <c r="AW43" s="22">
        <f ca="1">+GETPIVOTDATA("XXS4",'xuanson (2016)'!$A$3,"MA_HT","DRA","MA_QH","NTD")</f>
        <v>0</v>
      </c>
      <c r="AX43" s="22">
        <f ca="1">+GETPIVOTDATA("XXS4",'xuanson (2016)'!$A$3,"MA_HT","DRA","MA_QH","SKX")</f>
        <v>0</v>
      </c>
      <c r="AY43" s="22">
        <f ca="1">+GETPIVOTDATA("XXS4",'xuanson (2016)'!$A$3,"MA_HT","DRA","MA_QH","DSH")</f>
        <v>0</v>
      </c>
      <c r="AZ43" s="22">
        <f ca="1">+GETPIVOTDATA("XXS4",'xuanson (2016)'!$A$3,"MA_HT","DRA","MA_QH","DKV")</f>
        <v>0</v>
      </c>
      <c r="BA43" s="89">
        <f ca="1">+GETPIVOTDATA("XXS4",'xuanson (2016)'!$A$3,"MA_HT","DRA","MA_QH","TIN")</f>
        <v>0</v>
      </c>
      <c r="BB43" s="50">
        <f ca="1">+GETPIVOTDATA("XXS4",'xuanson (2016)'!$A$3,"MA_HT","DRA","MA_QH","SON")</f>
        <v>0</v>
      </c>
      <c r="BC43" s="50">
        <f ca="1">+GETPIVOTDATA("XXS4",'xuanson (2016)'!$A$3,"MA_HT","DRA","MA_QH","MNC")</f>
        <v>0</v>
      </c>
      <c r="BD43" s="22">
        <f ca="1">+GETPIVOTDATA("XXS4",'xuanson (2016)'!$A$3,"MA_HT","DRA","MA_QH","PNK")</f>
        <v>0</v>
      </c>
      <c r="BE43" s="71">
        <f ca="1">+GETPIVOTDATA("XXS4",'xuanson (2016)'!$A$3,"MA_HT","DRA","MA_QH","CSD")</f>
        <v>0</v>
      </c>
      <c r="BF43" s="74">
        <f ca="1" t="shared" si="13"/>
        <v>0</v>
      </c>
      <c r="BG43" s="101">
        <f ca="1">AP$59-$BF43</f>
        <v>0</v>
      </c>
      <c r="BH43" s="41" t="e">
        <f ca="1" t="shared" si="14"/>
        <v>#REF!</v>
      </c>
      <c r="BI43" s="98"/>
      <c r="BJ43" s="107" t="e">
        <f>#REF!</f>
        <v>#REF!</v>
      </c>
      <c r="BK43" s="107" t="e">
        <f ca="1">BH43-BJ43</f>
        <v>#REF!</v>
      </c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</row>
    <row r="44" s="2" customFormat="1" ht="15.75" customHeight="1" spans="1:79">
      <c r="A44" s="39" t="s">
        <v>121</v>
      </c>
      <c r="B44" s="53" t="s">
        <v>122</v>
      </c>
      <c r="C44" s="40" t="s">
        <v>123</v>
      </c>
      <c r="D44" s="41" t="e">
        <f>+#REF!</f>
        <v>#REF!</v>
      </c>
      <c r="E44" s="42">
        <f ca="1" t="shared" si="15"/>
        <v>0</v>
      </c>
      <c r="F44" s="52">
        <f ca="1" t="shared" si="9"/>
        <v>0</v>
      </c>
      <c r="G44" s="22">
        <f ca="1">+GETPIVOTDATA("XXS4",'xuanson (2016)'!$A$3,"MA_HT","ONT","MA_QH","LUC")</f>
        <v>0</v>
      </c>
      <c r="H44" s="22">
        <f ca="1">+GETPIVOTDATA("XXS4",'xuanson (2016)'!$A$3,"MA_HT","ONT","MA_QH","LUK")</f>
        <v>0</v>
      </c>
      <c r="I44" s="22">
        <f ca="1">+GETPIVOTDATA("XXS4",'xuanson (2016)'!$A$3,"MA_HT","ONT","MA_QH","LUN")</f>
        <v>0</v>
      </c>
      <c r="J44" s="22">
        <f ca="1">+GETPIVOTDATA("XXS4",'xuanson (2016)'!$A$3,"MA_HT","ONT","MA_QH","HNK")</f>
        <v>0</v>
      </c>
      <c r="K44" s="22">
        <f ca="1">+GETPIVOTDATA("XXS4",'xuanson (2016)'!$A$3,"MA_HT","ONT","MA_QH","CLN")</f>
        <v>0</v>
      </c>
      <c r="L44" s="22">
        <f ca="1">+GETPIVOTDATA("XXS4",'xuanson (2016)'!$A$3,"MA_HT","ONT","MA_QH","RSX")</f>
        <v>0</v>
      </c>
      <c r="M44" s="22">
        <f ca="1">+GETPIVOTDATA("XXS4",'xuanson (2016)'!$A$3,"MA_HT","ONT","MA_QH","RPH")</f>
        <v>0</v>
      </c>
      <c r="N44" s="22">
        <f ca="1">+GETPIVOTDATA("XXS4",'xuanson (2016)'!$A$3,"MA_HT","ONT","MA_QH","RDD")</f>
        <v>0</v>
      </c>
      <c r="O44" s="22">
        <f ca="1">+GETPIVOTDATA("XXS4",'xuanson (2016)'!$A$3,"MA_HT","ONT","MA_QH","NTS")</f>
        <v>0</v>
      </c>
      <c r="P44" s="22">
        <f ca="1">+GETPIVOTDATA("XXS4",'xuanson (2016)'!$A$3,"MA_HT","ONT","MA_QH","LMU")</f>
        <v>0</v>
      </c>
      <c r="Q44" s="22">
        <f ca="1">+GETPIVOTDATA("XXS4",'xuanson (2016)'!$A$3,"MA_HT","ONT","MA_QH","NKH")</f>
        <v>0</v>
      </c>
      <c r="R44" s="79">
        <f ca="1">SUM(S44:AA44,AN44:AP44,AR44:BD44)</f>
        <v>0</v>
      </c>
      <c r="S44" s="22">
        <f ca="1">+GETPIVOTDATA("XXS4",'xuanson (2016)'!$A$3,"MA_HT","ONT","MA_QH","CQP")</f>
        <v>0</v>
      </c>
      <c r="T44" s="22">
        <f ca="1">+GETPIVOTDATA("XXS4",'xuanson (2016)'!$A$3,"MA_HT","ONT","MA_QH","CAN")</f>
        <v>0</v>
      </c>
      <c r="U44" s="22">
        <f ca="1">+GETPIVOTDATA("XXS4",'xuanson (2016)'!$A$3,"MA_HT","ONT","MA_QH","SKK")</f>
        <v>0</v>
      </c>
      <c r="V44" s="22">
        <f ca="1">+GETPIVOTDATA("XXS4",'xuanson (2016)'!$A$3,"MA_HT","ONT","MA_QH","SKT")</f>
        <v>0</v>
      </c>
      <c r="W44" s="22">
        <f ca="1">+GETPIVOTDATA("XXS4",'xuanson (2016)'!$A$3,"MA_HT","ONT","MA_QH","SKN")</f>
        <v>0</v>
      </c>
      <c r="X44" s="22">
        <f ca="1">+GETPIVOTDATA("XXS4",'xuanson (2016)'!$A$3,"MA_HT","ONT","MA_QH","TMD")</f>
        <v>0</v>
      </c>
      <c r="Y44" s="22">
        <f ca="1">+GETPIVOTDATA("XXS4",'xuanson (2016)'!$A$3,"MA_HT","ONT","MA_QH","SKC")</f>
        <v>0</v>
      </c>
      <c r="Z44" s="22">
        <f ca="1">+GETPIVOTDATA("XXS4",'xuanson (2016)'!$A$3,"MA_HT","ONT","MA_QH","SKS")</f>
        <v>0</v>
      </c>
      <c r="AA44" s="52">
        <f ca="1" t="shared" si="21"/>
        <v>0</v>
      </c>
      <c r="AB44" s="22">
        <f ca="1">+GETPIVOTDATA("XXS4",'xuanson (2016)'!$A$3,"MA_HT","ONT","MA_QH","DGT")</f>
        <v>0</v>
      </c>
      <c r="AC44" s="22">
        <f ca="1">+GETPIVOTDATA("XXS4",'xuanson (2016)'!$A$3,"MA_HT","ONT","MA_QH","DTL")</f>
        <v>0</v>
      </c>
      <c r="AD44" s="22">
        <f ca="1">+GETPIVOTDATA("XXS4",'xuanson (2016)'!$A$3,"MA_HT","ONT","MA_QH","DNL")</f>
        <v>0</v>
      </c>
      <c r="AE44" s="22">
        <f ca="1">+GETPIVOTDATA("XXS4",'xuanson (2016)'!$A$3,"MA_HT","ONT","MA_QH","DBV")</f>
        <v>0</v>
      </c>
      <c r="AF44" s="22">
        <f ca="1">+GETPIVOTDATA("XXS4",'xuanson (2016)'!$A$3,"MA_HT","ONT","MA_QH","DVH")</f>
        <v>0</v>
      </c>
      <c r="AG44" s="22">
        <f ca="1">+GETPIVOTDATA("XXS4",'xuanson (2016)'!$A$3,"MA_HT","ONT","MA_QH","DYT")</f>
        <v>0</v>
      </c>
      <c r="AH44" s="22">
        <f ca="1">+GETPIVOTDATA("XXS4",'xuanson (2016)'!$A$3,"MA_HT","ONT","MA_QH","DGD")</f>
        <v>0</v>
      </c>
      <c r="AI44" s="22">
        <f ca="1">+GETPIVOTDATA("XXS4",'xuanson (2016)'!$A$3,"MA_HT","ONT","MA_QH","DTT")</f>
        <v>0</v>
      </c>
      <c r="AJ44" s="22">
        <f ca="1">+GETPIVOTDATA("XXS4",'xuanson (2016)'!$A$3,"MA_HT","ONT","MA_QH","NCK")</f>
        <v>0</v>
      </c>
      <c r="AK44" s="22">
        <f ca="1">+GETPIVOTDATA("XXS4",'xuanson (2016)'!$A$3,"MA_HT","ONT","MA_QH","DXH")</f>
        <v>0</v>
      </c>
      <c r="AL44" s="22">
        <f ca="1">+GETPIVOTDATA("XXS4",'xuanson (2016)'!$A$3,"MA_HT","ONT","MA_QH","DCH")</f>
        <v>0</v>
      </c>
      <c r="AM44" s="22">
        <f ca="1">+GETPIVOTDATA("XXS4",'xuanson (2016)'!$A$3,"MA_HT","ONT","MA_QH","DKG")</f>
        <v>0</v>
      </c>
      <c r="AN44" s="22">
        <f ca="1">+GETPIVOTDATA("XXS4",'xuanson (2016)'!$A$3,"MA_HT","ONT","MA_QH","DDT")</f>
        <v>0</v>
      </c>
      <c r="AO44" s="22">
        <f ca="1">+GETPIVOTDATA("XXS4",'xuanson (2016)'!$A$3,"MA_HT","ONT","MA_QH","DDL")</f>
        <v>0</v>
      </c>
      <c r="AP44" s="22">
        <f ca="1">+GETPIVOTDATA("XXS4",'xuanson (2016)'!$A$3,"MA_HT","ONT","MA_QH","DRA")</f>
        <v>0</v>
      </c>
      <c r="AQ44" s="43" t="e">
        <f ca="1">$D44-$BF44</f>
        <v>#REF!</v>
      </c>
      <c r="AR44" s="22">
        <f ca="1">+GETPIVOTDATA("XXS4",'xuanson (2016)'!$A$3,"MA_HT","ONT","MA_QH","ODT")</f>
        <v>0</v>
      </c>
      <c r="AS44" s="22">
        <f ca="1">+GETPIVOTDATA("XXS4",'xuanson (2016)'!$A$3,"MA_HT","ONT","MA_QH","TSC")</f>
        <v>0</v>
      </c>
      <c r="AT44" s="22">
        <f ca="1">+GETPIVOTDATA("XXS4",'xuanson (2016)'!$A$3,"MA_HT","ONT","MA_QH","DTS")</f>
        <v>0</v>
      </c>
      <c r="AU44" s="22">
        <f ca="1">+GETPIVOTDATA("XXS4",'xuanson (2016)'!$A$3,"MA_HT","ONT","MA_QH","DNG")</f>
        <v>0</v>
      </c>
      <c r="AV44" s="22">
        <f ca="1">+GETPIVOTDATA("XXS4",'xuanson (2016)'!$A$3,"MA_HT","ONT","MA_QH","TON")</f>
        <v>0</v>
      </c>
      <c r="AW44" s="22">
        <f ca="1">+GETPIVOTDATA("XXS4",'xuanson (2016)'!$A$3,"MA_HT","ONT","MA_QH","NTD")</f>
        <v>0</v>
      </c>
      <c r="AX44" s="22">
        <f ca="1">+GETPIVOTDATA("XXS4",'xuanson (2016)'!$A$3,"MA_HT","ONT","MA_QH","SKX")</f>
        <v>0</v>
      </c>
      <c r="AY44" s="22">
        <f ca="1">+GETPIVOTDATA("XXS4",'xuanson (2016)'!$A$3,"MA_HT","ONT","MA_QH","DSH")</f>
        <v>0</v>
      </c>
      <c r="AZ44" s="22">
        <f ca="1">+GETPIVOTDATA("XXS4",'xuanson (2016)'!$A$3,"MA_HT","ONT","MA_QH","DKV")</f>
        <v>0</v>
      </c>
      <c r="BA44" s="89">
        <f ca="1">+GETPIVOTDATA("XXS4",'xuanson (2016)'!$A$3,"MA_HT","ONT","MA_QH","TIN")</f>
        <v>0</v>
      </c>
      <c r="BB44" s="50">
        <f ca="1">+GETPIVOTDATA("XXS4",'xuanson (2016)'!$A$3,"MA_HT","ONT","MA_QH","SON")</f>
        <v>0</v>
      </c>
      <c r="BC44" s="50">
        <f ca="1">+GETPIVOTDATA("XXS4",'xuanson (2016)'!$A$3,"MA_HT","ONT","MA_QH","MNC")</f>
        <v>0</v>
      </c>
      <c r="BD44" s="22">
        <f ca="1">+GETPIVOTDATA("XXS4",'xuanson (2016)'!$A$3,"MA_HT","ONT","MA_QH","PNK")</f>
        <v>0</v>
      </c>
      <c r="BE44" s="71">
        <f ca="1">+GETPIVOTDATA("XXS4",'xuanson (2016)'!$A$3,"MA_HT","ONT","MA_QH","CSD")</f>
        <v>0</v>
      </c>
      <c r="BF44" s="74">
        <f ca="1" t="shared" si="13"/>
        <v>0</v>
      </c>
      <c r="BG44" s="101">
        <f ca="1">AQ$59-$BF44</f>
        <v>0</v>
      </c>
      <c r="BH44" s="41" t="e">
        <f ca="1" t="shared" si="14"/>
        <v>#REF!</v>
      </c>
      <c r="BI44" s="98"/>
      <c r="BJ44" s="107" t="e">
        <f>#REF!</f>
        <v>#REF!</v>
      </c>
      <c r="BK44" s="107" t="e">
        <f ca="1">BH44-BJ44</f>
        <v>#REF!</v>
      </c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="2" customFormat="1" ht="15.75" customHeight="1" spans="1:79">
      <c r="A45" s="61" t="s">
        <v>124</v>
      </c>
      <c r="B45" s="62" t="s">
        <v>125</v>
      </c>
      <c r="C45" s="63" t="s">
        <v>126</v>
      </c>
      <c r="D45" s="64" t="e">
        <f>+#REF!</f>
        <v>#REF!</v>
      </c>
      <c r="E45" s="65">
        <f ca="1" t="shared" si="15"/>
        <v>0</v>
      </c>
      <c r="F45" s="66">
        <f ca="1" t="shared" si="9"/>
        <v>0</v>
      </c>
      <c r="G45" s="67">
        <f ca="1">+GETPIVOTDATA("XXS4",'xuanson (2016)'!$A$3,"MA_HT","ODT","MA_QH","LUC")</f>
        <v>0</v>
      </c>
      <c r="H45" s="67">
        <f ca="1">+GETPIVOTDATA("XXS4",'xuanson (2016)'!$A$3,"MA_HT","ODT","MA_QH","LUK")</f>
        <v>0</v>
      </c>
      <c r="I45" s="67">
        <f ca="1">+GETPIVOTDATA("XXS4",'xuanson (2016)'!$A$3,"MA_HT","ODT","MA_QH","LUN")</f>
        <v>0</v>
      </c>
      <c r="J45" s="67">
        <f ca="1">+GETPIVOTDATA("XXS4",'xuanson (2016)'!$A$3,"MA_HT","ODT","MA_QH","HNK")</f>
        <v>0</v>
      </c>
      <c r="K45" s="67">
        <f ca="1">+GETPIVOTDATA("XXS4",'xuanson (2016)'!$A$3,"MA_HT","ODT","MA_QH","CLN")</f>
        <v>0</v>
      </c>
      <c r="L45" s="67">
        <f ca="1">+GETPIVOTDATA("XXS4",'xuanson (2016)'!$A$3,"MA_HT","ODT","MA_QH","RSX")</f>
        <v>0</v>
      </c>
      <c r="M45" s="67">
        <f ca="1">+GETPIVOTDATA("XXS4",'xuanson (2016)'!$A$3,"MA_HT","ODT","MA_QH","RPH")</f>
        <v>0</v>
      </c>
      <c r="N45" s="67">
        <f ca="1">+GETPIVOTDATA("XXS4",'xuanson (2016)'!$A$3,"MA_HT","ODT","MA_QH","RDD")</f>
        <v>0</v>
      </c>
      <c r="O45" s="67">
        <f ca="1">+GETPIVOTDATA("XXS4",'xuanson (2016)'!$A$3,"MA_HT","ODT","MA_QH","NTS")</f>
        <v>0</v>
      </c>
      <c r="P45" s="67">
        <f ca="1">+GETPIVOTDATA("XXS4",'xuanson (2016)'!$A$3,"MA_HT","ODT","MA_QH","LMU")</f>
        <v>0</v>
      </c>
      <c r="Q45" s="67">
        <f ca="1">+GETPIVOTDATA("XXS4",'xuanson (2016)'!$A$3,"MA_HT","ODT","MA_QH","NKH")</f>
        <v>0</v>
      </c>
      <c r="R45" s="79">
        <f ca="1">SUM(S45:AA45,AN45:AQ45,AS45:BD45)</f>
        <v>0</v>
      </c>
      <c r="S45" s="67">
        <f ca="1">+GETPIVOTDATA("XXS4",'xuanson (2016)'!$A$3,"MA_HT","ODT","MA_QH","CQP")</f>
        <v>0</v>
      </c>
      <c r="T45" s="67">
        <f ca="1">+GETPIVOTDATA("XXS4",'xuanson (2016)'!$A$3,"MA_HT","ODT","MA_QH","CAN")</f>
        <v>0</v>
      </c>
      <c r="U45" s="67">
        <f ca="1">+GETPIVOTDATA("XXS4",'xuanson (2016)'!$A$3,"MA_HT","ODT","MA_QH","SKK")</f>
        <v>0</v>
      </c>
      <c r="V45" s="67">
        <f ca="1">+GETPIVOTDATA("XXS4",'xuanson (2016)'!$A$3,"MA_HT","ODT","MA_QH","SKT")</f>
        <v>0</v>
      </c>
      <c r="W45" s="67">
        <f ca="1">+GETPIVOTDATA("XXS4",'xuanson (2016)'!$A$3,"MA_HT","ODT","MA_QH","SKN")</f>
        <v>0</v>
      </c>
      <c r="X45" s="67">
        <f ca="1">+GETPIVOTDATA("XXS4",'xuanson (2016)'!$A$3,"MA_HT","ODT","MA_QH","TMD")</f>
        <v>0</v>
      </c>
      <c r="Y45" s="67">
        <f ca="1">+GETPIVOTDATA("XXS4",'xuanson (2016)'!$A$3,"MA_HT","ODT","MA_QH","SKC")</f>
        <v>0</v>
      </c>
      <c r="Z45" s="67">
        <f ca="1">+GETPIVOTDATA("XXS4",'xuanson (2016)'!$A$3,"MA_HT","ODT","MA_QH","SKS")</f>
        <v>0</v>
      </c>
      <c r="AA45" s="66">
        <f ca="1" t="shared" si="21"/>
        <v>0</v>
      </c>
      <c r="AB45" s="67">
        <f ca="1">+GETPIVOTDATA("XXS4",'xuanson (2016)'!$A$3,"MA_HT","ODT","MA_QH","DGT")</f>
        <v>0</v>
      </c>
      <c r="AC45" s="67">
        <f ca="1">+GETPIVOTDATA("XXS4",'xuanson (2016)'!$A$3,"MA_HT","ODT","MA_QH","DTL")</f>
        <v>0</v>
      </c>
      <c r="AD45" s="67">
        <f ca="1">+GETPIVOTDATA("XXS4",'xuanson (2016)'!$A$3,"MA_HT","ODT","MA_QH","DNL")</f>
        <v>0</v>
      </c>
      <c r="AE45" s="67">
        <f ca="1">+GETPIVOTDATA("XXS4",'xuanson (2016)'!$A$3,"MA_HT","ODT","MA_QH","DBV")</f>
        <v>0</v>
      </c>
      <c r="AF45" s="67">
        <f ca="1">+GETPIVOTDATA("XXS4",'xuanson (2016)'!$A$3,"MA_HT","ODT","MA_QH","DVH")</f>
        <v>0</v>
      </c>
      <c r="AG45" s="67">
        <f ca="1">+GETPIVOTDATA("XXS4",'xuanson (2016)'!$A$3,"MA_HT","ODT","MA_QH","DYT")</f>
        <v>0</v>
      </c>
      <c r="AH45" s="67">
        <f ca="1">+GETPIVOTDATA("XXS4",'xuanson (2016)'!$A$3,"MA_HT","ODT","MA_QH","DGD")</f>
        <v>0</v>
      </c>
      <c r="AI45" s="67">
        <f ca="1">+GETPIVOTDATA("XXS4",'xuanson (2016)'!$A$3,"MA_HT","ODT","MA_QH","DTT")</f>
        <v>0</v>
      </c>
      <c r="AJ45" s="67">
        <f ca="1">+GETPIVOTDATA("XXS4",'xuanson (2016)'!$A$3,"MA_HT","ODT","MA_QH","NCK")</f>
        <v>0</v>
      </c>
      <c r="AK45" s="67">
        <f ca="1">+GETPIVOTDATA("XXS4",'xuanson (2016)'!$A$3,"MA_HT","ODT","MA_QH","DXH")</f>
        <v>0</v>
      </c>
      <c r="AL45" s="67">
        <f ca="1">+GETPIVOTDATA("XXS4",'xuanson (2016)'!$A$3,"MA_HT","ODT","MA_QH","DCH")</f>
        <v>0</v>
      </c>
      <c r="AM45" s="67">
        <f ca="1">+GETPIVOTDATA("XXS4",'xuanson (2016)'!$A$3,"MA_HT","ODT","MA_QH","DKG")</f>
        <v>0</v>
      </c>
      <c r="AN45" s="67">
        <f ca="1">+GETPIVOTDATA("XXS4",'xuanson (2016)'!$A$3,"MA_HT","ODT","MA_QH","DDT")</f>
        <v>0</v>
      </c>
      <c r="AO45" s="67">
        <f ca="1">+GETPIVOTDATA("XXS4",'xuanson (2016)'!$A$3,"MA_HT","ODT","MA_QH","DDL")</f>
        <v>0</v>
      </c>
      <c r="AP45" s="67">
        <f ca="1">+GETPIVOTDATA("XXS4",'xuanson (2016)'!$A$3,"MA_HT","ODT","MA_QH","DRA")</f>
        <v>0</v>
      </c>
      <c r="AQ45" s="67">
        <f ca="1">+GETPIVOTDATA("XXS4",'xuanson (2016)'!$A$3,"MA_HT","ODT","MA_QH","ONT")</f>
        <v>0</v>
      </c>
      <c r="AR45" s="82" t="e">
        <f ca="1">$D45-$BF45</f>
        <v>#REF!</v>
      </c>
      <c r="AS45" s="67">
        <f ca="1">+GETPIVOTDATA("XXS4",'xuanson (2016)'!$A$3,"MA_HT","ODT","MA_QH","TSC")</f>
        <v>0</v>
      </c>
      <c r="AT45" s="67">
        <f ca="1">+GETPIVOTDATA("XXS4",'xuanson (2016)'!$A$3,"MA_HT","ODT","MA_QH","DTS")</f>
        <v>0</v>
      </c>
      <c r="AU45" s="67">
        <f ca="1">+GETPIVOTDATA("XXS4",'xuanson (2016)'!$A$3,"MA_HT","ODT","MA_QH","DNG")</f>
        <v>0</v>
      </c>
      <c r="AV45" s="67">
        <f ca="1">+GETPIVOTDATA("XXS4",'xuanson (2016)'!$A$3,"MA_HT","ODT","MA_QH","TON")</f>
        <v>0</v>
      </c>
      <c r="AW45" s="67">
        <f ca="1">+GETPIVOTDATA("XXS4",'xuanson (2016)'!$A$3,"MA_HT","ODT","MA_QH","NTD")</f>
        <v>0</v>
      </c>
      <c r="AX45" s="67">
        <f ca="1">+GETPIVOTDATA("XXS4",'xuanson (2016)'!$A$3,"MA_HT","ODT","MA_QH","SKX")</f>
        <v>0</v>
      </c>
      <c r="AY45" s="67">
        <f ca="1">+GETPIVOTDATA("XXS4",'xuanson (2016)'!$A$3,"MA_HT","ODT","MA_QH","DSH")</f>
        <v>0</v>
      </c>
      <c r="AZ45" s="67">
        <f ca="1">+GETPIVOTDATA("XXS4",'xuanson (2016)'!$A$3,"MA_HT","ODT","MA_QH","DKV")</f>
        <v>0</v>
      </c>
      <c r="BA45" s="92">
        <f ca="1">+GETPIVOTDATA("XXS4",'xuanson (2016)'!$A$3,"MA_HT","ODT","MA_QH","TIN")</f>
        <v>0</v>
      </c>
      <c r="BB45" s="93">
        <f ca="1">+GETPIVOTDATA("XXS4",'xuanson (2016)'!$A$3,"MA_HT","ODT","MA_QH","SON")</f>
        <v>0</v>
      </c>
      <c r="BC45" s="93">
        <f ca="1">+GETPIVOTDATA("XXS4",'xuanson (2016)'!$A$3,"MA_HT","ODT","MA_QH","MNC")</f>
        <v>0</v>
      </c>
      <c r="BD45" s="67">
        <f ca="1">+GETPIVOTDATA("XXS4",'xuanson (2016)'!$A$3,"MA_HT","ODT","MA_QH","PNK")</f>
        <v>0</v>
      </c>
      <c r="BE45" s="116">
        <f ca="1">+GETPIVOTDATA("XXS4",'xuanson (2016)'!$A$3,"MA_HT","ODT","MA_QH","CSD")</f>
        <v>0</v>
      </c>
      <c r="BF45" s="117">
        <f ca="1" t="shared" si="13"/>
        <v>0</v>
      </c>
      <c r="BG45" s="118">
        <f ca="1">AR$59-$BF45</f>
        <v>0</v>
      </c>
      <c r="BH45" s="64" t="e">
        <f ca="1" t="shared" si="14"/>
        <v>#REF!</v>
      </c>
      <c r="BI45" s="98"/>
      <c r="BJ45" s="107" t="e">
        <f>#REF!</f>
        <v>#REF!</v>
      </c>
      <c r="BK45" s="107" t="e">
        <f ca="1">BH45-BJ45</f>
        <v>#REF!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</row>
    <row r="46" s="6" customFormat="1" ht="15.75" customHeight="1" spans="1:79">
      <c r="A46" s="39" t="s">
        <v>127</v>
      </c>
      <c r="B46" s="53" t="s">
        <v>128</v>
      </c>
      <c r="C46" s="40" t="s">
        <v>129</v>
      </c>
      <c r="D46" s="41" t="e">
        <f>+#REF!</f>
        <v>#REF!</v>
      </c>
      <c r="E46" s="42">
        <f ca="1" t="shared" si="15"/>
        <v>0</v>
      </c>
      <c r="F46" s="52">
        <f ca="1" t="shared" si="9"/>
        <v>0</v>
      </c>
      <c r="G46" s="22">
        <f ca="1">+GETPIVOTDATA("XXS4",'xuanson (2016)'!$A$3,"MA_HT","TSC","MA_QH","LUC")</f>
        <v>0</v>
      </c>
      <c r="H46" s="22">
        <f ca="1">+GETPIVOTDATA("XXS4",'xuanson (2016)'!$A$3,"MA_HT","TSC","MA_QH","LUK")</f>
        <v>0</v>
      </c>
      <c r="I46" s="22">
        <f ca="1">+GETPIVOTDATA("XXS4",'xuanson (2016)'!$A$3,"MA_HT","TSC","MA_QH","LUN")</f>
        <v>0</v>
      </c>
      <c r="J46" s="22">
        <f ca="1">+GETPIVOTDATA("XXS4",'xuanson (2016)'!$A$3,"MA_HT","TSC","MA_QH","HNK")</f>
        <v>0</v>
      </c>
      <c r="K46" s="22">
        <f ca="1">+GETPIVOTDATA("XXS4",'xuanson (2016)'!$A$3,"MA_HT","TSC","MA_QH","CLN")</f>
        <v>0</v>
      </c>
      <c r="L46" s="22">
        <f ca="1">+GETPIVOTDATA("XXS4",'xuanson (2016)'!$A$3,"MA_HT","TSC","MA_QH","RSX")</f>
        <v>0</v>
      </c>
      <c r="M46" s="22">
        <f ca="1">+GETPIVOTDATA("XXS4",'xuanson (2016)'!$A$3,"MA_HT","TSC","MA_QH","RPH")</f>
        <v>0</v>
      </c>
      <c r="N46" s="22">
        <f ca="1">+GETPIVOTDATA("XXS4",'xuanson (2016)'!$A$3,"MA_HT","TSC","MA_QH","RDD")</f>
        <v>0</v>
      </c>
      <c r="O46" s="22">
        <f ca="1">+GETPIVOTDATA("XXS4",'xuanson (2016)'!$A$3,"MA_HT","TSC","MA_QH","NTS")</f>
        <v>0</v>
      </c>
      <c r="P46" s="22">
        <f ca="1">+GETPIVOTDATA("XXS4",'xuanson (2016)'!$A$3,"MA_HT","TSC","MA_QH","LMU")</f>
        <v>0</v>
      </c>
      <c r="Q46" s="22">
        <f ca="1">+GETPIVOTDATA("XXS4",'xuanson (2016)'!$A$3,"MA_HT","TSC","MA_QH","NKH")</f>
        <v>0</v>
      </c>
      <c r="R46" s="48">
        <f ca="1">SUM(S46:AA46,AN46:AR46,AT46:BD46)</f>
        <v>0</v>
      </c>
      <c r="S46" s="22">
        <f ca="1">+GETPIVOTDATA("XXS4",'xuanson (2016)'!$A$3,"MA_HT","TSC","MA_QH","CQP")</f>
        <v>0</v>
      </c>
      <c r="T46" s="22">
        <f ca="1">+GETPIVOTDATA("XXS4",'xuanson (2016)'!$A$3,"MA_HT","TSC","MA_QH","CAN")</f>
        <v>0</v>
      </c>
      <c r="U46" s="22">
        <f ca="1">+GETPIVOTDATA("XXS4",'xuanson (2016)'!$A$3,"MA_HT","TSC","MA_QH","SKK")</f>
        <v>0</v>
      </c>
      <c r="V46" s="22">
        <f ca="1">+GETPIVOTDATA("XXS4",'xuanson (2016)'!$A$3,"MA_HT","TSC","MA_QH","SKT")</f>
        <v>0</v>
      </c>
      <c r="W46" s="22">
        <f ca="1">+GETPIVOTDATA("XXS4",'xuanson (2016)'!$A$3,"MA_HT","TSC","MA_QH","SKN")</f>
        <v>0</v>
      </c>
      <c r="X46" s="22">
        <f ca="1">+GETPIVOTDATA("XXS4",'xuanson (2016)'!$A$3,"MA_HT","TSC","MA_QH","TMD")</f>
        <v>0</v>
      </c>
      <c r="Y46" s="22">
        <f ca="1">+GETPIVOTDATA("XXS4",'xuanson (2016)'!$A$3,"MA_HT","TSC","MA_QH","SKC")</f>
        <v>0</v>
      </c>
      <c r="Z46" s="22">
        <f ca="1">+GETPIVOTDATA("XXS4",'xuanson (2016)'!$A$3,"MA_HT","TSC","MA_QH","SKS")</f>
        <v>0</v>
      </c>
      <c r="AA46" s="52">
        <f ca="1" t="shared" si="21"/>
        <v>0</v>
      </c>
      <c r="AB46" s="22">
        <f ca="1">+GETPIVOTDATA("XXS4",'xuanson (2016)'!$A$3,"MA_HT","TSC","MA_QH","DGT")</f>
        <v>0</v>
      </c>
      <c r="AC46" s="22">
        <f ca="1">+GETPIVOTDATA("XXS4",'xuanson (2016)'!$A$3,"MA_HT","TSC","MA_QH","DTL")</f>
        <v>0</v>
      </c>
      <c r="AD46" s="22">
        <f ca="1">+GETPIVOTDATA("XXS4",'xuanson (2016)'!$A$3,"MA_HT","TSC","MA_QH","DNL")</f>
        <v>0</v>
      </c>
      <c r="AE46" s="22">
        <f ca="1">+GETPIVOTDATA("XXS4",'xuanson (2016)'!$A$3,"MA_HT","TSC","MA_QH","DBV")</f>
        <v>0</v>
      </c>
      <c r="AF46" s="22">
        <f ca="1">+GETPIVOTDATA("XXS4",'xuanson (2016)'!$A$3,"MA_HT","TSC","MA_QH","DVH")</f>
        <v>0</v>
      </c>
      <c r="AG46" s="22">
        <f ca="1">+GETPIVOTDATA("XXS4",'xuanson (2016)'!$A$3,"MA_HT","TSC","MA_QH","DYT")</f>
        <v>0</v>
      </c>
      <c r="AH46" s="22">
        <f ca="1">+GETPIVOTDATA("XXS4",'xuanson (2016)'!$A$3,"MA_HT","TSC","MA_QH","DGD")</f>
        <v>0</v>
      </c>
      <c r="AI46" s="22">
        <f ca="1">+GETPIVOTDATA("XXS4",'xuanson (2016)'!$A$3,"MA_HT","TSC","MA_QH","DTT")</f>
        <v>0</v>
      </c>
      <c r="AJ46" s="22">
        <f ca="1">+GETPIVOTDATA("XXS4",'xuanson (2016)'!$A$3,"MA_HT","TSC","MA_QH","NCK")</f>
        <v>0</v>
      </c>
      <c r="AK46" s="22">
        <f ca="1">+GETPIVOTDATA("XXS4",'xuanson (2016)'!$A$3,"MA_HT","TSC","MA_QH","DXH")</f>
        <v>0</v>
      </c>
      <c r="AL46" s="22">
        <f ca="1">+GETPIVOTDATA("XXS4",'xuanson (2016)'!$A$3,"MA_HT","TSC","MA_QH","DCH")</f>
        <v>0</v>
      </c>
      <c r="AM46" s="22">
        <f ca="1">+GETPIVOTDATA("XXS4",'xuanson (2016)'!$A$3,"MA_HT","TSC","MA_QH","DKG")</f>
        <v>0</v>
      </c>
      <c r="AN46" s="22">
        <f ca="1">+GETPIVOTDATA("XXS4",'xuanson (2016)'!$A$3,"MA_HT","TSC","MA_QH","DDT")</f>
        <v>0</v>
      </c>
      <c r="AO46" s="22">
        <f ca="1">+GETPIVOTDATA("XXS4",'xuanson (2016)'!$A$3,"MA_HT","TSC","MA_QH","DDL")</f>
        <v>0</v>
      </c>
      <c r="AP46" s="22">
        <f ca="1">+GETPIVOTDATA("XXS4",'xuanson (2016)'!$A$3,"MA_HT","TSC","MA_QH","DRA")</f>
        <v>0</v>
      </c>
      <c r="AQ46" s="22">
        <f ca="1">+GETPIVOTDATA("XXS4",'xuanson (2016)'!$A$3,"MA_HT","TSC","MA_QH","ONT")</f>
        <v>0</v>
      </c>
      <c r="AR46" s="22">
        <f ca="1">+GETPIVOTDATA("XXS4",'xuanson (2016)'!$A$3,"MA_HT","TSC","MA_QH","ODT")</f>
        <v>0</v>
      </c>
      <c r="AS46" s="43" t="e">
        <f ca="1">$D46-$BF46</f>
        <v>#REF!</v>
      </c>
      <c r="AT46" s="22">
        <f ca="1">+GETPIVOTDATA("XXS4",'xuanson (2016)'!$A$3,"MA_HT","TSC","MA_QH","DTS")</f>
        <v>0</v>
      </c>
      <c r="AU46" s="22">
        <f ca="1">+GETPIVOTDATA("XXS4",'xuanson (2016)'!$A$3,"MA_HT","TSC","MA_QH","DNG")</f>
        <v>0</v>
      </c>
      <c r="AV46" s="22">
        <f ca="1">+GETPIVOTDATA("XXS4",'xuanson (2016)'!$A$3,"MA_HT","TSC","MA_QH","TON")</f>
        <v>0</v>
      </c>
      <c r="AW46" s="22">
        <f ca="1">+GETPIVOTDATA("XXS4",'xuanson (2016)'!$A$3,"MA_HT","TSC","MA_QH","NTD")</f>
        <v>0</v>
      </c>
      <c r="AX46" s="22">
        <f ca="1">+GETPIVOTDATA("XXS4",'xuanson (2016)'!$A$3,"MA_HT","TSC","MA_QH","SKX")</f>
        <v>0</v>
      </c>
      <c r="AY46" s="22">
        <f ca="1">+GETPIVOTDATA("XXS4",'xuanson (2016)'!$A$3,"MA_HT","TSC","MA_QH","DSH")</f>
        <v>0</v>
      </c>
      <c r="AZ46" s="22">
        <f ca="1">+GETPIVOTDATA("XXS4",'xuanson (2016)'!$A$3,"MA_HT","TSC","MA_QH","DKV")</f>
        <v>0</v>
      </c>
      <c r="BA46" s="89">
        <f ca="1">+GETPIVOTDATA("XXS4",'xuanson (2016)'!$A$3,"MA_HT","TSC","MA_QH","TIN")</f>
        <v>0</v>
      </c>
      <c r="BB46" s="50">
        <f ca="1">+GETPIVOTDATA("XXS4",'xuanson (2016)'!$A$3,"MA_HT","TSC","MA_QH","SON")</f>
        <v>0</v>
      </c>
      <c r="BC46" s="50">
        <f ca="1">+GETPIVOTDATA("XXS4",'xuanson (2016)'!$A$3,"MA_HT","TSC","MA_QH","MNC")</f>
        <v>0</v>
      </c>
      <c r="BD46" s="22">
        <f ca="1">+GETPIVOTDATA("XXS4",'xuanson (2016)'!$A$3,"MA_HT","TSC","MA_QH","PNK")</f>
        <v>0</v>
      </c>
      <c r="BE46" s="71">
        <f ca="1">+GETPIVOTDATA("XXS4",'xuanson (2016)'!$A$3,"MA_HT","TSC","MA_QH","CSD")</f>
        <v>0</v>
      </c>
      <c r="BF46" s="74">
        <f ca="1" t="shared" si="13"/>
        <v>0</v>
      </c>
      <c r="BG46" s="101">
        <f ca="1">AS$59-$BF46</f>
        <v>0</v>
      </c>
      <c r="BH46" s="41" t="e">
        <f ca="1" t="shared" si="14"/>
        <v>#REF!</v>
      </c>
      <c r="BI46" s="114"/>
      <c r="BJ46" s="114" t="e">
        <f>#REF!</f>
        <v>#REF!</v>
      </c>
      <c r="BK46" s="115" t="e">
        <f ca="1">BH46-BJ46</f>
        <v>#REF!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</row>
    <row r="47" s="2" customFormat="1" ht="15.75" customHeight="1" spans="1:79">
      <c r="A47" s="54" t="s">
        <v>130</v>
      </c>
      <c r="B47" s="55" t="s">
        <v>744</v>
      </c>
      <c r="C47" s="56" t="s">
        <v>132</v>
      </c>
      <c r="D47" s="57" t="e">
        <f>+#REF!</f>
        <v>#REF!</v>
      </c>
      <c r="E47" s="58">
        <f ca="1" t="shared" si="15"/>
        <v>0</v>
      </c>
      <c r="F47" s="59">
        <f ca="1" t="shared" si="9"/>
        <v>0</v>
      </c>
      <c r="G47" s="60">
        <f ca="1">+GETPIVOTDATA("XXS4",'xuanson (2016)'!$A$3,"MA_HT","DTS","MA_QH","LUC")</f>
        <v>0</v>
      </c>
      <c r="H47" s="60">
        <f ca="1">+GETPIVOTDATA("XXS4",'xuanson (2016)'!$A$3,"MA_HT","DTS","MA_QH","LUK")</f>
        <v>0</v>
      </c>
      <c r="I47" s="60">
        <f ca="1">+GETPIVOTDATA("XXS4",'xuanson (2016)'!$A$3,"MA_HT","DTS","MA_QH","LUN")</f>
        <v>0</v>
      </c>
      <c r="J47" s="60">
        <f ca="1">+GETPIVOTDATA("XXS4",'xuanson (2016)'!$A$3,"MA_HT","DTS","MA_QH","HNK")</f>
        <v>0</v>
      </c>
      <c r="K47" s="60">
        <f ca="1">+GETPIVOTDATA("XXS4",'xuanson (2016)'!$A$3,"MA_HT","DTS","MA_QH","CLN")</f>
        <v>0</v>
      </c>
      <c r="L47" s="60">
        <f ca="1">+GETPIVOTDATA("XXS4",'xuanson (2016)'!$A$3,"MA_HT","DTS","MA_QH","RSX")</f>
        <v>0</v>
      </c>
      <c r="M47" s="60">
        <f ca="1">+GETPIVOTDATA("XXS4",'xuanson (2016)'!$A$3,"MA_HT","DTS","MA_QH","RPH")</f>
        <v>0</v>
      </c>
      <c r="N47" s="60">
        <f ca="1">+GETPIVOTDATA("XXS4",'xuanson (2016)'!$A$3,"MA_HT","DTS","MA_QH","RDD")</f>
        <v>0</v>
      </c>
      <c r="O47" s="60">
        <f ca="1">+GETPIVOTDATA("XXS4",'xuanson (2016)'!$A$3,"MA_HT","DTS","MA_QH","NTS")</f>
        <v>0</v>
      </c>
      <c r="P47" s="60">
        <f ca="1">+GETPIVOTDATA("XXS4",'xuanson (2016)'!$A$3,"MA_HT","DTS","MA_QH","LMU")</f>
        <v>0</v>
      </c>
      <c r="Q47" s="60">
        <f ca="1">+GETPIVOTDATA("XXS4",'xuanson (2016)'!$A$3,"MA_HT","DTS","MA_QH","NKH")</f>
        <v>0</v>
      </c>
      <c r="R47" s="78">
        <f ca="1">SUM(S47:AA47,AN47:AS47,AU47:BD47)</f>
        <v>0</v>
      </c>
      <c r="S47" s="60">
        <f ca="1">+GETPIVOTDATA("XXS4",'xuanson (2016)'!$A$3,"MA_HT","DTS","MA_QH","CQP")</f>
        <v>0</v>
      </c>
      <c r="T47" s="60">
        <f ca="1">+GETPIVOTDATA("XXS4",'xuanson (2016)'!$A$3,"MA_HT","DTS","MA_QH","CAN")</f>
        <v>0</v>
      </c>
      <c r="U47" s="60">
        <f ca="1">+GETPIVOTDATA("XXS4",'xuanson (2016)'!$A$3,"MA_HT","DTS","MA_QH","SKK")</f>
        <v>0</v>
      </c>
      <c r="V47" s="60">
        <f ca="1">+GETPIVOTDATA("XXS4",'xuanson (2016)'!$A$3,"MA_HT","DTS","MA_QH","SKT")</f>
        <v>0</v>
      </c>
      <c r="W47" s="60">
        <f ca="1">+GETPIVOTDATA("XXS4",'xuanson (2016)'!$A$3,"MA_HT","DTS","MA_QH","SKN")</f>
        <v>0</v>
      </c>
      <c r="X47" s="60">
        <f ca="1">+GETPIVOTDATA("XXS4",'xuanson (2016)'!$A$3,"MA_HT","DTS","MA_QH","TMD")</f>
        <v>0</v>
      </c>
      <c r="Y47" s="60">
        <f ca="1">+GETPIVOTDATA("XXS4",'xuanson (2016)'!$A$3,"MA_HT","DTS","MA_QH","SKC")</f>
        <v>0</v>
      </c>
      <c r="Z47" s="60">
        <f ca="1">+GETPIVOTDATA("XXS4",'xuanson (2016)'!$A$3,"MA_HT","DTS","MA_QH","SKS")</f>
        <v>0</v>
      </c>
      <c r="AA47" s="59">
        <f ca="1" t="shared" si="21"/>
        <v>0</v>
      </c>
      <c r="AB47" s="60">
        <f ca="1">+GETPIVOTDATA("XXS4",'xuanson (2016)'!$A$3,"MA_HT","DTS","MA_QH","DGT")</f>
        <v>0</v>
      </c>
      <c r="AC47" s="60">
        <f ca="1">+GETPIVOTDATA("XXS4",'xuanson (2016)'!$A$3,"MA_HT","DTS","MA_QH","DTL")</f>
        <v>0</v>
      </c>
      <c r="AD47" s="60">
        <f ca="1">+GETPIVOTDATA("XXS4",'xuanson (2016)'!$A$3,"MA_HT","DTS","MA_QH","DNL")</f>
        <v>0</v>
      </c>
      <c r="AE47" s="60">
        <f ca="1">+GETPIVOTDATA("XXS4",'xuanson (2016)'!$A$3,"MA_HT","DTS","MA_QH","DBV")</f>
        <v>0</v>
      </c>
      <c r="AF47" s="60">
        <f ca="1">+GETPIVOTDATA("XXS4",'xuanson (2016)'!$A$3,"MA_HT","DTS","MA_QH","DVH")</f>
        <v>0</v>
      </c>
      <c r="AG47" s="60">
        <f ca="1">+GETPIVOTDATA("XXS4",'xuanson (2016)'!$A$3,"MA_HT","DTS","MA_QH","DYT")</f>
        <v>0</v>
      </c>
      <c r="AH47" s="60">
        <f ca="1">+GETPIVOTDATA("XXS4",'xuanson (2016)'!$A$3,"MA_HT","DTS","MA_QH","DGD")</f>
        <v>0</v>
      </c>
      <c r="AI47" s="60">
        <f ca="1">+GETPIVOTDATA("XXS4",'xuanson (2016)'!$A$3,"MA_HT","DTS","MA_QH","DTT")</f>
        <v>0</v>
      </c>
      <c r="AJ47" s="60">
        <f ca="1">+GETPIVOTDATA("XXS4",'xuanson (2016)'!$A$3,"MA_HT","DTS","MA_QH","NCK")</f>
        <v>0</v>
      </c>
      <c r="AK47" s="60">
        <f ca="1">+GETPIVOTDATA("XXS4",'xuanson (2016)'!$A$3,"MA_HT","DTS","MA_QH","DXH")</f>
        <v>0</v>
      </c>
      <c r="AL47" s="60">
        <f ca="1">+GETPIVOTDATA("XXS4",'xuanson (2016)'!$A$3,"MA_HT","DTS","MA_QH","DCH")</f>
        <v>0</v>
      </c>
      <c r="AM47" s="60">
        <f ca="1">+GETPIVOTDATA("XXS4",'xuanson (2016)'!$A$3,"MA_HT","DTS","MA_QH","DKG")</f>
        <v>0</v>
      </c>
      <c r="AN47" s="60">
        <f ca="1">+GETPIVOTDATA("XXS4",'xuanson (2016)'!$A$3,"MA_HT","DTS","MA_QH","DDT")</f>
        <v>0</v>
      </c>
      <c r="AO47" s="60">
        <f ca="1">+GETPIVOTDATA("XXS4",'xuanson (2016)'!$A$3,"MA_HT","DTS","MA_QH","DDL")</f>
        <v>0</v>
      </c>
      <c r="AP47" s="60">
        <f ca="1">+GETPIVOTDATA("XXS4",'xuanson (2016)'!$A$3,"MA_HT","DTS","MA_QH","DRA")</f>
        <v>0</v>
      </c>
      <c r="AQ47" s="60">
        <f ca="1">+GETPIVOTDATA("XXS4",'xuanson (2016)'!$A$3,"MA_HT","DTS","MA_QH","ONT")</f>
        <v>0</v>
      </c>
      <c r="AR47" s="60">
        <f ca="1">+GETPIVOTDATA("XXS4",'xuanson (2016)'!$A$3,"MA_HT","DTS","MA_QH","ODT")</f>
        <v>0</v>
      </c>
      <c r="AS47" s="60">
        <f ca="1">+GETPIVOTDATA("XXS4",'xuanson (2016)'!$A$3,"MA_HT","DTS","MA_QH","TSC")</f>
        <v>0</v>
      </c>
      <c r="AT47" s="81" t="e">
        <f ca="1">$D47-$BF47</f>
        <v>#REF!</v>
      </c>
      <c r="AU47" s="60">
        <f ca="1">+GETPIVOTDATA("XXS4",'xuanson (2016)'!$A$3,"MA_HT","DTS","MA_QH","DNG")</f>
        <v>0</v>
      </c>
      <c r="AV47" s="60">
        <f ca="1">+GETPIVOTDATA("XXS4",'xuanson (2016)'!$A$3,"MA_HT","DTS","MA_QH","TON")</f>
        <v>0</v>
      </c>
      <c r="AW47" s="60">
        <f ca="1">+GETPIVOTDATA("XXS4",'xuanson (2016)'!$A$3,"MA_HT","DTS","MA_QH","NTD")</f>
        <v>0</v>
      </c>
      <c r="AX47" s="60">
        <f ca="1">+GETPIVOTDATA("XXS4",'xuanson (2016)'!$A$3,"MA_HT","DTS","MA_QH","SKX")</f>
        <v>0</v>
      </c>
      <c r="AY47" s="60">
        <f ca="1">+GETPIVOTDATA("XXS4",'xuanson (2016)'!$A$3,"MA_HT","DTS","MA_QH","DSH")</f>
        <v>0</v>
      </c>
      <c r="AZ47" s="60">
        <f ca="1">+GETPIVOTDATA("XXS4",'xuanson (2016)'!$A$3,"MA_HT","DTS","MA_QH","DKV")</f>
        <v>0</v>
      </c>
      <c r="BA47" s="90">
        <f ca="1">+GETPIVOTDATA("XXS4",'xuanson (2016)'!$A$3,"MA_HT","DTS","MA_QH","TIN")</f>
        <v>0</v>
      </c>
      <c r="BB47" s="91">
        <f ca="1">+GETPIVOTDATA("XXS4",'xuanson (2016)'!$A$3,"MA_HT","DTS","MA_QH","SON")</f>
        <v>0</v>
      </c>
      <c r="BC47" s="91">
        <f ca="1">+GETPIVOTDATA("XXS4",'xuanson (2016)'!$A$3,"MA_HT","DTS","MA_QH","MNC")</f>
        <v>0</v>
      </c>
      <c r="BD47" s="60">
        <f ca="1">+GETPIVOTDATA("XXS4",'xuanson (2016)'!$A$3,"MA_HT","DTS","MA_QH","PNK")</f>
        <v>0</v>
      </c>
      <c r="BE47" s="111">
        <f ca="1">+GETPIVOTDATA("XXS4",'xuanson (2016)'!$A$3,"MA_HT","DTS","MA_QH","CSD")</f>
        <v>0</v>
      </c>
      <c r="BF47" s="112">
        <f ca="1" t="shared" si="13"/>
        <v>0</v>
      </c>
      <c r="BG47" s="113">
        <f ca="1">AT$59-$BF47</f>
        <v>0</v>
      </c>
      <c r="BH47" s="57" t="e">
        <f ca="1" t="shared" si="14"/>
        <v>#REF!</v>
      </c>
      <c r="BI47" s="98"/>
      <c r="BJ47" s="98"/>
      <c r="BK47" s="10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="2" customFormat="1" ht="15.75" customHeight="1" spans="1:79">
      <c r="A48" s="39" t="s">
        <v>133</v>
      </c>
      <c r="B48" s="53" t="s">
        <v>134</v>
      </c>
      <c r="C48" s="40" t="s">
        <v>135</v>
      </c>
      <c r="D48" s="41" t="e">
        <f>+#REF!</f>
        <v>#REF!</v>
      </c>
      <c r="E48" s="42">
        <f ca="1" t="shared" si="15"/>
        <v>0</v>
      </c>
      <c r="F48" s="52">
        <f ca="1" t="shared" si="9"/>
        <v>0</v>
      </c>
      <c r="G48" s="22">
        <f ca="1">+GETPIVOTDATA("XXS4",'xuanson (2016)'!$A$3,"MA_HT","DNG","MA_QH","LUC")</f>
        <v>0</v>
      </c>
      <c r="H48" s="22">
        <f ca="1">+GETPIVOTDATA("XXS4",'xuanson (2016)'!$A$3,"MA_HT","DNG","MA_QH","LUK")</f>
        <v>0</v>
      </c>
      <c r="I48" s="22">
        <f ca="1">+GETPIVOTDATA("XXS4",'xuanson (2016)'!$A$3,"MA_HT","DNG","MA_QH","LUN")</f>
        <v>0</v>
      </c>
      <c r="J48" s="22">
        <f ca="1">+GETPIVOTDATA("XXS4",'xuanson (2016)'!$A$3,"MA_HT","DNG","MA_QH","HNK")</f>
        <v>0</v>
      </c>
      <c r="K48" s="22">
        <f ca="1">+GETPIVOTDATA("XXS4",'xuanson (2016)'!$A$3,"MA_HT","DNG","MA_QH","CLN")</f>
        <v>0</v>
      </c>
      <c r="L48" s="22">
        <f ca="1">+GETPIVOTDATA("XXS4",'xuanson (2016)'!$A$3,"MA_HT","DNG","MA_QH","RSX")</f>
        <v>0</v>
      </c>
      <c r="M48" s="22">
        <f ca="1">+GETPIVOTDATA("XXS4",'xuanson (2016)'!$A$3,"MA_HT","DNG","MA_QH","RPH")</f>
        <v>0</v>
      </c>
      <c r="N48" s="22">
        <f ca="1">+GETPIVOTDATA("XXS4",'xuanson (2016)'!$A$3,"MA_HT","DNG","MA_QH","RDD")</f>
        <v>0</v>
      </c>
      <c r="O48" s="22">
        <f ca="1">+GETPIVOTDATA("XXS4",'xuanson (2016)'!$A$3,"MA_HT","DNG","MA_QH","NTS")</f>
        <v>0</v>
      </c>
      <c r="P48" s="22">
        <f ca="1">+GETPIVOTDATA("XXS4",'xuanson (2016)'!$A$3,"MA_HT","DNG","MA_QH","LMU")</f>
        <v>0</v>
      </c>
      <c r="Q48" s="22">
        <f ca="1">+GETPIVOTDATA("XXS4",'xuanson (2016)'!$A$3,"MA_HT","DNG","MA_QH","NKH")</f>
        <v>0</v>
      </c>
      <c r="R48" s="79">
        <f ca="1">SUM(S48:AA48,AN48:AT48,AV48:BD48)</f>
        <v>0</v>
      </c>
      <c r="S48" s="22">
        <f ca="1">+GETPIVOTDATA("XXS4",'xuanson (2016)'!$A$3,"MA_HT","DNG","MA_QH","CQP")</f>
        <v>0</v>
      </c>
      <c r="T48" s="22">
        <f ca="1">+GETPIVOTDATA("XXS4",'xuanson (2016)'!$A$3,"MA_HT","DNG","MA_QH","CAN")</f>
        <v>0</v>
      </c>
      <c r="U48" s="22">
        <f ca="1">+GETPIVOTDATA("XXS4",'xuanson (2016)'!$A$3,"MA_HT","DNG","MA_QH","SKK")</f>
        <v>0</v>
      </c>
      <c r="V48" s="22">
        <f ca="1">+GETPIVOTDATA("XXS4",'xuanson (2016)'!$A$3,"MA_HT","DNG","MA_QH","SKT")</f>
        <v>0</v>
      </c>
      <c r="W48" s="22">
        <f ca="1">+GETPIVOTDATA("XXS4",'xuanson (2016)'!$A$3,"MA_HT","DNG","MA_QH","SKN")</f>
        <v>0</v>
      </c>
      <c r="X48" s="22">
        <f ca="1">+GETPIVOTDATA("XXS4",'xuanson (2016)'!$A$3,"MA_HT","DNG","MA_QH","TMD")</f>
        <v>0</v>
      </c>
      <c r="Y48" s="22">
        <f ca="1">+GETPIVOTDATA("XXS4",'xuanson (2016)'!$A$3,"MA_HT","DNG","MA_QH","SKC")</f>
        <v>0</v>
      </c>
      <c r="Z48" s="22">
        <f ca="1">+GETPIVOTDATA("XXS4",'xuanson (2016)'!$A$3,"MA_HT","DNG","MA_QH","SKS")</f>
        <v>0</v>
      </c>
      <c r="AA48" s="52">
        <f ca="1" t="shared" si="21"/>
        <v>0</v>
      </c>
      <c r="AB48" s="22">
        <f ca="1">+GETPIVOTDATA("XXS4",'xuanson (2016)'!$A$3,"MA_HT","DNG","MA_QH","DGT")</f>
        <v>0</v>
      </c>
      <c r="AC48" s="22">
        <f ca="1">+GETPIVOTDATA("XXS4",'xuanson (2016)'!$A$3,"MA_HT","DNG","MA_QH","DTL")</f>
        <v>0</v>
      </c>
      <c r="AD48" s="22">
        <f ca="1">+GETPIVOTDATA("XXS4",'xuanson (2016)'!$A$3,"MA_HT","DNG","MA_QH","DNL")</f>
        <v>0</v>
      </c>
      <c r="AE48" s="22">
        <f ca="1">+GETPIVOTDATA("XXS4",'xuanson (2016)'!$A$3,"MA_HT","DNG","MA_QH","DBV")</f>
        <v>0</v>
      </c>
      <c r="AF48" s="22">
        <f ca="1">+GETPIVOTDATA("XXS4",'xuanson (2016)'!$A$3,"MA_HT","DNG","MA_QH","DVH")</f>
        <v>0</v>
      </c>
      <c r="AG48" s="22">
        <f ca="1">+GETPIVOTDATA("XXS4",'xuanson (2016)'!$A$3,"MA_HT","DNG","MA_QH","DYT")</f>
        <v>0</v>
      </c>
      <c r="AH48" s="22">
        <f ca="1">+GETPIVOTDATA("XXS4",'xuanson (2016)'!$A$3,"MA_HT","DNG","MA_QH","DGD")</f>
        <v>0</v>
      </c>
      <c r="AI48" s="22">
        <f ca="1">+GETPIVOTDATA("XXS4",'xuanson (2016)'!$A$3,"MA_HT","DNG","MA_QH","DTT")</f>
        <v>0</v>
      </c>
      <c r="AJ48" s="22">
        <f ca="1">+GETPIVOTDATA("XXS4",'xuanson (2016)'!$A$3,"MA_HT","DNG","MA_QH","NCK")</f>
        <v>0</v>
      </c>
      <c r="AK48" s="22">
        <f ca="1">+GETPIVOTDATA("XXS4",'xuanson (2016)'!$A$3,"MA_HT","DNG","MA_QH","DXH")</f>
        <v>0</v>
      </c>
      <c r="AL48" s="22">
        <f ca="1">+GETPIVOTDATA("XXS4",'xuanson (2016)'!$A$3,"MA_HT","DNG","MA_QH","DCH")</f>
        <v>0</v>
      </c>
      <c r="AM48" s="22">
        <f ca="1">+GETPIVOTDATA("XXS4",'xuanson (2016)'!$A$3,"MA_HT","DNG","MA_QH","DKG")</f>
        <v>0</v>
      </c>
      <c r="AN48" s="22">
        <f ca="1">+GETPIVOTDATA("XXS4",'xuanson (2016)'!$A$3,"MA_HT","DNG","MA_QH","DDT")</f>
        <v>0</v>
      </c>
      <c r="AO48" s="22">
        <f ca="1">+GETPIVOTDATA("XXS4",'xuanson (2016)'!$A$3,"MA_HT","DNG","MA_QH","DDL")</f>
        <v>0</v>
      </c>
      <c r="AP48" s="22">
        <f ca="1">+GETPIVOTDATA("XXS4",'xuanson (2016)'!$A$3,"MA_HT","DNG","MA_QH","DRA")</f>
        <v>0</v>
      </c>
      <c r="AQ48" s="22">
        <f ca="1">+GETPIVOTDATA("XXS4",'xuanson (2016)'!$A$3,"MA_HT","DNG","MA_QH","ONT")</f>
        <v>0</v>
      </c>
      <c r="AR48" s="22">
        <f ca="1">+GETPIVOTDATA("XXS4",'xuanson (2016)'!$A$3,"MA_HT","DNG","MA_QH","ODT")</f>
        <v>0</v>
      </c>
      <c r="AS48" s="22">
        <f ca="1">+GETPIVOTDATA("XXS4",'xuanson (2016)'!$A$3,"MA_HT","DNG","MA_QH","TSC")</f>
        <v>0</v>
      </c>
      <c r="AT48" s="22">
        <f ca="1">+GETPIVOTDATA("XXS4",'xuanson (2016)'!$A$3,"MA_HT","DNG","MA_QH","DTS")</f>
        <v>0</v>
      </c>
      <c r="AU48" s="43" t="e">
        <f ca="1">$D48-$BF48</f>
        <v>#REF!</v>
      </c>
      <c r="AV48" s="22">
        <f ca="1">+GETPIVOTDATA("XXS4",'xuanson (2016)'!$A$3,"MA_HT","DNG","MA_QH","TON")</f>
        <v>0</v>
      </c>
      <c r="AW48" s="22">
        <f ca="1">+GETPIVOTDATA("XXS4",'xuanson (2016)'!$A$3,"MA_HT","DNG","MA_QH","NTD")</f>
        <v>0</v>
      </c>
      <c r="AX48" s="22">
        <f ca="1">+GETPIVOTDATA("XXS4",'xuanson (2016)'!$A$3,"MA_HT","DNG","MA_QH","SKX")</f>
        <v>0</v>
      </c>
      <c r="AY48" s="22">
        <f ca="1">+GETPIVOTDATA("XXS4",'xuanson (2016)'!$A$3,"MA_HT","DNG","MA_QH","DSH")</f>
        <v>0</v>
      </c>
      <c r="AZ48" s="22">
        <f ca="1">+GETPIVOTDATA("XXS4",'xuanson (2016)'!$A$3,"MA_HT","DNG","MA_QH","DKV")</f>
        <v>0</v>
      </c>
      <c r="BA48" s="89">
        <f ca="1">+GETPIVOTDATA("XXS4",'xuanson (2016)'!$A$3,"MA_HT","DNG","MA_QH","TIN")</f>
        <v>0</v>
      </c>
      <c r="BB48" s="50">
        <f ca="1">+GETPIVOTDATA("XXS4",'xuanson (2016)'!$A$3,"MA_HT","DNG","MA_QH","SON")</f>
        <v>0</v>
      </c>
      <c r="BC48" s="50">
        <f ca="1">+GETPIVOTDATA("XXS4",'xuanson (2016)'!$A$3,"MA_HT","DNG","MA_QH","MNC")</f>
        <v>0</v>
      </c>
      <c r="BD48" s="22">
        <f ca="1">+GETPIVOTDATA("XXS4",'xuanson (2016)'!$A$3,"MA_HT","DNG","MA_QH","PNK")</f>
        <v>0</v>
      </c>
      <c r="BE48" s="71">
        <f ca="1">+GETPIVOTDATA("XXS4",'xuanson (2016)'!$A$3,"MA_HT","DNG","MA_QH","CSD")</f>
        <v>0</v>
      </c>
      <c r="BF48" s="74">
        <f ca="1" t="shared" si="13"/>
        <v>0</v>
      </c>
      <c r="BG48" s="101">
        <f ca="1">AU$59-$BF48</f>
        <v>0</v>
      </c>
      <c r="BH48" s="41" t="e">
        <f ca="1" t="shared" si="14"/>
        <v>#REF!</v>
      </c>
      <c r="BI48" s="98"/>
      <c r="BJ48" s="98" t="e">
        <f>#REF!</f>
        <v>#REF!</v>
      </c>
      <c r="BK48" s="107" t="e">
        <f ca="1">BH48-BJ48</f>
        <v>#REF!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</row>
    <row r="49" s="2" customFormat="1" ht="15.75" customHeight="1" spans="1:79">
      <c r="A49" s="39" t="s">
        <v>136</v>
      </c>
      <c r="B49" s="53" t="s">
        <v>102</v>
      </c>
      <c r="C49" s="40" t="s">
        <v>103</v>
      </c>
      <c r="D49" s="41" t="e">
        <f>+#REF!</f>
        <v>#REF!</v>
      </c>
      <c r="E49" s="42">
        <f ca="1" t="shared" si="15"/>
        <v>0</v>
      </c>
      <c r="F49" s="52">
        <f ca="1" t="shared" si="9"/>
        <v>0</v>
      </c>
      <c r="G49" s="22">
        <f ca="1">+GETPIVOTDATA("XXS4",'xuanson (2016)'!$A$3,"MA_HT","TON","MA_QH","LUC")</f>
        <v>0</v>
      </c>
      <c r="H49" s="22">
        <f ca="1">+GETPIVOTDATA("XXS4",'xuanson (2016)'!$A$3,"MA_HT","TON","MA_QH","LUK")</f>
        <v>0</v>
      </c>
      <c r="I49" s="22">
        <f ca="1">+GETPIVOTDATA("XXS4",'xuanson (2016)'!$A$3,"MA_HT","TON","MA_QH","LUN")</f>
        <v>0</v>
      </c>
      <c r="J49" s="22">
        <f ca="1">+GETPIVOTDATA("XXS4",'xuanson (2016)'!$A$3,"MA_HT","TON","MA_QH","HNK")</f>
        <v>0</v>
      </c>
      <c r="K49" s="22">
        <f ca="1">+GETPIVOTDATA("XXS4",'xuanson (2016)'!$A$3,"MA_HT","TON","MA_QH","CLN")</f>
        <v>0</v>
      </c>
      <c r="L49" s="22">
        <f ca="1">+GETPIVOTDATA("XXS4",'xuanson (2016)'!$A$3,"MA_HT","TON","MA_QH","RSX")</f>
        <v>0</v>
      </c>
      <c r="M49" s="22">
        <f ca="1">+GETPIVOTDATA("XXS4",'xuanson (2016)'!$A$3,"MA_HT","TON","MA_QH","RPH")</f>
        <v>0</v>
      </c>
      <c r="N49" s="22">
        <f ca="1">+GETPIVOTDATA("XXS4",'xuanson (2016)'!$A$3,"MA_HT","TON","MA_QH","RDD")</f>
        <v>0</v>
      </c>
      <c r="O49" s="22">
        <f ca="1">+GETPIVOTDATA("XXS4",'xuanson (2016)'!$A$3,"MA_HT","TON","MA_QH","NTS")</f>
        <v>0</v>
      </c>
      <c r="P49" s="22">
        <f ca="1">+GETPIVOTDATA("XXS4",'xuanson (2016)'!$A$3,"MA_HT","TON","MA_QH","LMU")</f>
        <v>0</v>
      </c>
      <c r="Q49" s="22">
        <f ca="1">+GETPIVOTDATA("XXS4",'xuanson (2016)'!$A$3,"MA_HT","TON","MA_QH","NKH")</f>
        <v>0</v>
      </c>
      <c r="R49" s="79">
        <f ca="1">SUM(S49:AA49,AN49:AU49,AW49:BD49)</f>
        <v>0</v>
      </c>
      <c r="S49" s="22">
        <f ca="1">+GETPIVOTDATA("XXS4",'xuanson (2016)'!$A$3,"MA_HT","TON","MA_QH","CQP")</f>
        <v>0</v>
      </c>
      <c r="T49" s="22">
        <f ca="1">+GETPIVOTDATA("XXS4",'xuanson (2016)'!$A$3,"MA_HT","TON","MA_QH","CAN")</f>
        <v>0</v>
      </c>
      <c r="U49" s="22">
        <f ca="1">+GETPIVOTDATA("XXS4",'xuanson (2016)'!$A$3,"MA_HT","TON","MA_QH","SKK")</f>
        <v>0</v>
      </c>
      <c r="V49" s="22">
        <f ca="1">+GETPIVOTDATA("XXS4",'xuanson (2016)'!$A$3,"MA_HT","TON","MA_QH","SKT")</f>
        <v>0</v>
      </c>
      <c r="W49" s="22">
        <f ca="1">+GETPIVOTDATA("XXS4",'xuanson (2016)'!$A$3,"MA_HT","TON","MA_QH","SKN")</f>
        <v>0</v>
      </c>
      <c r="X49" s="22">
        <f ca="1">+GETPIVOTDATA("XXS4",'xuanson (2016)'!$A$3,"MA_HT","TON","MA_QH","TMD")</f>
        <v>0</v>
      </c>
      <c r="Y49" s="22">
        <f ca="1">+GETPIVOTDATA("XXS4",'xuanson (2016)'!$A$3,"MA_HT","TON","MA_QH","SKC")</f>
        <v>0</v>
      </c>
      <c r="Z49" s="22">
        <f ca="1">+GETPIVOTDATA("XXS4",'xuanson (2016)'!$A$3,"MA_HT","TON","MA_QH","SKS")</f>
        <v>0</v>
      </c>
      <c r="AA49" s="52">
        <f ca="1" t="shared" si="21"/>
        <v>0</v>
      </c>
      <c r="AB49" s="22">
        <f ca="1">+GETPIVOTDATA("XXS4",'xuanson (2016)'!$A$3,"MA_HT","TON","MA_QH","DGT")</f>
        <v>0</v>
      </c>
      <c r="AC49" s="22">
        <f ca="1">+GETPIVOTDATA("XXS4",'xuanson (2016)'!$A$3,"MA_HT","TON","MA_QH","DTL")</f>
        <v>0</v>
      </c>
      <c r="AD49" s="22">
        <f ca="1">+GETPIVOTDATA("XXS4",'xuanson (2016)'!$A$3,"MA_HT","TON","MA_QH","DNL")</f>
        <v>0</v>
      </c>
      <c r="AE49" s="22">
        <f ca="1">+GETPIVOTDATA("XXS4",'xuanson (2016)'!$A$3,"MA_HT","TON","MA_QH","DBV")</f>
        <v>0</v>
      </c>
      <c r="AF49" s="22">
        <f ca="1">+GETPIVOTDATA("XXS4",'xuanson (2016)'!$A$3,"MA_HT","TON","MA_QH","DVH")</f>
        <v>0</v>
      </c>
      <c r="AG49" s="22">
        <f ca="1">+GETPIVOTDATA("XXS4",'xuanson (2016)'!$A$3,"MA_HT","TON","MA_QH","DYT")</f>
        <v>0</v>
      </c>
      <c r="AH49" s="22">
        <f ca="1">+GETPIVOTDATA("XXS4",'xuanson (2016)'!$A$3,"MA_HT","TON","MA_QH","DGD")</f>
        <v>0</v>
      </c>
      <c r="AI49" s="22">
        <f ca="1">+GETPIVOTDATA("XXS4",'xuanson (2016)'!$A$3,"MA_HT","TON","MA_QH","DTT")</f>
        <v>0</v>
      </c>
      <c r="AJ49" s="22">
        <f ca="1">+GETPIVOTDATA("XXS4",'xuanson (2016)'!$A$3,"MA_HT","TON","MA_QH","NCK")</f>
        <v>0</v>
      </c>
      <c r="AK49" s="22">
        <f ca="1">+GETPIVOTDATA("XXS4",'xuanson (2016)'!$A$3,"MA_HT","TON","MA_QH","DXH")</f>
        <v>0</v>
      </c>
      <c r="AL49" s="22">
        <f ca="1">+GETPIVOTDATA("XXS4",'xuanson (2016)'!$A$3,"MA_HT","TON","MA_QH","DCH")</f>
        <v>0</v>
      </c>
      <c r="AM49" s="22">
        <f ca="1">+GETPIVOTDATA("XXS4",'xuanson (2016)'!$A$3,"MA_HT","TON","MA_QH","DKG")</f>
        <v>0</v>
      </c>
      <c r="AN49" s="22">
        <f ca="1">+GETPIVOTDATA("XXS4",'xuanson (2016)'!$A$3,"MA_HT","TON","MA_QH","DDT")</f>
        <v>0</v>
      </c>
      <c r="AO49" s="22">
        <f ca="1">+GETPIVOTDATA("XXS4",'xuanson (2016)'!$A$3,"MA_HT","TON","MA_QH","DDL")</f>
        <v>0</v>
      </c>
      <c r="AP49" s="22">
        <f ca="1">+GETPIVOTDATA("XXS4",'xuanson (2016)'!$A$3,"MA_HT","TON","MA_QH","DRA")</f>
        <v>0</v>
      </c>
      <c r="AQ49" s="22">
        <f ca="1">+GETPIVOTDATA("XXS4",'xuanson (2016)'!$A$3,"MA_HT","TON","MA_QH","ONT")</f>
        <v>0</v>
      </c>
      <c r="AR49" s="22">
        <f ca="1">+GETPIVOTDATA("XXS4",'xuanson (2016)'!$A$3,"MA_HT","TON","MA_QH","ODT")</f>
        <v>0</v>
      </c>
      <c r="AS49" s="22">
        <f ca="1">+GETPIVOTDATA("XXS4",'xuanson (2016)'!$A$3,"MA_HT","TON","MA_QH","TSC")</f>
        <v>0</v>
      </c>
      <c r="AT49" s="22">
        <f ca="1">+GETPIVOTDATA("XXS4",'xuanson (2016)'!$A$3,"MA_HT","TON","MA_QH","DTS")</f>
        <v>0</v>
      </c>
      <c r="AU49" s="22">
        <f ca="1">+GETPIVOTDATA("XXS4",'xuanson (2016)'!$A$3,"MA_HT","TON","MA_QH","DNG")</f>
        <v>0</v>
      </c>
      <c r="AV49" s="43" t="e">
        <f ca="1">$D49-$BF49</f>
        <v>#REF!</v>
      </c>
      <c r="AW49" s="22">
        <f ca="1">+GETPIVOTDATA("XXS4",'xuanson (2016)'!$A$3,"MA_HT","TON","MA_QH","NTD")</f>
        <v>0</v>
      </c>
      <c r="AX49" s="22">
        <f ca="1">+GETPIVOTDATA("XXS4",'xuanson (2016)'!$A$3,"MA_HT","TON","MA_QH","SKX")</f>
        <v>0</v>
      </c>
      <c r="AY49" s="22">
        <f ca="1">+GETPIVOTDATA("XXS4",'xuanson (2016)'!$A$3,"MA_HT","TON","MA_QH","DSH")</f>
        <v>0</v>
      </c>
      <c r="AZ49" s="22">
        <f ca="1">+GETPIVOTDATA("XXS4",'xuanson (2016)'!$A$3,"MA_HT","TON","MA_QH","DKV")</f>
        <v>0</v>
      </c>
      <c r="BA49" s="89">
        <f ca="1">+GETPIVOTDATA("XXS4",'xuanson (2016)'!$A$3,"MA_HT","TON","MA_QH","TIN")</f>
        <v>0</v>
      </c>
      <c r="BB49" s="50">
        <f ca="1">+GETPIVOTDATA("XXS4",'xuanson (2016)'!$A$3,"MA_HT","TON","MA_QH","SON")</f>
        <v>0</v>
      </c>
      <c r="BC49" s="50">
        <f ca="1">+GETPIVOTDATA("XXS4",'xuanson (2016)'!$A$3,"MA_HT","TON","MA_QH","MNC")</f>
        <v>0</v>
      </c>
      <c r="BD49" s="22">
        <f ca="1">+GETPIVOTDATA("XXS4",'xuanson (2016)'!$A$3,"MA_HT","TON","MA_QH","PNK")</f>
        <v>0</v>
      </c>
      <c r="BE49" s="71">
        <f ca="1">+GETPIVOTDATA("XXS4",'xuanson (2016)'!$A$3,"MA_HT","TON","MA_QH","CSD")</f>
        <v>0</v>
      </c>
      <c r="BF49" s="74">
        <f ca="1" t="shared" si="13"/>
        <v>0</v>
      </c>
      <c r="BG49" s="101">
        <f ca="1">AV$59-$BF49</f>
        <v>0</v>
      </c>
      <c r="BH49" s="41" t="e">
        <f ca="1" t="shared" si="14"/>
        <v>#REF!</v>
      </c>
      <c r="BI49" s="98"/>
      <c r="BJ49" s="98" t="e">
        <f>#REF!</f>
        <v>#REF!</v>
      </c>
      <c r="BK49" s="107" t="e">
        <f ca="1">BH49-BJ49</f>
        <v>#REF!</v>
      </c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</row>
    <row r="50" s="2" customFormat="1" ht="15.75" customHeight="1" spans="1:79">
      <c r="A50" s="39" t="s">
        <v>139</v>
      </c>
      <c r="B50" s="53" t="s">
        <v>745</v>
      </c>
      <c r="C50" s="40" t="s">
        <v>105</v>
      </c>
      <c r="D50" s="41" t="e">
        <f>+#REF!</f>
        <v>#REF!</v>
      </c>
      <c r="E50" s="42">
        <f ca="1" t="shared" si="15"/>
        <v>0</v>
      </c>
      <c r="F50" s="52">
        <f ca="1" t="shared" si="9"/>
        <v>0</v>
      </c>
      <c r="G50" s="22">
        <f ca="1">+GETPIVOTDATA("XXS4",'xuanson (2016)'!$A$3,"MA_HT","NTD","MA_QH","LUC")</f>
        <v>0</v>
      </c>
      <c r="H50" s="22">
        <f ca="1">+GETPIVOTDATA("XXS4",'xuanson (2016)'!$A$3,"MA_HT","NTD","MA_QH","LUK")</f>
        <v>0</v>
      </c>
      <c r="I50" s="22">
        <f ca="1">+GETPIVOTDATA("XXS4",'xuanson (2016)'!$A$3,"MA_HT","NTD","MA_QH","LUN")</f>
        <v>0</v>
      </c>
      <c r="J50" s="22">
        <f ca="1">+GETPIVOTDATA("XXS4",'xuanson (2016)'!$A$3,"MA_HT","NTD","MA_QH","HNK")</f>
        <v>0</v>
      </c>
      <c r="K50" s="22">
        <f ca="1">+GETPIVOTDATA("XXS4",'xuanson (2016)'!$A$3,"MA_HT","NTD","MA_QH","CLN")</f>
        <v>0</v>
      </c>
      <c r="L50" s="22">
        <f ca="1">+GETPIVOTDATA("XXS4",'xuanson (2016)'!$A$3,"MA_HT","NTD","MA_QH","RSX")</f>
        <v>0</v>
      </c>
      <c r="M50" s="22">
        <f ca="1">+GETPIVOTDATA("XXS4",'xuanson (2016)'!$A$3,"MA_HT","NTD","MA_QH","RPH")</f>
        <v>0</v>
      </c>
      <c r="N50" s="22">
        <f ca="1">+GETPIVOTDATA("XXS4",'xuanson (2016)'!$A$3,"MA_HT","NTD","MA_QH","RDD")</f>
        <v>0</v>
      </c>
      <c r="O50" s="22">
        <f ca="1">+GETPIVOTDATA("XXS4",'xuanson (2016)'!$A$3,"MA_HT","NTD","MA_QH","NTS")</f>
        <v>0</v>
      </c>
      <c r="P50" s="22">
        <f ca="1">+GETPIVOTDATA("XXS4",'xuanson (2016)'!$A$3,"MA_HT","NTD","MA_QH","LMU")</f>
        <v>0</v>
      </c>
      <c r="Q50" s="22">
        <f ca="1">+GETPIVOTDATA("XXS4",'xuanson (2016)'!$A$3,"MA_HT","NTD","MA_QH","NKH")</f>
        <v>0</v>
      </c>
      <c r="R50" s="79">
        <f ca="1">SUM(S50:AA50,AN50:AV50,AX50:BD50)</f>
        <v>0</v>
      </c>
      <c r="S50" s="22">
        <f ca="1">+GETPIVOTDATA("XXS4",'xuanson (2016)'!$A$3,"MA_HT","NTD","MA_QH","CQP")</f>
        <v>0</v>
      </c>
      <c r="T50" s="22">
        <f ca="1">+GETPIVOTDATA("XXS4",'xuanson (2016)'!$A$3,"MA_HT","NTD","MA_QH","CAN")</f>
        <v>0</v>
      </c>
      <c r="U50" s="22">
        <f ca="1">+GETPIVOTDATA("XXS4",'xuanson (2016)'!$A$3,"MA_HT","NTD","MA_QH","SKK")</f>
        <v>0</v>
      </c>
      <c r="V50" s="22">
        <f ca="1">+GETPIVOTDATA("XXS4",'xuanson (2016)'!$A$3,"MA_HT","NTD","MA_QH","SKT")</f>
        <v>0</v>
      </c>
      <c r="W50" s="22">
        <f ca="1">+GETPIVOTDATA("XXS4",'xuanson (2016)'!$A$3,"MA_HT","NTD","MA_QH","SKN")</f>
        <v>0</v>
      </c>
      <c r="X50" s="22">
        <f ca="1">+GETPIVOTDATA("XXS4",'xuanson (2016)'!$A$3,"MA_HT","NTD","MA_QH","TMD")</f>
        <v>0</v>
      </c>
      <c r="Y50" s="22">
        <f ca="1">+GETPIVOTDATA("XXS4",'xuanson (2016)'!$A$3,"MA_HT","NTD","MA_QH","SKC")</f>
        <v>0</v>
      </c>
      <c r="Z50" s="22">
        <f ca="1">+GETPIVOTDATA("XXS4",'xuanson (2016)'!$A$3,"MA_HT","NTD","MA_QH","SKS")</f>
        <v>0</v>
      </c>
      <c r="AA50" s="52">
        <f ca="1" t="shared" si="21"/>
        <v>0</v>
      </c>
      <c r="AB50" s="22">
        <f ca="1">+GETPIVOTDATA("XXS4",'xuanson (2016)'!$A$3,"MA_HT","NTD","MA_QH","DGT")</f>
        <v>0</v>
      </c>
      <c r="AC50" s="22">
        <f ca="1">+GETPIVOTDATA("XXS4",'xuanson (2016)'!$A$3,"MA_HT","NTD","MA_QH","DTL")</f>
        <v>0</v>
      </c>
      <c r="AD50" s="22">
        <f ca="1">+GETPIVOTDATA("XXS4",'xuanson (2016)'!$A$3,"MA_HT","NTD","MA_QH","DNL")</f>
        <v>0</v>
      </c>
      <c r="AE50" s="22">
        <f ca="1">+GETPIVOTDATA("XXS4",'xuanson (2016)'!$A$3,"MA_HT","NTD","MA_QH","DBV")</f>
        <v>0</v>
      </c>
      <c r="AF50" s="22">
        <f ca="1">+GETPIVOTDATA("XXS4",'xuanson (2016)'!$A$3,"MA_HT","NTD","MA_QH","DVH")</f>
        <v>0</v>
      </c>
      <c r="AG50" s="22">
        <f ca="1">+GETPIVOTDATA("XXS4",'xuanson (2016)'!$A$3,"MA_HT","NTD","MA_QH","DYT")</f>
        <v>0</v>
      </c>
      <c r="AH50" s="22">
        <f ca="1">+GETPIVOTDATA("XXS4",'xuanson (2016)'!$A$3,"MA_HT","NTD","MA_QH","DGD")</f>
        <v>0</v>
      </c>
      <c r="AI50" s="22">
        <f ca="1">+GETPIVOTDATA("XXS4",'xuanson (2016)'!$A$3,"MA_HT","NTD","MA_QH","DTT")</f>
        <v>0</v>
      </c>
      <c r="AJ50" s="22">
        <f ca="1">+GETPIVOTDATA("XXS4",'xuanson (2016)'!$A$3,"MA_HT","NTD","MA_QH","NCK")</f>
        <v>0</v>
      </c>
      <c r="AK50" s="22">
        <f ca="1">+GETPIVOTDATA("XXS4",'xuanson (2016)'!$A$3,"MA_HT","NTD","MA_QH","DXH")</f>
        <v>0</v>
      </c>
      <c r="AL50" s="22">
        <f ca="1">+GETPIVOTDATA("XXS4",'xuanson (2016)'!$A$3,"MA_HT","NTD","MA_QH","DCH")</f>
        <v>0</v>
      </c>
      <c r="AM50" s="22">
        <f ca="1">+GETPIVOTDATA("XXS4",'xuanson (2016)'!$A$3,"MA_HT","NTD","MA_QH","DKG")</f>
        <v>0</v>
      </c>
      <c r="AN50" s="22">
        <f ca="1">+GETPIVOTDATA("XXS4",'xuanson (2016)'!$A$3,"MA_HT","NTD","MA_QH","DDT")</f>
        <v>0</v>
      </c>
      <c r="AO50" s="22">
        <f ca="1">+GETPIVOTDATA("XXS4",'xuanson (2016)'!$A$3,"MA_HT","NTD","MA_QH","DDL")</f>
        <v>0</v>
      </c>
      <c r="AP50" s="22">
        <f ca="1">+GETPIVOTDATA("XXS4",'xuanson (2016)'!$A$3,"MA_HT","NTD","MA_QH","DRA")</f>
        <v>0</v>
      </c>
      <c r="AQ50" s="22">
        <f ca="1">+GETPIVOTDATA("XXS4",'xuanson (2016)'!$A$3,"MA_HT","NTD","MA_QH","ONT")</f>
        <v>0</v>
      </c>
      <c r="AR50" s="22">
        <f ca="1">+GETPIVOTDATA("XXS4",'xuanson (2016)'!$A$3,"MA_HT","NTD","MA_QH","ODT")</f>
        <v>0</v>
      </c>
      <c r="AS50" s="22">
        <f ca="1">+GETPIVOTDATA("XXS4",'xuanson (2016)'!$A$3,"MA_HT","NTD","MA_QH","TSC")</f>
        <v>0</v>
      </c>
      <c r="AT50" s="22">
        <f ca="1">+GETPIVOTDATA("XXS4",'xuanson (2016)'!$A$3,"MA_HT","NTD","MA_QH","DTS")</f>
        <v>0</v>
      </c>
      <c r="AU50" s="22">
        <f ca="1">+GETPIVOTDATA("XXS4",'xuanson (2016)'!$A$3,"MA_HT","NTD","MA_QH","DNG")</f>
        <v>0</v>
      </c>
      <c r="AV50" s="22">
        <f ca="1">+GETPIVOTDATA("XXS4",'xuanson (2016)'!$A$3,"MA_HT","NTD","MA_QH","TON")</f>
        <v>0</v>
      </c>
      <c r="AW50" s="43" t="e">
        <f ca="1">$D50-$BF50</f>
        <v>#REF!</v>
      </c>
      <c r="AX50" s="22">
        <f ca="1">+GETPIVOTDATA("XXS4",'xuanson (2016)'!$A$3,"MA_HT","NTD","MA_QH","SKX")</f>
        <v>0</v>
      </c>
      <c r="AY50" s="22">
        <f ca="1">+GETPIVOTDATA("XXS4",'xuanson (2016)'!$A$3,"MA_HT","NTD","MA_QH","DSH")</f>
        <v>0</v>
      </c>
      <c r="AZ50" s="22">
        <f ca="1">+GETPIVOTDATA("XXS4",'xuanson (2016)'!$A$3,"MA_HT","NTD","MA_QH","DKV")</f>
        <v>0</v>
      </c>
      <c r="BA50" s="89">
        <f ca="1">+GETPIVOTDATA("XXS4",'xuanson (2016)'!$A$3,"MA_HT","NTD","MA_QH","TIN")</f>
        <v>0</v>
      </c>
      <c r="BB50" s="50">
        <f ca="1">+GETPIVOTDATA("XXS4",'xuanson (2016)'!$A$3,"MA_HT","NTD","MA_QH","SON")</f>
        <v>0</v>
      </c>
      <c r="BC50" s="50">
        <f ca="1">+GETPIVOTDATA("XXS4",'xuanson (2016)'!$A$3,"MA_HT","NTD","MA_QH","MNC")</f>
        <v>0</v>
      </c>
      <c r="BD50" s="22">
        <f ca="1">+GETPIVOTDATA("XXS4",'xuanson (2016)'!$A$3,"MA_HT","NTD","MA_QH","PNK")</f>
        <v>0</v>
      </c>
      <c r="BE50" s="71">
        <f ca="1">+GETPIVOTDATA("XXS4",'xuanson (2016)'!$A$3,"MA_HT","NTD","MA_QH","CSD")</f>
        <v>0</v>
      </c>
      <c r="BF50" s="74">
        <f ca="1" t="shared" si="13"/>
        <v>0</v>
      </c>
      <c r="BG50" s="101">
        <f ca="1">AW$59-$BF50</f>
        <v>0</v>
      </c>
      <c r="BH50" s="41" t="e">
        <f ca="1" t="shared" si="14"/>
        <v>#REF!</v>
      </c>
      <c r="BI50" s="98"/>
      <c r="BJ50" s="98"/>
      <c r="BK50" s="107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</row>
    <row r="51" s="2" customFormat="1" ht="15.75" customHeight="1" spans="1:79">
      <c r="A51" s="39" t="s">
        <v>142</v>
      </c>
      <c r="B51" s="39" t="s">
        <v>74</v>
      </c>
      <c r="C51" s="40" t="s">
        <v>75</v>
      </c>
      <c r="D51" s="41" t="e">
        <f>+#REF!</f>
        <v>#REF!</v>
      </c>
      <c r="E51" s="42">
        <f ca="1" t="shared" si="15"/>
        <v>0</v>
      </c>
      <c r="F51" s="52">
        <f ca="1" t="shared" si="9"/>
        <v>0</v>
      </c>
      <c r="G51" s="22">
        <f ca="1">+GETPIVOTDATA("XXS4",'xuanson (2016)'!$A$3,"MA_HT","SKX","MA_QH","LUC")</f>
        <v>0</v>
      </c>
      <c r="H51" s="22">
        <f ca="1">+GETPIVOTDATA("XXS4",'xuanson (2016)'!$A$3,"MA_HT","SKX","MA_QH","LUK")</f>
        <v>0</v>
      </c>
      <c r="I51" s="22">
        <f ca="1">+GETPIVOTDATA("XXS4",'xuanson (2016)'!$A$3,"MA_HT","SKX","MA_QH","LUN")</f>
        <v>0</v>
      </c>
      <c r="J51" s="22">
        <f ca="1">+GETPIVOTDATA("XXS4",'xuanson (2016)'!$A$3,"MA_HT","SKX","MA_QH","HNK")</f>
        <v>0</v>
      </c>
      <c r="K51" s="22">
        <f ca="1">+GETPIVOTDATA("XXS4",'xuanson (2016)'!$A$3,"MA_HT","SKX","MA_QH","CLN")</f>
        <v>0</v>
      </c>
      <c r="L51" s="22">
        <f ca="1">+GETPIVOTDATA("XXS4",'xuanson (2016)'!$A$3,"MA_HT","SKX","MA_QH","RSX")</f>
        <v>0</v>
      </c>
      <c r="M51" s="22">
        <f ca="1">+GETPIVOTDATA("XXS4",'xuanson (2016)'!$A$3,"MA_HT","SKX","MA_QH","RPH")</f>
        <v>0</v>
      </c>
      <c r="N51" s="22">
        <f ca="1">+GETPIVOTDATA("XXS4",'xuanson (2016)'!$A$3,"MA_HT","SKX","MA_QH","RDD")</f>
        <v>0</v>
      </c>
      <c r="O51" s="22">
        <f ca="1">+GETPIVOTDATA("XXS4",'xuanson (2016)'!$A$3,"MA_HT","SKX","MA_QH","NTS")</f>
        <v>0</v>
      </c>
      <c r="P51" s="22">
        <f ca="1">+GETPIVOTDATA("XXS4",'xuanson (2016)'!$A$3,"MA_HT","SKX","MA_QH","LMU")</f>
        <v>0</v>
      </c>
      <c r="Q51" s="22">
        <f ca="1">+GETPIVOTDATA("XXS4",'xuanson (2016)'!$A$3,"MA_HT","SKX","MA_QH","NKH")</f>
        <v>0</v>
      </c>
      <c r="R51" s="79">
        <f ca="1">SUM(S51:AA51,AN51:AW51,AY51:BD51)</f>
        <v>0</v>
      </c>
      <c r="S51" s="22">
        <f ca="1">+GETPIVOTDATA("XXS4",'xuanson (2016)'!$A$3,"MA_HT","SKX","MA_QH","CQP")</f>
        <v>0</v>
      </c>
      <c r="T51" s="22">
        <f ca="1">+GETPIVOTDATA("XXS4",'xuanson (2016)'!$A$3,"MA_HT","SKX","MA_QH","CAN")</f>
        <v>0</v>
      </c>
      <c r="U51" s="22">
        <f ca="1">+GETPIVOTDATA("XXS4",'xuanson (2016)'!$A$3,"MA_HT","SKX","MA_QH","SKK")</f>
        <v>0</v>
      </c>
      <c r="V51" s="22">
        <f ca="1">+GETPIVOTDATA("XXS4",'xuanson (2016)'!$A$3,"MA_HT","SKX","MA_QH","SKT")</f>
        <v>0</v>
      </c>
      <c r="W51" s="22">
        <f ca="1">+GETPIVOTDATA("XXS4",'xuanson (2016)'!$A$3,"MA_HT","SKX","MA_QH","SKN")</f>
        <v>0</v>
      </c>
      <c r="X51" s="22">
        <f ca="1">+GETPIVOTDATA("XXS4",'xuanson (2016)'!$A$3,"MA_HT","SKX","MA_QH","TMD")</f>
        <v>0</v>
      </c>
      <c r="Y51" s="22">
        <f ca="1">+GETPIVOTDATA("XXS4",'xuanson (2016)'!$A$3,"MA_HT","SKX","MA_QH","SKC")</f>
        <v>0</v>
      </c>
      <c r="Z51" s="22">
        <f ca="1">+GETPIVOTDATA("XXS4",'xuanson (2016)'!$A$3,"MA_HT","SKX","MA_QH","SKS")</f>
        <v>0</v>
      </c>
      <c r="AA51" s="52">
        <f ca="1" t="shared" si="21"/>
        <v>0</v>
      </c>
      <c r="AB51" s="22">
        <f ca="1">+GETPIVOTDATA("XXS4",'xuanson (2016)'!$A$3,"MA_HT","SKX","MA_QH","DGT")</f>
        <v>0</v>
      </c>
      <c r="AC51" s="22">
        <f ca="1">+GETPIVOTDATA("XXS4",'xuanson (2016)'!$A$3,"MA_HT","SKX","MA_QH","DTL")</f>
        <v>0</v>
      </c>
      <c r="AD51" s="22">
        <f ca="1">+GETPIVOTDATA("XXS4",'xuanson (2016)'!$A$3,"MA_HT","SKX","MA_QH","DNL")</f>
        <v>0</v>
      </c>
      <c r="AE51" s="22">
        <f ca="1">+GETPIVOTDATA("XXS4",'xuanson (2016)'!$A$3,"MA_HT","SKX","MA_QH","DBV")</f>
        <v>0</v>
      </c>
      <c r="AF51" s="22">
        <f ca="1">+GETPIVOTDATA("XXS4",'xuanson (2016)'!$A$3,"MA_HT","SKX","MA_QH","DVH")</f>
        <v>0</v>
      </c>
      <c r="AG51" s="22">
        <f ca="1">+GETPIVOTDATA("XXS4",'xuanson (2016)'!$A$3,"MA_HT","SKX","MA_QH","DYT")</f>
        <v>0</v>
      </c>
      <c r="AH51" s="22">
        <f ca="1">+GETPIVOTDATA("XXS4",'xuanson (2016)'!$A$3,"MA_HT","SKX","MA_QH","DGD")</f>
        <v>0</v>
      </c>
      <c r="AI51" s="22">
        <f ca="1">+GETPIVOTDATA("XXS4",'xuanson (2016)'!$A$3,"MA_HT","SKX","MA_QH","DTT")</f>
        <v>0</v>
      </c>
      <c r="AJ51" s="22">
        <f ca="1">+GETPIVOTDATA("XXS4",'xuanson (2016)'!$A$3,"MA_HT","SKX","MA_QH","NCK")</f>
        <v>0</v>
      </c>
      <c r="AK51" s="22">
        <f ca="1">+GETPIVOTDATA("XXS4",'xuanson (2016)'!$A$3,"MA_HT","SKX","MA_QH","DXH")</f>
        <v>0</v>
      </c>
      <c r="AL51" s="22">
        <f ca="1">+GETPIVOTDATA("XXS4",'xuanson (2016)'!$A$3,"MA_HT","SKX","MA_QH","DCH")</f>
        <v>0</v>
      </c>
      <c r="AM51" s="22">
        <f ca="1">+GETPIVOTDATA("XXS4",'xuanson (2016)'!$A$3,"MA_HT","SKX","MA_QH","DKG")</f>
        <v>0</v>
      </c>
      <c r="AN51" s="22">
        <f ca="1">+GETPIVOTDATA("XXS4",'xuanson (2016)'!$A$3,"MA_HT","SKX","MA_QH","DDT")</f>
        <v>0</v>
      </c>
      <c r="AO51" s="22">
        <f ca="1">+GETPIVOTDATA("XXS4",'xuanson (2016)'!$A$3,"MA_HT","SKX","MA_QH","DDL")</f>
        <v>0</v>
      </c>
      <c r="AP51" s="22">
        <f ca="1">+GETPIVOTDATA("XXS4",'xuanson (2016)'!$A$3,"MA_HT","SKX","MA_QH","DRA")</f>
        <v>0</v>
      </c>
      <c r="AQ51" s="22">
        <f ca="1">+GETPIVOTDATA("XXS4",'xuanson (2016)'!$A$3,"MA_HT","SKX","MA_QH","ONT")</f>
        <v>0</v>
      </c>
      <c r="AR51" s="22">
        <f ca="1">+GETPIVOTDATA("XXS4",'xuanson (2016)'!$A$3,"MA_HT","SKX","MA_QH","ODT")</f>
        <v>0</v>
      </c>
      <c r="AS51" s="22">
        <f ca="1">+GETPIVOTDATA("XXS4",'xuanson (2016)'!$A$3,"MA_HT","SKX","MA_QH","TSC")</f>
        <v>0</v>
      </c>
      <c r="AT51" s="22">
        <f ca="1">+GETPIVOTDATA("XXS4",'xuanson (2016)'!$A$3,"MA_HT","SKX","MA_QH","DTS")</f>
        <v>0</v>
      </c>
      <c r="AU51" s="22">
        <f ca="1">+GETPIVOTDATA("XXS4",'xuanson (2016)'!$A$3,"MA_HT","SKX","MA_QH","DNG")</f>
        <v>0</v>
      </c>
      <c r="AV51" s="22">
        <f ca="1">+GETPIVOTDATA("XXS4",'xuanson (2016)'!$A$3,"MA_HT","SKX","MA_QH","TON")</f>
        <v>0</v>
      </c>
      <c r="AW51" s="22">
        <f ca="1">+GETPIVOTDATA("XXS4",'xuanson (2016)'!$A$3,"MA_HT","SKX","MA_QH","NTD")</f>
        <v>0</v>
      </c>
      <c r="AX51" s="43" t="e">
        <f ca="1">$D51-$BF51</f>
        <v>#REF!</v>
      </c>
      <c r="AY51" s="22">
        <f ca="1">+GETPIVOTDATA("XXS4",'xuanson (2016)'!$A$3,"MA_HT","SKX","MA_QH","DSH")</f>
        <v>0</v>
      </c>
      <c r="AZ51" s="22">
        <f ca="1">+GETPIVOTDATA("XXS4",'xuanson (2016)'!$A$3,"MA_HT","SKX","MA_QH","DKV")</f>
        <v>0</v>
      </c>
      <c r="BA51" s="89">
        <f ca="1">+GETPIVOTDATA("XXS4",'xuanson (2016)'!$A$3,"MA_HT","SKX","MA_QH","TIN")</f>
        <v>0</v>
      </c>
      <c r="BB51" s="50">
        <f ca="1">+GETPIVOTDATA("XXS4",'xuanson (2016)'!$A$3,"MA_HT","SKX","MA_QH","SON")</f>
        <v>0</v>
      </c>
      <c r="BC51" s="50">
        <f ca="1">+GETPIVOTDATA("XXS4",'xuanson (2016)'!$A$3,"MA_HT","SKX","MA_QH","MNC")</f>
        <v>0</v>
      </c>
      <c r="BD51" s="22">
        <f ca="1">+GETPIVOTDATA("XXS4",'xuanson (2016)'!$A$3,"MA_HT","SKX","MA_QH","PNK")</f>
        <v>0</v>
      </c>
      <c r="BE51" s="71">
        <f ca="1">+GETPIVOTDATA("XXS4",'xuanson (2016)'!$A$3,"MA_HT","SKX","MA_QH","CSD")</f>
        <v>0</v>
      </c>
      <c r="BF51" s="74">
        <f ca="1" t="shared" si="13"/>
        <v>0</v>
      </c>
      <c r="BG51" s="101">
        <f ca="1">AX$59-$BF51</f>
        <v>0</v>
      </c>
      <c r="BH51" s="41" t="e">
        <f ca="1" t="shared" si="14"/>
        <v>#REF!</v>
      </c>
      <c r="BI51" s="98"/>
      <c r="BJ51" s="98" t="e">
        <f>#REF!</f>
        <v>#REF!</v>
      </c>
      <c r="BK51" s="107" t="e">
        <f ca="1">BH51-BJ51</f>
        <v>#REF!</v>
      </c>
      <c r="BL51" s="98"/>
      <c r="BM51" s="122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</row>
    <row r="52" s="2" customFormat="1" ht="15.75" customHeight="1" spans="1:79">
      <c r="A52" s="39" t="s">
        <v>145</v>
      </c>
      <c r="B52" s="39" t="s">
        <v>116</v>
      </c>
      <c r="C52" s="40" t="s">
        <v>117</v>
      </c>
      <c r="D52" s="41" t="e">
        <f>+#REF!</f>
        <v>#REF!</v>
      </c>
      <c r="E52" s="42">
        <f ca="1" t="shared" si="15"/>
        <v>0</v>
      </c>
      <c r="F52" s="52">
        <f ca="1" t="shared" si="9"/>
        <v>0</v>
      </c>
      <c r="G52" s="22">
        <f ca="1">+GETPIVOTDATA("XXS4",'xuanson (2016)'!$A$3,"MA_HT","DSH","MA_QH","LUC")</f>
        <v>0</v>
      </c>
      <c r="H52" s="22">
        <f ca="1">+GETPIVOTDATA("XXS4",'xuanson (2016)'!$A$3,"MA_HT","DSH","MA_QH","LUK")</f>
        <v>0</v>
      </c>
      <c r="I52" s="22">
        <f ca="1">+GETPIVOTDATA("XXS4",'xuanson (2016)'!$A$3,"MA_HT","DSH","MA_QH","LUN")</f>
        <v>0</v>
      </c>
      <c r="J52" s="22">
        <f ca="1">+GETPIVOTDATA("XXS4",'xuanson (2016)'!$A$3,"MA_HT","DSH","MA_QH","HNK")</f>
        <v>0</v>
      </c>
      <c r="K52" s="22">
        <f ca="1">+GETPIVOTDATA("XXS4",'xuanson (2016)'!$A$3,"MA_HT","DSH","MA_QH","CLN")</f>
        <v>0</v>
      </c>
      <c r="L52" s="22">
        <f ca="1">+GETPIVOTDATA("XXS4",'xuanson (2016)'!$A$3,"MA_HT","DSH","MA_QH","RSX")</f>
        <v>0</v>
      </c>
      <c r="M52" s="22">
        <f ca="1">+GETPIVOTDATA("XXS4",'xuanson (2016)'!$A$3,"MA_HT","DSH","MA_QH","RPH")</f>
        <v>0</v>
      </c>
      <c r="N52" s="22">
        <f ca="1">+GETPIVOTDATA("XXS4",'xuanson (2016)'!$A$3,"MA_HT","DSH","MA_QH","RDD")</f>
        <v>0</v>
      </c>
      <c r="O52" s="22">
        <f ca="1">+GETPIVOTDATA("XXS4",'xuanson (2016)'!$A$3,"MA_HT","DSH","MA_QH","NTS")</f>
        <v>0</v>
      </c>
      <c r="P52" s="22">
        <f ca="1">+GETPIVOTDATA("XXS4",'xuanson (2016)'!$A$3,"MA_HT","DSH","MA_QH","LMU")</f>
        <v>0</v>
      </c>
      <c r="Q52" s="22">
        <f ca="1">+GETPIVOTDATA("XXS4",'xuanson (2016)'!$A$3,"MA_HT","DSH","MA_QH","NKH")</f>
        <v>0</v>
      </c>
      <c r="R52" s="79">
        <f ca="1">SUM(S52:AA52,AN52:AX52,AZ52:BD52)</f>
        <v>0</v>
      </c>
      <c r="S52" s="22">
        <f ca="1">+GETPIVOTDATA("XXS4",'xuanson (2016)'!$A$3,"MA_HT","DSH","MA_QH","CQP")</f>
        <v>0</v>
      </c>
      <c r="T52" s="22">
        <f ca="1">+GETPIVOTDATA("XXS4",'xuanson (2016)'!$A$3,"MA_HT","DSH","MA_QH","CAN")</f>
        <v>0</v>
      </c>
      <c r="U52" s="22">
        <f ca="1">+GETPIVOTDATA("XXS4",'xuanson (2016)'!$A$3,"MA_HT","DSH","MA_QH","SKK")</f>
        <v>0</v>
      </c>
      <c r="V52" s="22">
        <f ca="1">+GETPIVOTDATA("XXS4",'xuanson (2016)'!$A$3,"MA_HT","DSH","MA_QH","SKT")</f>
        <v>0</v>
      </c>
      <c r="W52" s="22">
        <f ca="1">+GETPIVOTDATA("XXS4",'xuanson (2016)'!$A$3,"MA_HT","DSH","MA_QH","SKN")</f>
        <v>0</v>
      </c>
      <c r="X52" s="22">
        <f ca="1">+GETPIVOTDATA("XXS4",'xuanson (2016)'!$A$3,"MA_HT","DSH","MA_QH","TMD")</f>
        <v>0</v>
      </c>
      <c r="Y52" s="22">
        <f ca="1">+GETPIVOTDATA("XXS4",'xuanson (2016)'!$A$3,"MA_HT","DSH","MA_QH","SKC")</f>
        <v>0</v>
      </c>
      <c r="Z52" s="22">
        <f ca="1">+GETPIVOTDATA("XXS4",'xuanson (2016)'!$A$3,"MA_HT","DSH","MA_QH","SKS")</f>
        <v>0</v>
      </c>
      <c r="AA52" s="52">
        <f ca="1" t="shared" si="21"/>
        <v>0</v>
      </c>
      <c r="AB52" s="22">
        <f ca="1">+GETPIVOTDATA("XXS4",'xuanson (2016)'!$A$3,"MA_HT","DSH","MA_QH","DGT")</f>
        <v>0</v>
      </c>
      <c r="AC52" s="22">
        <f ca="1">+GETPIVOTDATA("XXS4",'xuanson (2016)'!$A$3,"MA_HT","DSH","MA_QH","DTL")</f>
        <v>0</v>
      </c>
      <c r="AD52" s="22">
        <f ca="1">+GETPIVOTDATA("XXS4",'xuanson (2016)'!$A$3,"MA_HT","DSH","MA_QH","DNL")</f>
        <v>0</v>
      </c>
      <c r="AE52" s="22">
        <f ca="1">+GETPIVOTDATA("XXS4",'xuanson (2016)'!$A$3,"MA_HT","DSH","MA_QH","DBV")</f>
        <v>0</v>
      </c>
      <c r="AF52" s="22">
        <f ca="1">+GETPIVOTDATA("XXS4",'xuanson (2016)'!$A$3,"MA_HT","DSH","MA_QH","DVH")</f>
        <v>0</v>
      </c>
      <c r="AG52" s="22">
        <f ca="1">+GETPIVOTDATA("XXS4",'xuanson (2016)'!$A$3,"MA_HT","DSH","MA_QH","DYT")</f>
        <v>0</v>
      </c>
      <c r="AH52" s="22">
        <f ca="1">+GETPIVOTDATA("XXS4",'xuanson (2016)'!$A$3,"MA_HT","DSH","MA_QH","DGD")</f>
        <v>0</v>
      </c>
      <c r="AI52" s="22">
        <f ca="1">+GETPIVOTDATA("XXS4",'xuanson (2016)'!$A$3,"MA_HT","DSH","MA_QH","DTT")</f>
        <v>0</v>
      </c>
      <c r="AJ52" s="22">
        <f ca="1">+GETPIVOTDATA("XXS4",'xuanson (2016)'!$A$3,"MA_HT","DSH","MA_QH","NCK")</f>
        <v>0</v>
      </c>
      <c r="AK52" s="22">
        <f ca="1">+GETPIVOTDATA("XXS4",'xuanson (2016)'!$A$3,"MA_HT","DSH","MA_QH","DXH")</f>
        <v>0</v>
      </c>
      <c r="AL52" s="22">
        <f ca="1">+GETPIVOTDATA("XXS4",'xuanson (2016)'!$A$3,"MA_HT","DSH","MA_QH","DCH")</f>
        <v>0</v>
      </c>
      <c r="AM52" s="22">
        <f ca="1">+GETPIVOTDATA("XXS4",'xuanson (2016)'!$A$3,"MA_HT","DSH","MA_QH","DKG")</f>
        <v>0</v>
      </c>
      <c r="AN52" s="22">
        <f ca="1">+GETPIVOTDATA("XXS4",'xuanson (2016)'!$A$3,"MA_HT","DSH","MA_QH","DDT")</f>
        <v>0</v>
      </c>
      <c r="AO52" s="22">
        <f ca="1">+GETPIVOTDATA("XXS4",'xuanson (2016)'!$A$3,"MA_HT","DSH","MA_QH","DDL")</f>
        <v>0</v>
      </c>
      <c r="AP52" s="22">
        <f ca="1">+GETPIVOTDATA("XXS4",'xuanson (2016)'!$A$3,"MA_HT","DSH","MA_QH","DRA")</f>
        <v>0</v>
      </c>
      <c r="AQ52" s="22">
        <f ca="1">+GETPIVOTDATA("XXS4",'xuanson (2016)'!$A$3,"MA_HT","DSH","MA_QH","ONT")</f>
        <v>0</v>
      </c>
      <c r="AR52" s="22">
        <f ca="1">+GETPIVOTDATA("XXS4",'xuanson (2016)'!$A$3,"MA_HT","DSH","MA_QH","ODT")</f>
        <v>0</v>
      </c>
      <c r="AS52" s="22">
        <f ca="1">+GETPIVOTDATA("XXS4",'xuanson (2016)'!$A$3,"MA_HT","DSH","MA_QH","TSC")</f>
        <v>0</v>
      </c>
      <c r="AT52" s="22">
        <f ca="1">+GETPIVOTDATA("XXS4",'xuanson (2016)'!$A$3,"MA_HT","DSH","MA_QH","DTS")</f>
        <v>0</v>
      </c>
      <c r="AU52" s="22">
        <f ca="1">+GETPIVOTDATA("XXS4",'xuanson (2016)'!$A$3,"MA_HT","DSH","MA_QH","DNG")</f>
        <v>0</v>
      </c>
      <c r="AV52" s="22">
        <f ca="1">+GETPIVOTDATA("XXS4",'xuanson (2016)'!$A$3,"MA_HT","DSH","MA_QH","TON")</f>
        <v>0</v>
      </c>
      <c r="AW52" s="22">
        <f ca="1">+GETPIVOTDATA("XXS4",'xuanson (2016)'!$A$3,"MA_HT","DSH","MA_QH","NTD")</f>
        <v>0</v>
      </c>
      <c r="AX52" s="22">
        <f ca="1">+GETPIVOTDATA("XXS4",'xuanson (2016)'!$A$3,"MA_HT","DSH","MA_QH","SKX")</f>
        <v>0</v>
      </c>
      <c r="AY52" s="43" t="e">
        <f ca="1">$D52-$BF52</f>
        <v>#REF!</v>
      </c>
      <c r="AZ52" s="22">
        <f ca="1">+GETPIVOTDATA("XXS4",'xuanson (2016)'!$A$3,"MA_HT","DSH","MA_QH","DKV")</f>
        <v>0</v>
      </c>
      <c r="BA52" s="89">
        <f ca="1">+GETPIVOTDATA("XXS4",'xuanson (2016)'!$A$3,"MA_HT","DSH","MA_QH","TIN")</f>
        <v>0</v>
      </c>
      <c r="BB52" s="50">
        <f ca="1">+GETPIVOTDATA("XXS4",'xuanson (2016)'!$A$3,"MA_HT","DSH","MA_QH","SON")</f>
        <v>0</v>
      </c>
      <c r="BC52" s="50">
        <f ca="1">+GETPIVOTDATA("XXS4",'xuanson (2016)'!$A$3,"MA_HT","DSH","MA_QH","MNC")</f>
        <v>0</v>
      </c>
      <c r="BD52" s="22">
        <f ca="1">+GETPIVOTDATA("XXS4",'xuanson (2016)'!$A$3,"MA_HT","DSH","MA_QH","PNK")</f>
        <v>0</v>
      </c>
      <c r="BE52" s="71">
        <f ca="1">+GETPIVOTDATA("XXS4",'xuanson (2016)'!$A$3,"MA_HT","DSH","MA_QH","CSD")</f>
        <v>0</v>
      </c>
      <c r="BF52" s="74">
        <f ca="1" t="shared" si="13"/>
        <v>0</v>
      </c>
      <c r="BG52" s="101">
        <f ca="1">AY$59-$BF52</f>
        <v>0</v>
      </c>
      <c r="BH52" s="41" t="e">
        <f ca="1" t="shared" si="14"/>
        <v>#REF!</v>
      </c>
      <c r="BI52" s="98"/>
      <c r="BJ52" s="98" t="e">
        <f>#REF!</f>
        <v>#REF!</v>
      </c>
      <c r="BK52" s="107" t="e">
        <f ca="1">BH52-BJ52</f>
        <v>#REF!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="2" customFormat="1" ht="15.75" customHeight="1" spans="1:79">
      <c r="A53" s="39" t="s">
        <v>746</v>
      </c>
      <c r="B53" s="39" t="s">
        <v>119</v>
      </c>
      <c r="C53" s="40" t="s">
        <v>120</v>
      </c>
      <c r="D53" s="41" t="e">
        <f>+#REF!</f>
        <v>#REF!</v>
      </c>
      <c r="E53" s="42">
        <f ca="1" t="shared" si="15"/>
        <v>0</v>
      </c>
      <c r="F53" s="52">
        <f ca="1" t="shared" si="9"/>
        <v>0</v>
      </c>
      <c r="G53" s="22">
        <f ca="1">+GETPIVOTDATA("XXS4",'xuanson (2016)'!$A$3,"MA_HT","DKV","MA_QH","LUC")</f>
        <v>0</v>
      </c>
      <c r="H53" s="22">
        <f ca="1">+GETPIVOTDATA("XXS4",'xuanson (2016)'!$A$3,"MA_HT","DKV","MA_QH","LUK")</f>
        <v>0</v>
      </c>
      <c r="I53" s="22">
        <f ca="1">+GETPIVOTDATA("XXS4",'xuanson (2016)'!$A$3,"MA_HT","DKV","MA_QH","LUN")</f>
        <v>0</v>
      </c>
      <c r="J53" s="22">
        <f ca="1">+GETPIVOTDATA("XXS4",'xuanson (2016)'!$A$3,"MA_HT","DKV","MA_QH","HNK")</f>
        <v>0</v>
      </c>
      <c r="K53" s="22">
        <f ca="1">+GETPIVOTDATA("XXS4",'xuanson (2016)'!$A$3,"MA_HT","DKV","MA_QH","CLN")</f>
        <v>0</v>
      </c>
      <c r="L53" s="22">
        <f ca="1">+GETPIVOTDATA("XXS4",'xuanson (2016)'!$A$3,"MA_HT","DKV","MA_QH","RSX")</f>
        <v>0</v>
      </c>
      <c r="M53" s="22">
        <f ca="1">+GETPIVOTDATA("XXS4",'xuanson (2016)'!$A$3,"MA_HT","DKV","MA_QH","RPH")</f>
        <v>0</v>
      </c>
      <c r="N53" s="22">
        <f ca="1">+GETPIVOTDATA("XXS4",'xuanson (2016)'!$A$3,"MA_HT","DKV","MA_QH","RDD")</f>
        <v>0</v>
      </c>
      <c r="O53" s="22">
        <f ca="1">+GETPIVOTDATA("XXS4",'xuanson (2016)'!$A$3,"MA_HT","DKV","MA_QH","NTS")</f>
        <v>0</v>
      </c>
      <c r="P53" s="22">
        <f ca="1">+GETPIVOTDATA("XXS4",'xuanson (2016)'!$A$3,"MA_HT","DKV","MA_QH","LMU")</f>
        <v>0</v>
      </c>
      <c r="Q53" s="22">
        <f ca="1">+GETPIVOTDATA("XXS4",'xuanson (2016)'!$A$3,"MA_HT","DKV","MA_QH","NKH")</f>
        <v>0</v>
      </c>
      <c r="R53" s="79">
        <f ca="1">SUM(S53:AA53,AN53:AY53,BB53:BD53)</f>
        <v>0</v>
      </c>
      <c r="S53" s="22">
        <f ca="1">+GETPIVOTDATA("XXS4",'xuanson (2016)'!$A$3,"MA_HT","DKV","MA_QH","CQP")</f>
        <v>0</v>
      </c>
      <c r="T53" s="22">
        <f ca="1">+GETPIVOTDATA("XXS4",'xuanson (2016)'!$A$3,"MA_HT","DKV","MA_QH","CAN")</f>
        <v>0</v>
      </c>
      <c r="U53" s="22">
        <f ca="1">+GETPIVOTDATA("XXS4",'xuanson (2016)'!$A$3,"MA_HT","DKV","MA_QH","SKK")</f>
        <v>0</v>
      </c>
      <c r="V53" s="22">
        <f ca="1">+GETPIVOTDATA("XXS4",'xuanson (2016)'!$A$3,"MA_HT","DKV","MA_QH","SKT")</f>
        <v>0</v>
      </c>
      <c r="W53" s="22">
        <f ca="1">+GETPIVOTDATA("XXS4",'xuanson (2016)'!$A$3,"MA_HT","DKV","MA_QH","SKN")</f>
        <v>0</v>
      </c>
      <c r="X53" s="22">
        <f ca="1">+GETPIVOTDATA("XXS4",'xuanson (2016)'!$A$3,"MA_HT","DKV","MA_QH","TMD")</f>
        <v>0</v>
      </c>
      <c r="Y53" s="22">
        <f ca="1">+GETPIVOTDATA("XXS4",'xuanson (2016)'!$A$3,"MA_HT","DKV","MA_QH","SKC")</f>
        <v>0</v>
      </c>
      <c r="Z53" s="22">
        <f ca="1">+GETPIVOTDATA("XXS4",'xuanson (2016)'!$A$3,"MA_HT","DKV","MA_QH","SKS")</f>
        <v>0</v>
      </c>
      <c r="AA53" s="52">
        <f ca="1" t="shared" si="21"/>
        <v>0</v>
      </c>
      <c r="AB53" s="22">
        <f ca="1">+GETPIVOTDATA("XXS4",'xuanson (2016)'!$A$3,"MA_HT","DKV","MA_QH","DGT")</f>
        <v>0</v>
      </c>
      <c r="AC53" s="22">
        <f ca="1">+GETPIVOTDATA("XXS4",'xuanson (2016)'!$A$3,"MA_HT","DKV","MA_QH","DTL")</f>
        <v>0</v>
      </c>
      <c r="AD53" s="22">
        <f ca="1">+GETPIVOTDATA("XXS4",'xuanson (2016)'!$A$3,"MA_HT","DKV","MA_QH","DNL")</f>
        <v>0</v>
      </c>
      <c r="AE53" s="22">
        <f ca="1">+GETPIVOTDATA("XXS4",'xuanson (2016)'!$A$3,"MA_HT","DKV","MA_QH","DBV")</f>
        <v>0</v>
      </c>
      <c r="AF53" s="22">
        <f ca="1">+GETPIVOTDATA("XXS4",'xuanson (2016)'!$A$3,"MA_HT","DKV","MA_QH","DVH")</f>
        <v>0</v>
      </c>
      <c r="AG53" s="22">
        <f ca="1">+GETPIVOTDATA("XXS4",'xuanson (2016)'!$A$3,"MA_HT","DKV","MA_QH","DYT")</f>
        <v>0</v>
      </c>
      <c r="AH53" s="22">
        <f ca="1">+GETPIVOTDATA("XXS4",'xuanson (2016)'!$A$3,"MA_HT","DKV","MA_QH","DGD")</f>
        <v>0</v>
      </c>
      <c r="AI53" s="22">
        <f ca="1">+GETPIVOTDATA("XXS4",'xuanson (2016)'!$A$3,"MA_HT","DKV","MA_QH","DTT")</f>
        <v>0</v>
      </c>
      <c r="AJ53" s="22">
        <f ca="1">+GETPIVOTDATA("XXS4",'xuanson (2016)'!$A$3,"MA_HT","DKV","MA_QH","NCK")</f>
        <v>0</v>
      </c>
      <c r="AK53" s="22">
        <f ca="1">+GETPIVOTDATA("XXS4",'xuanson (2016)'!$A$3,"MA_HT","DKV","MA_QH","DXH")</f>
        <v>0</v>
      </c>
      <c r="AL53" s="22">
        <f ca="1">+GETPIVOTDATA("XXS4",'xuanson (2016)'!$A$3,"MA_HT","DKV","MA_QH","DCH")</f>
        <v>0</v>
      </c>
      <c r="AM53" s="22">
        <f ca="1">+GETPIVOTDATA("XXS4",'xuanson (2016)'!$A$3,"MA_HT","DKV","MA_QH","DKG")</f>
        <v>0</v>
      </c>
      <c r="AN53" s="22">
        <f ca="1">+GETPIVOTDATA("XXS4",'xuanson (2016)'!$A$3,"MA_HT","DKV","MA_QH","DDT")</f>
        <v>0</v>
      </c>
      <c r="AO53" s="22">
        <f ca="1">+GETPIVOTDATA("XXS4",'xuanson (2016)'!$A$3,"MA_HT","DKV","MA_QH","DDL")</f>
        <v>0</v>
      </c>
      <c r="AP53" s="22">
        <f ca="1">+GETPIVOTDATA("XXS4",'xuanson (2016)'!$A$3,"MA_HT","DKV","MA_QH","DRA")</f>
        <v>0</v>
      </c>
      <c r="AQ53" s="22">
        <f ca="1">+GETPIVOTDATA("XXS4",'xuanson (2016)'!$A$3,"MA_HT","DKV","MA_QH","ONT")</f>
        <v>0</v>
      </c>
      <c r="AR53" s="22">
        <f ca="1">+GETPIVOTDATA("XXS4",'xuanson (2016)'!$A$3,"MA_HT","DKV","MA_QH","ODT")</f>
        <v>0</v>
      </c>
      <c r="AS53" s="22">
        <f ca="1">+GETPIVOTDATA("XXS4",'xuanson (2016)'!$A$3,"MA_HT","DKV","MA_QH","TSC")</f>
        <v>0</v>
      </c>
      <c r="AT53" s="22">
        <f ca="1">+GETPIVOTDATA("XXS4",'xuanson (2016)'!$A$3,"MA_HT","DKV","MA_QH","DTS")</f>
        <v>0</v>
      </c>
      <c r="AU53" s="22">
        <f ca="1">+GETPIVOTDATA("XXS4",'xuanson (2016)'!$A$3,"MA_HT","DKV","MA_QH","DNG")</f>
        <v>0</v>
      </c>
      <c r="AV53" s="22">
        <f ca="1">+GETPIVOTDATA("XXS4",'xuanson (2016)'!$A$3,"MA_HT","DKV","MA_QH","TON")</f>
        <v>0</v>
      </c>
      <c r="AW53" s="22">
        <f ca="1">+GETPIVOTDATA("XXS4",'xuanson (2016)'!$A$3,"MA_HT","DKV","MA_QH","NTD")</f>
        <v>0</v>
      </c>
      <c r="AX53" s="22">
        <f ca="1">+GETPIVOTDATA("XXS4",'xuanson (2016)'!$A$3,"MA_HT","DKV","MA_QH","SKX")</f>
        <v>0</v>
      </c>
      <c r="AY53" s="22">
        <f ca="1">+GETPIVOTDATA("XXS4",'xuanson (2016)'!$A$3,"MA_HT","DKV","MA_QH","DSH")</f>
        <v>0</v>
      </c>
      <c r="AZ53" s="43" t="e">
        <f ca="1">$D53-$BF53</f>
        <v>#REF!</v>
      </c>
      <c r="BA53" s="89">
        <f ca="1">+GETPIVOTDATA("XXS4",'xuanson (2016)'!$A$3,"MA_HT","DKV","MA_QH","TIN")</f>
        <v>0</v>
      </c>
      <c r="BB53" s="50">
        <f ca="1">+GETPIVOTDATA("XXS4",'xuanson (2016)'!$A$3,"MA_HT","DKV","MA_QH","SON")</f>
        <v>0</v>
      </c>
      <c r="BC53" s="50">
        <f ca="1">+GETPIVOTDATA("XXS4",'xuanson (2016)'!$A$3,"MA_HT","DKV","MA_QH","MNC")</f>
        <v>0</v>
      </c>
      <c r="BD53" s="22">
        <f ca="1">+GETPIVOTDATA("XXS4",'xuanson (2016)'!$A$3,"MA_HT","DKV","MA_QH","PNK")</f>
        <v>0</v>
      </c>
      <c r="BE53" s="71">
        <f ca="1">+GETPIVOTDATA("XXS4",'xuanson (2016)'!$A$3,"MA_HT","DKV","MA_QH","CSD")</f>
        <v>0</v>
      </c>
      <c r="BF53" s="74">
        <f ca="1" t="shared" si="13"/>
        <v>0</v>
      </c>
      <c r="BG53" s="101">
        <f ca="1">AZ$59-$BF53</f>
        <v>0</v>
      </c>
      <c r="BH53" s="41" t="e">
        <f ca="1" t="shared" si="14"/>
        <v>#REF!</v>
      </c>
      <c r="BI53" s="98"/>
      <c r="BJ53" s="98" t="e">
        <f>#REF!</f>
        <v>#REF!</v>
      </c>
      <c r="BK53" s="107" t="e">
        <f ca="1">BH53-BJ53</f>
        <v>#REF!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</row>
    <row r="54" s="2" customFormat="1" ht="15.75" customHeight="1" spans="1:75">
      <c r="A54" s="39" t="s">
        <v>747</v>
      </c>
      <c r="B54" s="39" t="s">
        <v>137</v>
      </c>
      <c r="C54" s="40" t="s">
        <v>138</v>
      </c>
      <c r="D54" s="41" t="e">
        <f>+#REF!</f>
        <v>#REF!</v>
      </c>
      <c r="E54" s="33">
        <f ca="1" t="shared" si="15"/>
        <v>0</v>
      </c>
      <c r="F54" s="52">
        <f ca="1">SUM(F29:F39)</f>
        <v>0</v>
      </c>
      <c r="G54" s="22">
        <f ca="1">+GETPIVOTDATA("XXS4",'xuanson (2016)'!$A$3,"MA_HT","TIN","MA_QH","LUC")</f>
        <v>0</v>
      </c>
      <c r="H54" s="22">
        <f ca="1">+GETPIVOTDATA("XXS4",'xuanson (2016)'!$A$3,"MA_HT","TIN","MA_QH","LUK")</f>
        <v>0</v>
      </c>
      <c r="I54" s="22">
        <f ca="1">+GETPIVOTDATA("XXS4",'xuanson (2016)'!$A$3,"MA_HT","TIN","MA_QH","LUN")</f>
        <v>0</v>
      </c>
      <c r="J54" s="22">
        <f ca="1">+GETPIVOTDATA("XXS4",'xuanson (2016)'!$A$3,"MA_HT","TIN","MA_QH","HNK")</f>
        <v>0</v>
      </c>
      <c r="K54" s="22">
        <f ca="1">+GETPIVOTDATA("XXS4",'xuanson (2016)'!$A$3,"MA_HT","TIN","MA_QH","CLN")</f>
        <v>0</v>
      </c>
      <c r="L54" s="22">
        <f ca="1">+GETPIVOTDATA("XXS4",'xuanson (2016)'!$A$3,"MA_HT","TIN","MA_QH","RSX")</f>
        <v>0</v>
      </c>
      <c r="M54" s="22">
        <f ca="1">+GETPIVOTDATA("XXS4",'xuanson (2016)'!$A$3,"MA_HT","TIN","MA_QH","RPH")</f>
        <v>0</v>
      </c>
      <c r="N54" s="22">
        <f ca="1">+GETPIVOTDATA("XXS4",'xuanson (2016)'!$A$3,"MA_HT","TIN","MA_QH","RDD")</f>
        <v>0</v>
      </c>
      <c r="O54" s="22">
        <f ca="1">+GETPIVOTDATA("XXS4",'xuanson (2016)'!$A$3,"MA_HT","TIN","MA_QH","NTS")</f>
        <v>0</v>
      </c>
      <c r="P54" s="22">
        <f ca="1">+GETPIVOTDATA("XXS4",'xuanson (2016)'!$A$3,"MA_HT","TIN","MA_QH","LMU")</f>
        <v>0</v>
      </c>
      <c r="Q54" s="22">
        <f ca="1">+GETPIVOTDATA("XXS4",'xuanson (2016)'!$A$3,"MA_HT","TIN","MA_QH","NKH")</f>
        <v>0</v>
      </c>
      <c r="R54" s="79">
        <f ca="1">SUM(S54:AA54,AN54:AZ54,BB54:BD54)</f>
        <v>0</v>
      </c>
      <c r="S54" s="22">
        <f ca="1">+GETPIVOTDATA("XXS4",'xuanson (2016)'!$A$3,"MA_HT","TIN","MA_QH","CQP")</f>
        <v>0</v>
      </c>
      <c r="T54" s="22">
        <f ca="1">+GETPIVOTDATA("XXS4",'xuanson (2016)'!$A$3,"MA_HT","TIN","MA_QH","CAN")</f>
        <v>0</v>
      </c>
      <c r="U54" s="22">
        <f ca="1">+GETPIVOTDATA("XXS4",'xuanson (2016)'!$A$3,"MA_HT","TIN","MA_QH","SKK")</f>
        <v>0</v>
      </c>
      <c r="V54" s="22">
        <f ca="1">+GETPIVOTDATA("XXS4",'xuanson (2016)'!$A$3,"MA_HT","TIN","MA_QH","SKT")</f>
        <v>0</v>
      </c>
      <c r="W54" s="22">
        <f ca="1">+GETPIVOTDATA("XXS4",'xuanson (2016)'!$A$3,"MA_HT","TIN","MA_QH","SKN")</f>
        <v>0</v>
      </c>
      <c r="X54" s="22">
        <f ca="1">+GETPIVOTDATA("XXS4",'xuanson (2016)'!$A$3,"MA_HT","TIN","MA_QH","TMD")</f>
        <v>0</v>
      </c>
      <c r="Y54" s="22">
        <f ca="1">+GETPIVOTDATA("XXS4",'xuanson (2016)'!$A$3,"MA_HT","TIN","MA_QH","SKC")</f>
        <v>0</v>
      </c>
      <c r="Z54" s="22">
        <f ca="1">+GETPIVOTDATA("XXS4",'xuanson (2016)'!$A$3,"MA_HT","TIN","MA_QH","SKS")</f>
        <v>0</v>
      </c>
      <c r="AA54" s="52">
        <f ca="1" t="shared" si="21"/>
        <v>0</v>
      </c>
      <c r="AB54" s="22">
        <f ca="1">+GETPIVOTDATA("XXS4",'xuanson (2016)'!$A$3,"MA_HT","TIN","MA_QH","DGT")</f>
        <v>0</v>
      </c>
      <c r="AC54" s="22">
        <f ca="1">+GETPIVOTDATA("XXS4",'xuanson (2016)'!$A$3,"MA_HT","TIN","MA_QH","DTL")</f>
        <v>0</v>
      </c>
      <c r="AD54" s="22">
        <f ca="1">+GETPIVOTDATA("XXS4",'xuanson (2016)'!$A$3,"MA_HT","TIN","MA_QH","DNL")</f>
        <v>0</v>
      </c>
      <c r="AE54" s="22">
        <f ca="1">+GETPIVOTDATA("XXS4",'xuanson (2016)'!$A$3,"MA_HT","TIN","MA_QH","DBV")</f>
        <v>0</v>
      </c>
      <c r="AF54" s="22">
        <f ca="1">+GETPIVOTDATA("XXS4",'xuanson (2016)'!$A$3,"MA_HT","TIN","MA_QH","DVH")</f>
        <v>0</v>
      </c>
      <c r="AG54" s="22">
        <f ca="1">+GETPIVOTDATA("XXS4",'xuanson (2016)'!$A$3,"MA_HT","TIN","MA_QH","DYT")</f>
        <v>0</v>
      </c>
      <c r="AH54" s="22">
        <f ca="1">+GETPIVOTDATA("XXS4",'xuanson (2016)'!$A$3,"MA_HT","TIN","MA_QH","DGD")</f>
        <v>0</v>
      </c>
      <c r="AI54" s="22">
        <f ca="1">+GETPIVOTDATA("XXS4",'xuanson (2016)'!$A$3,"MA_HT","TIN","MA_QH","DTT")</f>
        <v>0</v>
      </c>
      <c r="AJ54" s="22">
        <f ca="1">+GETPIVOTDATA("XXS4",'xuanson (2016)'!$A$3,"MA_HT","TIN","MA_QH","NCK")</f>
        <v>0</v>
      </c>
      <c r="AK54" s="22">
        <f ca="1">+GETPIVOTDATA("XXS4",'xuanson (2016)'!$A$3,"MA_HT","TIN","MA_QH","DXH")</f>
        <v>0</v>
      </c>
      <c r="AL54" s="22">
        <f ca="1">+GETPIVOTDATA("XXS4",'xuanson (2016)'!$A$3,"MA_HT","TIN","MA_QH","DCH")</f>
        <v>0</v>
      </c>
      <c r="AM54" s="22">
        <f ca="1">+GETPIVOTDATA("XXS4",'xuanson (2016)'!$A$3,"MA_HT","TIN","MA_QH","DKG")</f>
        <v>0</v>
      </c>
      <c r="AN54" s="22">
        <f ca="1">+GETPIVOTDATA("XXS4",'xuanson (2016)'!$A$3,"MA_HT","TIN","MA_QH","DDT")</f>
        <v>0</v>
      </c>
      <c r="AO54" s="22">
        <f ca="1">+GETPIVOTDATA("XXS4",'xuanson (2016)'!$A$3,"MA_HT","TIN","MA_QH","DDL")</f>
        <v>0</v>
      </c>
      <c r="AP54" s="22">
        <f ca="1">+GETPIVOTDATA("XXS4",'xuanson (2016)'!$A$3,"MA_HT","TIN","MA_QH","DRA")</f>
        <v>0</v>
      </c>
      <c r="AQ54" s="22">
        <f ca="1">+GETPIVOTDATA("XXS4",'xuanson (2016)'!$A$3,"MA_HT","TIN","MA_QH","ONT")</f>
        <v>0</v>
      </c>
      <c r="AR54" s="22">
        <f ca="1">+GETPIVOTDATA("XXS4",'xuanson (2016)'!$A$3,"MA_HT","TIN","MA_QH","ODT")</f>
        <v>0</v>
      </c>
      <c r="AS54" s="22">
        <f ca="1">+GETPIVOTDATA("XXS4",'xuanson (2016)'!$A$3,"MA_HT","TIN","MA_QH","TSC")</f>
        <v>0</v>
      </c>
      <c r="AT54" s="22">
        <f ca="1">+GETPIVOTDATA("XXS4",'xuanson (2016)'!$A$3,"MA_HT","TIN","MA_QH","DTS")</f>
        <v>0</v>
      </c>
      <c r="AU54" s="22">
        <f ca="1">+GETPIVOTDATA("XXS4",'xuanson (2016)'!$A$3,"MA_HT","TIN","MA_QH","DNG")</f>
        <v>0</v>
      </c>
      <c r="AV54" s="22">
        <f ca="1">+GETPIVOTDATA("XXS4",'xuanson (2016)'!$A$3,"MA_HT","TIN","MA_QH","TON")</f>
        <v>0</v>
      </c>
      <c r="AW54" s="22">
        <f ca="1">+GETPIVOTDATA("XXS4",'xuanson (2016)'!$A$3,"MA_HT","TIN","MA_QH","NTD")</f>
        <v>0</v>
      </c>
      <c r="AX54" s="22">
        <f ca="1">+GETPIVOTDATA("XXS4",'xuanson (2016)'!$A$3,"MA_HT","TIN","MA_QH","SKX")</f>
        <v>0</v>
      </c>
      <c r="AY54" s="22">
        <f ca="1">+GETPIVOTDATA("XXS4",'xuanson (2016)'!$A$3,"MA_HT","TIN","MA_QH","DSH")</f>
        <v>0</v>
      </c>
      <c r="AZ54" s="22">
        <f ca="1">+GETPIVOTDATA("XXS4",'xuanson (2016)'!$A$3,"MA_HT","TIN","MA_QH","DKV")</f>
        <v>0</v>
      </c>
      <c r="BA54" s="43" t="e">
        <f ca="1">$D54-$BF54</f>
        <v>#REF!</v>
      </c>
      <c r="BB54" s="22">
        <f ca="1">+GETPIVOTDATA("XXS4",'xuanson (2016)'!$A$3,"MA_HT","TIN","MA_QH","SON")</f>
        <v>0</v>
      </c>
      <c r="BC54" s="22">
        <f ca="1">+GETPIVOTDATA("XXS4",'xuanson (2016)'!$A$3,"MA_HT","TIN","MA_QH","MNC")</f>
        <v>0</v>
      </c>
      <c r="BD54" s="22">
        <f ca="1">+GETPIVOTDATA("XXS4",'xuanson (2016)'!$A$3,"MA_HT","TIN","MA_QH","PNK")</f>
        <v>0</v>
      </c>
      <c r="BE54" s="71">
        <f ca="1">+GETPIVOTDATA("XXS4",'xuanson (2016)'!$A$3,"MA_HT","TIN","MA_QH","CSD")</f>
        <v>0</v>
      </c>
      <c r="BF54" s="74">
        <f ca="1" t="shared" si="13"/>
        <v>0</v>
      </c>
      <c r="BG54" s="101">
        <f ca="1">BA59-BF54</f>
        <v>0</v>
      </c>
      <c r="BH54" s="41" t="e">
        <f ca="1" t="shared" si="14"/>
        <v>#REF!</v>
      </c>
      <c r="BI54" s="98"/>
      <c r="BJ54" s="39" t="e">
        <f>SUM(BJ29:BJ39)</f>
        <v>#REF!</v>
      </c>
      <c r="BK54" s="107" t="e">
        <f ca="1">BH54-BJ54</f>
        <v>#REF!</v>
      </c>
      <c r="BL54" s="107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</row>
    <row r="55" s="2" customFormat="1" ht="15.75" customHeight="1" spans="1:79">
      <c r="A55" s="68" t="s">
        <v>748</v>
      </c>
      <c r="B55" s="69" t="s">
        <v>140</v>
      </c>
      <c r="C55" s="40" t="s">
        <v>141</v>
      </c>
      <c r="D55" s="41" t="e">
        <f>+#REF!</f>
        <v>#REF!</v>
      </c>
      <c r="E55" s="42">
        <f ca="1" t="shared" si="15"/>
        <v>0</v>
      </c>
      <c r="F55" s="52">
        <f ca="1" t="shared" si="9"/>
        <v>0</v>
      </c>
      <c r="G55" s="22">
        <f ca="1">+GETPIVOTDATA("XXS4",'xuanson (2016)'!$A$3,"MA_HT","SON","MA_QH","LUC")</f>
        <v>0</v>
      </c>
      <c r="H55" s="22">
        <f ca="1">+GETPIVOTDATA("XXS4",'xuanson (2016)'!$A$3,"MA_HT","SON","MA_QH","LUK")</f>
        <v>0</v>
      </c>
      <c r="I55" s="22">
        <f ca="1">+GETPIVOTDATA("XXS4",'xuanson (2016)'!$A$3,"MA_HT","SON","MA_QH","LUN")</f>
        <v>0</v>
      </c>
      <c r="J55" s="22">
        <f ca="1">+GETPIVOTDATA("XXS4",'xuanson (2016)'!$A$3,"MA_HT","SON","MA_QH","HNK")</f>
        <v>0</v>
      </c>
      <c r="K55" s="22">
        <f ca="1">+GETPIVOTDATA("XXS4",'xuanson (2016)'!$A$3,"MA_HT","SON","MA_QH","CLN")</f>
        <v>0</v>
      </c>
      <c r="L55" s="22">
        <f ca="1">+GETPIVOTDATA("XXS4",'xuanson (2016)'!$A$3,"MA_HT","SON","MA_QH","RSX")</f>
        <v>0</v>
      </c>
      <c r="M55" s="22">
        <f ca="1">+GETPIVOTDATA("XXS4",'xuanson (2016)'!$A$3,"MA_HT","SON","MA_QH","RPH")</f>
        <v>0</v>
      </c>
      <c r="N55" s="22">
        <f ca="1">+GETPIVOTDATA("XXS4",'xuanson (2016)'!$A$3,"MA_HT","SON","MA_QH","RDD")</f>
        <v>0</v>
      </c>
      <c r="O55" s="22">
        <f ca="1">+GETPIVOTDATA("XXS4",'xuanson (2016)'!$A$3,"MA_HT","SON","MA_QH","NTS")</f>
        <v>0</v>
      </c>
      <c r="P55" s="22">
        <f ca="1">+GETPIVOTDATA("XXS4",'xuanson (2016)'!$A$3,"MA_HT","SON","MA_QH","LMU")</f>
        <v>0</v>
      </c>
      <c r="Q55" s="22">
        <f ca="1">+GETPIVOTDATA("XXS4",'xuanson (2016)'!$A$3,"MA_HT","SON","MA_QH","NKH")</f>
        <v>0</v>
      </c>
      <c r="R55" s="79">
        <f ca="1">SUM(S55:AA55,AN55:AZ55,BC55:BD55)</f>
        <v>0</v>
      </c>
      <c r="S55" s="22">
        <f ca="1">+GETPIVOTDATA("XXS4",'xuanson (2016)'!$A$3,"MA_HT","SON","MA_QH","CQP")</f>
        <v>0</v>
      </c>
      <c r="T55" s="22">
        <f ca="1">+GETPIVOTDATA("XXS4",'xuanson (2016)'!$A$3,"MA_HT","SON","MA_QH","CAN")</f>
        <v>0</v>
      </c>
      <c r="U55" s="22">
        <f ca="1">+GETPIVOTDATA("XXS4",'xuanson (2016)'!$A$3,"MA_HT","SON","MA_QH","SKK")</f>
        <v>0</v>
      </c>
      <c r="V55" s="22">
        <f ca="1">+GETPIVOTDATA("XXS4",'xuanson (2016)'!$A$3,"MA_HT","SON","MA_QH","SKT")</f>
        <v>0</v>
      </c>
      <c r="W55" s="22">
        <f ca="1">+GETPIVOTDATA("XXS4",'xuanson (2016)'!$A$3,"MA_HT","SON","MA_QH","SKN")</f>
        <v>0</v>
      </c>
      <c r="X55" s="22">
        <f ca="1">+GETPIVOTDATA("XXS4",'xuanson (2016)'!$A$3,"MA_HT","SON","MA_QH","TMD")</f>
        <v>0</v>
      </c>
      <c r="Y55" s="22">
        <f ca="1">+GETPIVOTDATA("XXS4",'xuanson (2016)'!$A$3,"MA_HT","SON","MA_QH","SKC")</f>
        <v>0</v>
      </c>
      <c r="Z55" s="22">
        <f ca="1">+GETPIVOTDATA("XXS4",'xuanson (2016)'!$A$3,"MA_HT","SON","MA_QH","SKS")</f>
        <v>0</v>
      </c>
      <c r="AA55" s="52">
        <f ca="1" t="shared" si="21"/>
        <v>0</v>
      </c>
      <c r="AB55" s="22">
        <f ca="1">+GETPIVOTDATA("XXS4",'xuanson (2016)'!$A$3,"MA_HT","SON","MA_QH","DGT")</f>
        <v>0</v>
      </c>
      <c r="AC55" s="22">
        <f ca="1">+GETPIVOTDATA("XXS4",'xuanson (2016)'!$A$3,"MA_HT","SON","MA_QH","DTL")</f>
        <v>0</v>
      </c>
      <c r="AD55" s="22">
        <f ca="1">+GETPIVOTDATA("XXS4",'xuanson (2016)'!$A$3,"MA_HT","SON","MA_QH","DNL")</f>
        <v>0</v>
      </c>
      <c r="AE55" s="22">
        <f ca="1">+GETPIVOTDATA("XXS4",'xuanson (2016)'!$A$3,"MA_HT","SON","MA_QH","DBV")</f>
        <v>0</v>
      </c>
      <c r="AF55" s="22">
        <f ca="1">+GETPIVOTDATA("XXS4",'xuanson (2016)'!$A$3,"MA_HT","SON","MA_QH","DVH")</f>
        <v>0</v>
      </c>
      <c r="AG55" s="22">
        <f ca="1">+GETPIVOTDATA("XXS4",'xuanson (2016)'!$A$3,"MA_HT","SON","MA_QH","DYT")</f>
        <v>0</v>
      </c>
      <c r="AH55" s="22">
        <f ca="1">+GETPIVOTDATA("XXS4",'xuanson (2016)'!$A$3,"MA_HT","SON","MA_QH","DGD")</f>
        <v>0</v>
      </c>
      <c r="AI55" s="22">
        <f ca="1">+GETPIVOTDATA("XXS4",'xuanson (2016)'!$A$3,"MA_HT","SON","MA_QH","DTT")</f>
        <v>0</v>
      </c>
      <c r="AJ55" s="22">
        <f ca="1">+GETPIVOTDATA("XXS4",'xuanson (2016)'!$A$3,"MA_HT","SON","MA_QH","NCK")</f>
        <v>0</v>
      </c>
      <c r="AK55" s="22">
        <f ca="1">+GETPIVOTDATA("XXS4",'xuanson (2016)'!$A$3,"MA_HT","SON","MA_QH","DXH")</f>
        <v>0</v>
      </c>
      <c r="AL55" s="22">
        <f ca="1">+GETPIVOTDATA("XXS4",'xuanson (2016)'!$A$3,"MA_HT","SON","MA_QH","DCH")</f>
        <v>0</v>
      </c>
      <c r="AM55" s="22">
        <f ca="1">+GETPIVOTDATA("XXS4",'xuanson (2016)'!$A$3,"MA_HT","SON","MA_QH","DKG")</f>
        <v>0</v>
      </c>
      <c r="AN55" s="22">
        <f ca="1">+GETPIVOTDATA("XXS4",'xuanson (2016)'!$A$3,"MA_HT","SON","MA_QH","DDT")</f>
        <v>0</v>
      </c>
      <c r="AO55" s="22">
        <f ca="1">+GETPIVOTDATA("XXS4",'xuanson (2016)'!$A$3,"MA_HT","SON","MA_QH","DDL")</f>
        <v>0</v>
      </c>
      <c r="AP55" s="22">
        <f ca="1">+GETPIVOTDATA("XXS4",'xuanson (2016)'!$A$3,"MA_HT","SON","MA_QH","DRA")</f>
        <v>0</v>
      </c>
      <c r="AQ55" s="22">
        <f ca="1">+GETPIVOTDATA("XXS4",'xuanson (2016)'!$A$3,"MA_HT","SON","MA_QH","ONT")</f>
        <v>0</v>
      </c>
      <c r="AR55" s="22">
        <f ca="1">+GETPIVOTDATA("XXS4",'xuanson (2016)'!$A$3,"MA_HT","SON","MA_QH","ODT")</f>
        <v>0</v>
      </c>
      <c r="AS55" s="22">
        <f ca="1">+GETPIVOTDATA("XXS4",'xuanson (2016)'!$A$3,"MA_HT","SON","MA_QH","TSC")</f>
        <v>0</v>
      </c>
      <c r="AT55" s="22">
        <f ca="1">+GETPIVOTDATA("XXS4",'xuanson (2016)'!$A$3,"MA_HT","SON","MA_QH","DTS")</f>
        <v>0</v>
      </c>
      <c r="AU55" s="22">
        <f ca="1">+GETPIVOTDATA("XXS4",'xuanson (2016)'!$A$3,"MA_HT","SON","MA_QH","DNG")</f>
        <v>0</v>
      </c>
      <c r="AV55" s="22">
        <f ca="1">+GETPIVOTDATA("XXS4",'xuanson (2016)'!$A$3,"MA_HT","SON","MA_QH","TON")</f>
        <v>0</v>
      </c>
      <c r="AW55" s="22">
        <f ca="1">+GETPIVOTDATA("XXS4",'xuanson (2016)'!$A$3,"MA_HT","SON","MA_QH","NTD")</f>
        <v>0</v>
      </c>
      <c r="AX55" s="22">
        <f ca="1">+GETPIVOTDATA("XXS4",'xuanson (2016)'!$A$3,"MA_HT","SON","MA_QH","SKX")</f>
        <v>0</v>
      </c>
      <c r="AY55" s="22">
        <f ca="1">+GETPIVOTDATA("XXS4",'xuanson (2016)'!$A$3,"MA_HT","SON","MA_QH","DSH")</f>
        <v>0</v>
      </c>
      <c r="AZ55" s="22">
        <f ca="1">+GETPIVOTDATA("XXS4",'xuanson (2016)'!$A$3,"MA_HT","SON","MA_QH","DKV")</f>
        <v>0</v>
      </c>
      <c r="BA55" s="89">
        <f ca="1">+GETPIVOTDATA("XXS4",'xuanson (2016)'!$A$3,"MA_HT","SON","MA_QH","TIN")</f>
        <v>0</v>
      </c>
      <c r="BB55" s="43" t="e">
        <f ca="1">$D55-$BF55</f>
        <v>#REF!</v>
      </c>
      <c r="BC55" s="50">
        <f ca="1">+GETPIVOTDATA("XXS4",'xuanson (2016)'!$A$3,"MA_HT","SON","MA_QH","MNC")</f>
        <v>0</v>
      </c>
      <c r="BD55" s="22">
        <f ca="1">+GETPIVOTDATA("XXS4",'xuanson (2016)'!$A$3,"MA_HT","SON","MA_QH","PNK")</f>
        <v>0</v>
      </c>
      <c r="BE55" s="71">
        <f ca="1">+GETPIVOTDATA("XXS4",'xuanson (2016)'!$A$3,"MA_HT","SON","MA_QH","CSD")</f>
        <v>0</v>
      </c>
      <c r="BF55" s="74">
        <f ca="1" t="shared" si="13"/>
        <v>0</v>
      </c>
      <c r="BG55" s="101">
        <f ca="1">BB$59-$BF55</f>
        <v>0</v>
      </c>
      <c r="BH55" s="41" t="e">
        <f ca="1" t="shared" si="14"/>
        <v>#REF!</v>
      </c>
      <c r="BI55" s="98"/>
      <c r="BJ55" s="98"/>
      <c r="BK55" s="10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</row>
    <row r="56" s="2" customFormat="1" ht="15.75" customHeight="1" spans="1:79">
      <c r="A56" s="68" t="s">
        <v>749</v>
      </c>
      <c r="B56" s="69" t="s">
        <v>750</v>
      </c>
      <c r="C56" s="40" t="s">
        <v>144</v>
      </c>
      <c r="D56" s="41" t="e">
        <f>+#REF!</f>
        <v>#REF!</v>
      </c>
      <c r="E56" s="42">
        <f ca="1" t="shared" si="15"/>
        <v>0</v>
      </c>
      <c r="F56" s="52">
        <f ca="1" t="shared" si="9"/>
        <v>0</v>
      </c>
      <c r="G56" s="22">
        <f ca="1">+GETPIVOTDATA("XXS4",'xuanson (2016)'!$A$3,"MA_HT","MNC","MA_QH","LUC")</f>
        <v>0</v>
      </c>
      <c r="H56" s="22">
        <f ca="1">+GETPIVOTDATA("XXS4",'xuanson (2016)'!$A$3,"MA_HT","MNC","MA_QH","LUK")</f>
        <v>0</v>
      </c>
      <c r="I56" s="22">
        <f ca="1">+GETPIVOTDATA("XXS4",'xuanson (2016)'!$A$3,"MA_HT","MNC","MA_QH","LUN")</f>
        <v>0</v>
      </c>
      <c r="J56" s="22">
        <f ca="1">+GETPIVOTDATA("XXS4",'xuanson (2016)'!$A$3,"MA_HT","MNC","MA_QH","HNK")</f>
        <v>0</v>
      </c>
      <c r="K56" s="22">
        <f ca="1">+GETPIVOTDATA("XXS4",'xuanson (2016)'!$A$3,"MA_HT","MNC","MA_QH","CLN")</f>
        <v>0</v>
      </c>
      <c r="L56" s="22">
        <f ca="1">+GETPIVOTDATA("XXS4",'xuanson (2016)'!$A$3,"MA_HT","MNC","MA_QH","RSX")</f>
        <v>0</v>
      </c>
      <c r="M56" s="22">
        <f ca="1">+GETPIVOTDATA("XXS4",'xuanson (2016)'!$A$3,"MA_HT","MNC","MA_QH","RPH")</f>
        <v>0</v>
      </c>
      <c r="N56" s="22">
        <f ca="1">+GETPIVOTDATA("XXS4",'xuanson (2016)'!$A$3,"MA_HT","MNC","MA_QH","RDD")</f>
        <v>0</v>
      </c>
      <c r="O56" s="22">
        <f ca="1">+GETPIVOTDATA("XXS4",'xuanson (2016)'!$A$3,"MA_HT","MNC","MA_QH","NTS")</f>
        <v>0</v>
      </c>
      <c r="P56" s="22">
        <f ca="1">+GETPIVOTDATA("XXS4",'xuanson (2016)'!$A$3,"MA_HT","MNC","MA_QH","LMU")</f>
        <v>0</v>
      </c>
      <c r="Q56" s="22">
        <f ca="1">+GETPIVOTDATA("XXS4",'xuanson (2016)'!$A$3,"MA_HT","MNC","MA_QH","NKH")</f>
        <v>0</v>
      </c>
      <c r="R56" s="79">
        <f ca="1">SUM(S56:AA56,AN56:BB56,BD56)</f>
        <v>0</v>
      </c>
      <c r="S56" s="22">
        <f ca="1">+GETPIVOTDATA("XXS4",'xuanson (2016)'!$A$3,"MA_HT","MNC","MA_QH","CQP")</f>
        <v>0</v>
      </c>
      <c r="T56" s="22">
        <f ca="1">+GETPIVOTDATA("XXS4",'xuanson (2016)'!$A$3,"MA_HT","MNC","MA_QH","CAN")</f>
        <v>0</v>
      </c>
      <c r="U56" s="22">
        <f ca="1">+GETPIVOTDATA("XXS4",'xuanson (2016)'!$A$3,"MA_HT","MNC","MA_QH","SKK")</f>
        <v>0</v>
      </c>
      <c r="V56" s="22">
        <f ca="1">+GETPIVOTDATA("XXS4",'xuanson (2016)'!$A$3,"MA_HT","MNC","MA_QH","SKT")</f>
        <v>0</v>
      </c>
      <c r="W56" s="22">
        <f ca="1">+GETPIVOTDATA("XXS4",'xuanson (2016)'!$A$3,"MA_HT","MNC","MA_QH","SKN")</f>
        <v>0</v>
      </c>
      <c r="X56" s="22">
        <f ca="1">+GETPIVOTDATA("XXS4",'xuanson (2016)'!$A$3,"MA_HT","MNC","MA_QH","TMD")</f>
        <v>0</v>
      </c>
      <c r="Y56" s="22">
        <f ca="1">+GETPIVOTDATA("XXS4",'xuanson (2016)'!$A$3,"MA_HT","MNC","MA_QH","SKC")</f>
        <v>0</v>
      </c>
      <c r="Z56" s="22">
        <f ca="1">+GETPIVOTDATA("XXS4",'xuanson (2016)'!$A$3,"MA_HT","MNC","MA_QH","SKS")</f>
        <v>0</v>
      </c>
      <c r="AA56" s="52">
        <f ca="1" t="shared" si="21"/>
        <v>0</v>
      </c>
      <c r="AB56" s="22">
        <f ca="1">+GETPIVOTDATA("XXS4",'xuanson (2016)'!$A$3,"MA_HT","MNC","MA_QH","DGT")</f>
        <v>0</v>
      </c>
      <c r="AC56" s="22">
        <f ca="1">+GETPIVOTDATA("XXS4",'xuanson (2016)'!$A$3,"MA_HT","MNC","MA_QH","DTL")</f>
        <v>0</v>
      </c>
      <c r="AD56" s="22">
        <f ca="1">+GETPIVOTDATA("XXS4",'xuanson (2016)'!$A$3,"MA_HT","MNC","MA_QH","DNL")</f>
        <v>0</v>
      </c>
      <c r="AE56" s="22">
        <f ca="1">+GETPIVOTDATA("XXS4",'xuanson (2016)'!$A$3,"MA_HT","MNC","MA_QH","DBV")</f>
        <v>0</v>
      </c>
      <c r="AF56" s="22">
        <f ca="1">+GETPIVOTDATA("XXS4",'xuanson (2016)'!$A$3,"MA_HT","MNC","MA_QH","DVH")</f>
        <v>0</v>
      </c>
      <c r="AG56" s="22">
        <f ca="1">+GETPIVOTDATA("XXS4",'xuanson (2016)'!$A$3,"MA_HT","MNC","MA_QH","DYT")</f>
        <v>0</v>
      </c>
      <c r="AH56" s="22">
        <f ca="1">+GETPIVOTDATA("XXS4",'xuanson (2016)'!$A$3,"MA_HT","MNC","MA_QH","DGD")</f>
        <v>0</v>
      </c>
      <c r="AI56" s="22">
        <f ca="1">+GETPIVOTDATA("XXS4",'xuanson (2016)'!$A$3,"MA_HT","MNC","MA_QH","DTT")</f>
        <v>0</v>
      </c>
      <c r="AJ56" s="22">
        <f ca="1">+GETPIVOTDATA("XXS4",'xuanson (2016)'!$A$3,"MA_HT","MNC","MA_QH","NCK")</f>
        <v>0</v>
      </c>
      <c r="AK56" s="22">
        <f ca="1">+GETPIVOTDATA("XXS4",'xuanson (2016)'!$A$3,"MA_HT","MNC","MA_QH","DXH")</f>
        <v>0</v>
      </c>
      <c r="AL56" s="22">
        <f ca="1">+GETPIVOTDATA("XXS4",'xuanson (2016)'!$A$3,"MA_HT","MNC","MA_QH","DCH")</f>
        <v>0</v>
      </c>
      <c r="AM56" s="22">
        <f ca="1">+GETPIVOTDATA("XXS4",'xuanson (2016)'!$A$3,"MA_HT","MNC","MA_QH","DKG")</f>
        <v>0</v>
      </c>
      <c r="AN56" s="22">
        <f ca="1">+GETPIVOTDATA("XXS4",'xuanson (2016)'!$A$3,"MA_HT","MNC","MA_QH","DDT")</f>
        <v>0</v>
      </c>
      <c r="AO56" s="22">
        <f ca="1">+GETPIVOTDATA("XXS4",'xuanson (2016)'!$A$3,"MA_HT","MNC","MA_QH","DDL")</f>
        <v>0</v>
      </c>
      <c r="AP56" s="22">
        <f ca="1">+GETPIVOTDATA("XXS4",'xuanson (2016)'!$A$3,"MA_HT","MNC","MA_QH","DRA")</f>
        <v>0</v>
      </c>
      <c r="AQ56" s="22">
        <f ca="1">+GETPIVOTDATA("XXS4",'xuanson (2016)'!$A$3,"MA_HT","MNC","MA_QH","ONT")</f>
        <v>0</v>
      </c>
      <c r="AR56" s="22">
        <f ca="1">+GETPIVOTDATA("XXS4",'xuanson (2016)'!$A$3,"MA_HT","MNC","MA_QH","ODT")</f>
        <v>0</v>
      </c>
      <c r="AS56" s="22">
        <f ca="1">+GETPIVOTDATA("XXS4",'xuanson (2016)'!$A$3,"MA_HT","MNC","MA_QH","TSC")</f>
        <v>0</v>
      </c>
      <c r="AT56" s="22">
        <f ca="1">+GETPIVOTDATA("XXS4",'xuanson (2016)'!$A$3,"MA_HT","MNC","MA_QH","DTS")</f>
        <v>0</v>
      </c>
      <c r="AU56" s="22">
        <f ca="1">+GETPIVOTDATA("XXS4",'xuanson (2016)'!$A$3,"MA_HT","MNC","MA_QH","DNG")</f>
        <v>0</v>
      </c>
      <c r="AV56" s="22">
        <f ca="1">+GETPIVOTDATA("XXS4",'xuanson (2016)'!$A$3,"MA_HT","MNC","MA_QH","TON")</f>
        <v>0</v>
      </c>
      <c r="AW56" s="22">
        <f ca="1">+GETPIVOTDATA("XXS4",'xuanson (2016)'!$A$3,"MA_HT","MNC","MA_QH","NTD")</f>
        <v>0</v>
      </c>
      <c r="AX56" s="22">
        <f ca="1">+GETPIVOTDATA("XXS4",'xuanson (2016)'!$A$3,"MA_HT","MNC","MA_QH","SKX")</f>
        <v>0</v>
      </c>
      <c r="AY56" s="22">
        <f ca="1">+GETPIVOTDATA("XXS4",'xuanson (2016)'!$A$3,"MA_HT","MNC","MA_QH","DSH")</f>
        <v>0</v>
      </c>
      <c r="AZ56" s="22">
        <f ca="1">+GETPIVOTDATA("XXS4",'xuanson (2016)'!$A$3,"MA_HT","MNC","MA_QH","DKV")</f>
        <v>0</v>
      </c>
      <c r="BA56" s="89">
        <f ca="1">+GETPIVOTDATA("XXS4",'xuanson (2016)'!$A$3,"MA_HT","MNC","MA_QH","TIN")</f>
        <v>0</v>
      </c>
      <c r="BB56" s="50">
        <f ca="1">+GETPIVOTDATA("XXS4",'xuanson (2016)'!$A$3,"MA_HT","MNC","MA_QH","SON")</f>
        <v>0</v>
      </c>
      <c r="BC56" s="43" t="e">
        <f ca="1">$D56-$BF56</f>
        <v>#REF!</v>
      </c>
      <c r="BD56" s="22">
        <f ca="1">+GETPIVOTDATA("XXS4",'xuanson (2016)'!$A$3,"MA_HT","MNC","MA_QH","PNK")</f>
        <v>0</v>
      </c>
      <c r="BE56" s="71">
        <f ca="1">+GETPIVOTDATA("XXS4",'xuanson (2016)'!$A$3,"MA_HT","MNC","MA_QH","CSD")</f>
        <v>0</v>
      </c>
      <c r="BF56" s="74">
        <f ca="1" t="shared" si="13"/>
        <v>0</v>
      </c>
      <c r="BG56" s="101">
        <f ca="1">BC$59-$BF56</f>
        <v>0</v>
      </c>
      <c r="BH56" s="41" t="e">
        <f ca="1" t="shared" si="14"/>
        <v>#REF!</v>
      </c>
      <c r="BI56" s="98"/>
      <c r="BJ56" s="98"/>
      <c r="BK56" s="107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="2" customFormat="1" ht="15.75" customHeight="1" spans="1:79">
      <c r="A57" s="68" t="s">
        <v>751</v>
      </c>
      <c r="B57" s="69" t="s">
        <v>146</v>
      </c>
      <c r="C57" s="40" t="s">
        <v>147</v>
      </c>
      <c r="D57" s="41" t="e">
        <f>+#REF!</f>
        <v>#REF!</v>
      </c>
      <c r="E57" s="42">
        <f ca="1" t="shared" si="15"/>
        <v>0</v>
      </c>
      <c r="F57" s="52">
        <f ca="1" t="shared" si="9"/>
        <v>0</v>
      </c>
      <c r="G57" s="22">
        <f ca="1">+GETPIVOTDATA("XXS4",'xuanson (2016)'!$A$3,"MA_HT","PNK","MA_QH","LUC")</f>
        <v>0</v>
      </c>
      <c r="H57" s="22">
        <f ca="1">+GETPIVOTDATA("XXS4",'xuanson (2016)'!$A$3,"MA_HT","PNK","MA_QH","LUK")</f>
        <v>0</v>
      </c>
      <c r="I57" s="22">
        <f ca="1">+GETPIVOTDATA("XXS4",'xuanson (2016)'!$A$3,"MA_HT","PNK","MA_QH","LUN")</f>
        <v>0</v>
      </c>
      <c r="J57" s="22">
        <f ca="1">+GETPIVOTDATA("XXS4",'xuanson (2016)'!$A$3,"MA_HT","PNK","MA_QH","HNK")</f>
        <v>0</v>
      </c>
      <c r="K57" s="22">
        <f ca="1">+GETPIVOTDATA("XXS4",'xuanson (2016)'!$A$3,"MA_HT","PNK","MA_QH","CLN")</f>
        <v>0</v>
      </c>
      <c r="L57" s="22">
        <f ca="1">+GETPIVOTDATA("XXS4",'xuanson (2016)'!$A$3,"MA_HT","PNK","MA_QH","RSX")</f>
        <v>0</v>
      </c>
      <c r="M57" s="22">
        <f ca="1">+GETPIVOTDATA("XXS4",'xuanson (2016)'!$A$3,"MA_HT","PNK","MA_QH","RPH")</f>
        <v>0</v>
      </c>
      <c r="N57" s="22">
        <f ca="1">+GETPIVOTDATA("XXS4",'xuanson (2016)'!$A$3,"MA_HT","PNK","MA_QH","RDD")</f>
        <v>0</v>
      </c>
      <c r="O57" s="22">
        <f ca="1">+GETPIVOTDATA("XXS4",'xuanson (2016)'!$A$3,"MA_HT","PNK","MA_QH","NTS")</f>
        <v>0</v>
      </c>
      <c r="P57" s="22">
        <f ca="1">+GETPIVOTDATA("XXS4",'xuanson (2016)'!$A$3,"MA_HT","PNK","MA_QH","LMU")</f>
        <v>0</v>
      </c>
      <c r="Q57" s="22">
        <f ca="1">+GETPIVOTDATA("XXS4",'xuanson (2016)'!$A$3,"MA_HT","PNK","MA_QH","NKH")</f>
        <v>0</v>
      </c>
      <c r="R57" s="79">
        <f ca="1">SUM(S57:AA57,AN57:BC57)</f>
        <v>0</v>
      </c>
      <c r="S57" s="22">
        <f ca="1">+GETPIVOTDATA("XXS4",'xuanson (2016)'!$A$3,"MA_HT","PNK","MA_QH","CQP")</f>
        <v>0</v>
      </c>
      <c r="T57" s="22">
        <f ca="1">+GETPIVOTDATA("XXS4",'xuanson (2016)'!$A$3,"MA_HT","PNK","MA_QH","CAN")</f>
        <v>0</v>
      </c>
      <c r="U57" s="22">
        <f ca="1">+GETPIVOTDATA("XXS4",'xuanson (2016)'!$A$3,"MA_HT","PNK","MA_QH","SKK")</f>
        <v>0</v>
      </c>
      <c r="V57" s="22">
        <f ca="1">+GETPIVOTDATA("XXS4",'xuanson (2016)'!$A$3,"MA_HT","PNK","MA_QH","SKT")</f>
        <v>0</v>
      </c>
      <c r="W57" s="22">
        <f ca="1">+GETPIVOTDATA("XXS4",'xuanson (2016)'!$A$3,"MA_HT","PNK","MA_QH","SKN")</f>
        <v>0</v>
      </c>
      <c r="X57" s="22">
        <f ca="1">+GETPIVOTDATA("XXS4",'xuanson (2016)'!$A$3,"MA_HT","PNK","MA_QH","TMD")</f>
        <v>0</v>
      </c>
      <c r="Y57" s="22">
        <f ca="1">+GETPIVOTDATA("XXS4",'xuanson (2016)'!$A$3,"MA_HT","PNK","MA_QH","SKC")</f>
        <v>0</v>
      </c>
      <c r="Z57" s="22">
        <f ca="1">+GETPIVOTDATA("XXS4",'xuanson (2016)'!$A$3,"MA_HT","PNK","MA_QH","SKS")</f>
        <v>0</v>
      </c>
      <c r="AA57" s="52">
        <f ca="1" t="shared" si="21"/>
        <v>0</v>
      </c>
      <c r="AB57" s="22">
        <f ca="1">+GETPIVOTDATA("XXS4",'xuanson (2016)'!$A$3,"MA_HT","PNK","MA_QH","DGT")</f>
        <v>0</v>
      </c>
      <c r="AC57" s="22">
        <f ca="1">+GETPIVOTDATA("XXS4",'xuanson (2016)'!$A$3,"MA_HT","PNK","MA_QH","DTL")</f>
        <v>0</v>
      </c>
      <c r="AD57" s="22">
        <f ca="1">+GETPIVOTDATA("XXS4",'xuanson (2016)'!$A$3,"MA_HT","PNK","MA_QH","DNL")</f>
        <v>0</v>
      </c>
      <c r="AE57" s="22">
        <f ca="1">+GETPIVOTDATA("XXS4",'xuanson (2016)'!$A$3,"MA_HT","PNK","MA_QH","DBV")</f>
        <v>0</v>
      </c>
      <c r="AF57" s="22">
        <f ca="1">+GETPIVOTDATA("XXS4",'xuanson (2016)'!$A$3,"MA_HT","PNK","MA_QH","DVH")</f>
        <v>0</v>
      </c>
      <c r="AG57" s="22">
        <f ca="1">+GETPIVOTDATA("XXS4",'xuanson (2016)'!$A$3,"MA_HT","PNK","MA_QH","DYT")</f>
        <v>0</v>
      </c>
      <c r="AH57" s="22">
        <f ca="1">+GETPIVOTDATA("XXS4",'xuanson (2016)'!$A$3,"MA_HT","PNK","MA_QH","DGD")</f>
        <v>0</v>
      </c>
      <c r="AI57" s="22">
        <f ca="1">+GETPIVOTDATA("XXS4",'xuanson (2016)'!$A$3,"MA_HT","PNK","MA_QH","DTT")</f>
        <v>0</v>
      </c>
      <c r="AJ57" s="22">
        <f ca="1">+GETPIVOTDATA("XXS4",'xuanson (2016)'!$A$3,"MA_HT","PNK","MA_QH","NCK")</f>
        <v>0</v>
      </c>
      <c r="AK57" s="22">
        <f ca="1">+GETPIVOTDATA("XXS4",'xuanson (2016)'!$A$3,"MA_HT","PNK","MA_QH","DXH")</f>
        <v>0</v>
      </c>
      <c r="AL57" s="22">
        <f ca="1">+GETPIVOTDATA("XXS4",'xuanson (2016)'!$A$3,"MA_HT","PNK","MA_QH","DCH")</f>
        <v>0</v>
      </c>
      <c r="AM57" s="22">
        <f ca="1">+GETPIVOTDATA("XXS4",'xuanson (2016)'!$A$3,"MA_HT","PNK","MA_QH","DKG")</f>
        <v>0</v>
      </c>
      <c r="AN57" s="22">
        <f ca="1">+GETPIVOTDATA("XXS4",'xuanson (2016)'!$A$3,"MA_HT","PNK","MA_QH","DDT")</f>
        <v>0</v>
      </c>
      <c r="AO57" s="22">
        <f ca="1">+GETPIVOTDATA("XXS4",'xuanson (2016)'!$A$3,"MA_HT","PNK","MA_QH","DDL")</f>
        <v>0</v>
      </c>
      <c r="AP57" s="22">
        <f ca="1">+GETPIVOTDATA("XXS4",'xuanson (2016)'!$A$3,"MA_HT","PNK","MA_QH","DRA")</f>
        <v>0</v>
      </c>
      <c r="AQ57" s="22">
        <f ca="1">+GETPIVOTDATA("XXS4",'xuanson (2016)'!$A$3,"MA_HT","PNK","MA_QH","ONT")</f>
        <v>0</v>
      </c>
      <c r="AR57" s="22">
        <f ca="1">+GETPIVOTDATA("XXS4",'xuanson (2016)'!$A$3,"MA_HT","PNK","MA_QH","ODT")</f>
        <v>0</v>
      </c>
      <c r="AS57" s="22">
        <f ca="1">+GETPIVOTDATA("XXS4",'xuanson (2016)'!$A$3,"MA_HT","PNK","MA_QH","TSC")</f>
        <v>0</v>
      </c>
      <c r="AT57" s="22">
        <f ca="1">+GETPIVOTDATA("XXS4",'xuanson (2016)'!$A$3,"MA_HT","PNK","MA_QH","DTS")</f>
        <v>0</v>
      </c>
      <c r="AU57" s="22">
        <f ca="1">+GETPIVOTDATA("XXS4",'xuanson (2016)'!$A$3,"MA_HT","PNK","MA_QH","DNG")</f>
        <v>0</v>
      </c>
      <c r="AV57" s="22">
        <f ca="1">+GETPIVOTDATA("XXS4",'xuanson (2016)'!$A$3,"MA_HT","PNK","MA_QH","TON")</f>
        <v>0</v>
      </c>
      <c r="AW57" s="22">
        <f ca="1">+GETPIVOTDATA("XXS4",'xuanson (2016)'!$A$3,"MA_HT","PNK","MA_QH","NTD")</f>
        <v>0</v>
      </c>
      <c r="AX57" s="22">
        <f ca="1">+GETPIVOTDATA("XXS4",'xuanson (2016)'!$A$3,"MA_HT","PNK","MA_QH","SKX")</f>
        <v>0</v>
      </c>
      <c r="AY57" s="22">
        <f ca="1">+GETPIVOTDATA("XXS4",'xuanson (2016)'!$A$3,"MA_HT","PNK","MA_QH","DSH")</f>
        <v>0</v>
      </c>
      <c r="AZ57" s="22">
        <f ca="1">+GETPIVOTDATA("XXS4",'xuanson (2016)'!$A$3,"MA_HT","PNK","MA_QH","DKV")</f>
        <v>0</v>
      </c>
      <c r="BA57" s="89">
        <f ca="1">+GETPIVOTDATA("XXS4",'xuanson (2016)'!$A$3,"MA_HT","PNK","MA_QH","TIN")</f>
        <v>0</v>
      </c>
      <c r="BB57" s="50">
        <f ca="1">+GETPIVOTDATA("XXS4",'xuanson (2016)'!$A$3,"MA_HT","PNK","MA_QH","SON")</f>
        <v>0</v>
      </c>
      <c r="BC57" s="50">
        <f ca="1">+GETPIVOTDATA("XXS4",'xuanson (2016)'!$A$3,"MA_HT","PNK","MA_QH","MNC")</f>
        <v>0</v>
      </c>
      <c r="BD57" s="43" t="e">
        <f ca="1">$D57-$BF57</f>
        <v>#REF!</v>
      </c>
      <c r="BE57" s="71">
        <f ca="1">+GETPIVOTDATA("XXS4",'xuanson (2016)'!$A$3,"MA_HT","PNK","MA_QH","CSD")</f>
        <v>0</v>
      </c>
      <c r="BF57" s="74">
        <f ca="1" t="shared" si="13"/>
        <v>0</v>
      </c>
      <c r="BG57" s="101">
        <f ca="1">BD$59-$BF57</f>
        <v>0</v>
      </c>
      <c r="BH57" s="41" t="e">
        <f ca="1" t="shared" si="14"/>
        <v>#REF!</v>
      </c>
      <c r="BI57" s="98"/>
      <c r="BJ57" s="98" t="e">
        <f>#REF!</f>
        <v>#REF!</v>
      </c>
      <c r="BK57" s="107" t="e">
        <f ca="1">BH57-BJ57</f>
        <v>#REF!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="3" customFormat="1" ht="15.75" customHeight="1" spans="1:79">
      <c r="A58" s="70" t="s">
        <v>148</v>
      </c>
      <c r="B58" s="36" t="s">
        <v>149</v>
      </c>
      <c r="C58" s="37" t="s">
        <v>150</v>
      </c>
      <c r="D58" s="32" t="e">
        <f>+#REF!</f>
        <v>#REF!</v>
      </c>
      <c r="E58" s="42">
        <f ca="1" t="shared" si="15"/>
        <v>0</v>
      </c>
      <c r="F58" s="33">
        <f ca="1" t="shared" si="9"/>
        <v>0</v>
      </c>
      <c r="G58" s="71">
        <f ca="1">+GETPIVOTDATA("XXS4",'xuanson (2016)'!$A$3,"MA_HT","CSD","MA_QH","LUC")</f>
        <v>0</v>
      </c>
      <c r="H58" s="71">
        <f ca="1">+GETPIVOTDATA("XXS4",'xuanson (2016)'!$A$3,"MA_HT","CSD","MA_QH","LUK")</f>
        <v>0</v>
      </c>
      <c r="I58" s="71">
        <f ca="1">+GETPIVOTDATA("XXS4",'xuanson (2016)'!$A$3,"MA_HT","CSD","MA_QH","LUN")</f>
        <v>0</v>
      </c>
      <c r="J58" s="71">
        <f ca="1">+GETPIVOTDATA("XXS4",'xuanson (2016)'!$A$3,"MA_HT","CSD","MA_QH","HNK")</f>
        <v>0</v>
      </c>
      <c r="K58" s="71">
        <f ca="1">+GETPIVOTDATA("XXS4",'xuanson (2016)'!$A$3,"MA_HT","CSD","MA_QH","CLN")</f>
        <v>0</v>
      </c>
      <c r="L58" s="71">
        <f ca="1">+GETPIVOTDATA("XXS4",'xuanson (2016)'!$A$3,"MA_HT","CSD","MA_QH","RSX")</f>
        <v>0</v>
      </c>
      <c r="M58" s="71">
        <f ca="1">+GETPIVOTDATA("XXS4",'xuanson (2016)'!$A$3,"MA_HT","CSD","MA_QH","RPH")</f>
        <v>0</v>
      </c>
      <c r="N58" s="71">
        <f ca="1">+GETPIVOTDATA("XXS4",'xuanson (2016)'!$A$3,"MA_HT","CSD","MA_QH","RDD")</f>
        <v>0</v>
      </c>
      <c r="O58" s="71">
        <f ca="1">+GETPIVOTDATA("XXS4",'xuanson (2016)'!$A$3,"MA_HT","CSD","MA_QH","NTS")</f>
        <v>0</v>
      </c>
      <c r="P58" s="71">
        <f ca="1">+GETPIVOTDATA("XXS4",'xuanson (2016)'!$A$3,"MA_HT","CSD","MA_QH","LMU")</f>
        <v>0</v>
      </c>
      <c r="Q58" s="71">
        <f ca="1">+GETPIVOTDATA("XXS4",'xuanson (2016)'!$A$3,"MA_HT","CSD","MA_QH","NKH")</f>
        <v>0</v>
      </c>
      <c r="R58" s="79">
        <f ca="1">SUM(S58:AA58,AN58:BD58)</f>
        <v>0</v>
      </c>
      <c r="S58" s="80">
        <f ca="1">+GETPIVOTDATA("XXS4",'xuanson (2016)'!$A$3,"MA_HT","CSD","MA_QH","CQP")</f>
        <v>0</v>
      </c>
      <c r="T58" s="80">
        <f ca="1">+GETPIVOTDATA("XXS4",'xuanson (2016)'!$A$3,"MA_HT","CSD","MA_QH","CAN")</f>
        <v>0</v>
      </c>
      <c r="U58" s="71">
        <f ca="1">+GETPIVOTDATA("XXS4",'xuanson (2016)'!$A$3,"MA_HT","CSD","MA_QH","SKK")</f>
        <v>0</v>
      </c>
      <c r="V58" s="71">
        <f ca="1">+GETPIVOTDATA("XXS4",'xuanson (2016)'!$A$3,"MA_HT","CSD","MA_QH","SKT")</f>
        <v>0</v>
      </c>
      <c r="W58" s="71">
        <f ca="1">+GETPIVOTDATA("XXS4",'xuanson (2016)'!$A$3,"MA_HT","CSD","MA_QH","SKN")</f>
        <v>0</v>
      </c>
      <c r="X58" s="71">
        <f ca="1">+GETPIVOTDATA("XXS4",'xuanson (2016)'!$A$3,"MA_HT","CSD","MA_QH","TMD")</f>
        <v>0</v>
      </c>
      <c r="Y58" s="71">
        <f ca="1">+GETPIVOTDATA("XXS4",'xuanson (2016)'!$A$3,"MA_HT","CSD","MA_QH","SKC")</f>
        <v>0</v>
      </c>
      <c r="Z58" s="71">
        <f ca="1">+GETPIVOTDATA("XXS4",'xuanson (2016)'!$A$3,"MA_HT","CSD","MA_QH","SKS")</f>
        <v>0</v>
      </c>
      <c r="AA58" s="52">
        <f ca="1" t="shared" si="21"/>
        <v>0</v>
      </c>
      <c r="AB58" s="80">
        <f ca="1">+GETPIVOTDATA("XXS4",'xuanson (2016)'!$A$3,"MA_HT","CSD","MA_QH","DGT")</f>
        <v>0</v>
      </c>
      <c r="AC58" s="80">
        <f ca="1">+GETPIVOTDATA("XXS4",'xuanson (2016)'!$A$3,"MA_HT","CSD","MA_QH","DTL")</f>
        <v>0</v>
      </c>
      <c r="AD58" s="80">
        <f ca="1">+GETPIVOTDATA("XXS4",'xuanson (2016)'!$A$3,"MA_HT","CSD","MA_QH","DNL")</f>
        <v>0</v>
      </c>
      <c r="AE58" s="80">
        <f ca="1">+GETPIVOTDATA("XXS4",'xuanson (2016)'!$A$3,"MA_HT","CSD","MA_QH","DBV")</f>
        <v>0</v>
      </c>
      <c r="AF58" s="80">
        <f ca="1">+GETPIVOTDATA("XXS4",'xuanson (2016)'!$A$3,"MA_HT","CSD","MA_QH","DVH")</f>
        <v>0</v>
      </c>
      <c r="AG58" s="80">
        <f ca="1">+GETPIVOTDATA("XXS4",'xuanson (2016)'!$A$3,"MA_HT","CSD","MA_QH","DYT")</f>
        <v>0</v>
      </c>
      <c r="AH58" s="80">
        <f ca="1">+GETPIVOTDATA("XXS4",'xuanson (2016)'!$A$3,"MA_HT","CSD","MA_QH","DGD")</f>
        <v>0</v>
      </c>
      <c r="AI58" s="80">
        <f ca="1">+GETPIVOTDATA("XXS4",'xuanson (2016)'!$A$3,"MA_HT","CSD","MA_QH","DTT")</f>
        <v>0</v>
      </c>
      <c r="AJ58" s="80">
        <f ca="1">+GETPIVOTDATA("XXS4",'xuanson (2016)'!$A$3,"MA_HT","CSD","MA_QH","NCK")</f>
        <v>0</v>
      </c>
      <c r="AK58" s="80">
        <f ca="1">+GETPIVOTDATA("XXS4",'xuanson (2016)'!$A$3,"MA_HT","CSD","MA_QH","DXH")</f>
        <v>0</v>
      </c>
      <c r="AL58" s="80">
        <f ca="1">+GETPIVOTDATA("XXS4",'xuanson (2016)'!$A$3,"MA_HT","CSD","MA_QH","DCH")</f>
        <v>0</v>
      </c>
      <c r="AM58" s="80">
        <f ca="1">+GETPIVOTDATA("XXS4",'xuanson (2016)'!$A$3,"MA_HT","CSD","MA_QH","DKG")</f>
        <v>0</v>
      </c>
      <c r="AN58" s="71">
        <f ca="1">+GETPIVOTDATA("XXS4",'xuanson (2016)'!$A$3,"MA_HT","CSD","MA_QH","DDT")</f>
        <v>0</v>
      </c>
      <c r="AO58" s="71">
        <f ca="1">+GETPIVOTDATA("XXS4",'xuanson (2016)'!$A$3,"MA_HT","CSD","MA_QH","DDL")</f>
        <v>0</v>
      </c>
      <c r="AP58" s="71">
        <f ca="1">+GETPIVOTDATA("XXS4",'xuanson (2016)'!$A$3,"MA_HT","CSD","MA_QH","DRA")</f>
        <v>0</v>
      </c>
      <c r="AQ58" s="71">
        <f ca="1">+GETPIVOTDATA("XXS4",'xuanson (2016)'!$A$3,"MA_HT","CSD","MA_QH","ONT")</f>
        <v>0</v>
      </c>
      <c r="AR58" s="71">
        <f ca="1">+GETPIVOTDATA("XXS4",'xuanson (2016)'!$A$3,"MA_HT","CSD","MA_QH","ODT")</f>
        <v>0</v>
      </c>
      <c r="AS58" s="71">
        <f ca="1">+GETPIVOTDATA("XXS4",'xuanson (2016)'!$A$3,"MA_HT","CSD","MA_QH","TSC")</f>
        <v>0</v>
      </c>
      <c r="AT58" s="71">
        <f ca="1">+GETPIVOTDATA("XXS4",'xuanson (2016)'!$A$3,"MA_HT","CSD","MA_QH","DTS")</f>
        <v>0</v>
      </c>
      <c r="AU58" s="71">
        <f ca="1">+GETPIVOTDATA("XXS4",'xuanson (2016)'!$A$3,"MA_HT","CSD","MA_QH","DNG")</f>
        <v>0</v>
      </c>
      <c r="AV58" s="71">
        <f ca="1">+GETPIVOTDATA("XXS4",'xuanson (2016)'!$A$3,"MA_HT","CSD","MA_QH","TON")</f>
        <v>0</v>
      </c>
      <c r="AW58" s="71">
        <f ca="1">+GETPIVOTDATA("XXS4",'xuanson (2016)'!$A$3,"MA_HT","CSD","MA_QH","NTD")</f>
        <v>0</v>
      </c>
      <c r="AX58" s="71">
        <f ca="1">+GETPIVOTDATA("XXS4",'xuanson (2016)'!$A$3,"MA_HT","CSD","MA_QH","SKX")</f>
        <v>0</v>
      </c>
      <c r="AY58" s="71">
        <f ca="1">+GETPIVOTDATA("XXS4",'xuanson (2016)'!$A$3,"MA_HT","CSD","MA_QH","DSH")</f>
        <v>0</v>
      </c>
      <c r="AZ58" s="71">
        <f ca="1">+GETPIVOTDATA("XXS4",'xuanson (2016)'!$A$3,"MA_HT","CSD","MA_QH","DKV")</f>
        <v>0</v>
      </c>
      <c r="BA58" s="89">
        <f ca="1">+GETPIVOTDATA("XXS4",'xuanson (2016)'!$A$3,"MA_HT","CSD","MA_QH","TIN")</f>
        <v>0</v>
      </c>
      <c r="BB58" s="80">
        <f ca="1">+GETPIVOTDATA("XXS4",'xuanson (2016)'!$A$3,"MA_HT","CSD","MA_QH","SON")</f>
        <v>0</v>
      </c>
      <c r="BC58" s="80">
        <f ca="1">+GETPIVOTDATA("XXS4",'xuanson (2016)'!$A$3,"MA_HT","CSD","MA_QH","MNC")</f>
        <v>0</v>
      </c>
      <c r="BD58" s="71">
        <f ca="1">+GETPIVOTDATA("XXS4",'xuanson (2016)'!$A$3,"MA_HT","CSD","MA_QH","PNK")</f>
        <v>0</v>
      </c>
      <c r="BE58" s="38" t="e">
        <f ca="1">$D58-$BF58</f>
        <v>#REF!</v>
      </c>
      <c r="BF58" s="74">
        <f ca="1">R58+E58</f>
        <v>0</v>
      </c>
      <c r="BG58" s="119">
        <f ca="1">BE$59-$BF58</f>
        <v>0</v>
      </c>
      <c r="BH58" s="41" t="e">
        <f ca="1" t="shared" si="14"/>
        <v>#REF!</v>
      </c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</row>
    <row r="59" s="2" customFormat="1" ht="13.5" spans="1:246">
      <c r="A59" s="72"/>
      <c r="B59" s="72" t="s">
        <v>638</v>
      </c>
      <c r="C59" s="73"/>
      <c r="D59" s="74"/>
      <c r="E59" s="75">
        <f ca="1">E58+E19</f>
        <v>0</v>
      </c>
      <c r="F59" s="74">
        <f ca="1" t="shared" ref="F59:Q59" si="22">F58+F19+F6</f>
        <v>0</v>
      </c>
      <c r="G59" s="74">
        <f ca="1" t="shared" si="22"/>
        <v>0</v>
      </c>
      <c r="H59" s="74">
        <f ca="1" t="shared" si="22"/>
        <v>0</v>
      </c>
      <c r="I59" s="74">
        <f ca="1" t="shared" si="22"/>
        <v>0</v>
      </c>
      <c r="J59" s="74">
        <f ca="1" t="shared" si="22"/>
        <v>0</v>
      </c>
      <c r="K59" s="74">
        <f ca="1" t="shared" si="22"/>
        <v>0</v>
      </c>
      <c r="L59" s="74">
        <f ca="1" t="shared" si="22"/>
        <v>0</v>
      </c>
      <c r="M59" s="74">
        <f ca="1" t="shared" si="22"/>
        <v>0</v>
      </c>
      <c r="N59" s="74">
        <f ca="1" t="shared" si="22"/>
        <v>0</v>
      </c>
      <c r="O59" s="74">
        <f ca="1" t="shared" si="22"/>
        <v>0</v>
      </c>
      <c r="P59" s="74">
        <f ca="1" t="shared" si="22"/>
        <v>0</v>
      </c>
      <c r="Q59" s="74">
        <f ca="1" t="shared" si="22"/>
        <v>0</v>
      </c>
      <c r="R59" s="75">
        <f ca="1">+R58+R6</f>
        <v>0</v>
      </c>
      <c r="S59" s="74">
        <f ca="1" t="shared" ref="S59:BD59" si="23">S58+S19+S6</f>
        <v>0</v>
      </c>
      <c r="T59" s="74">
        <f ca="1" t="shared" si="23"/>
        <v>0</v>
      </c>
      <c r="U59" s="74">
        <f ca="1" t="shared" si="23"/>
        <v>0</v>
      </c>
      <c r="V59" s="74">
        <f ca="1" t="shared" si="23"/>
        <v>0</v>
      </c>
      <c r="W59" s="74">
        <f ca="1" t="shared" si="23"/>
        <v>0</v>
      </c>
      <c r="X59" s="74">
        <f ca="1" t="shared" si="23"/>
        <v>0</v>
      </c>
      <c r="Y59" s="74">
        <f ca="1" t="shared" si="23"/>
        <v>0</v>
      </c>
      <c r="Z59" s="74">
        <f ca="1" t="shared" si="23"/>
        <v>0</v>
      </c>
      <c r="AA59" s="74">
        <f ca="1" t="shared" si="23"/>
        <v>0</v>
      </c>
      <c r="AB59" s="74">
        <f ca="1" t="shared" si="23"/>
        <v>0</v>
      </c>
      <c r="AC59" s="74">
        <f ca="1" t="shared" si="23"/>
        <v>0</v>
      </c>
      <c r="AD59" s="74">
        <f ca="1" t="shared" si="23"/>
        <v>0</v>
      </c>
      <c r="AE59" s="74">
        <f ca="1" t="shared" si="23"/>
        <v>0</v>
      </c>
      <c r="AF59" s="74">
        <f ca="1" t="shared" si="23"/>
        <v>0</v>
      </c>
      <c r="AG59" s="74">
        <f ca="1" t="shared" si="23"/>
        <v>0</v>
      </c>
      <c r="AH59" s="74">
        <f ca="1" t="shared" si="23"/>
        <v>0</v>
      </c>
      <c r="AI59" s="74">
        <f ca="1" t="shared" si="23"/>
        <v>0</v>
      </c>
      <c r="AJ59" s="74">
        <f ca="1" t="shared" si="23"/>
        <v>0</v>
      </c>
      <c r="AK59" s="74">
        <f ca="1" t="shared" si="23"/>
        <v>0</v>
      </c>
      <c r="AL59" s="74">
        <f ca="1" t="shared" si="23"/>
        <v>0</v>
      </c>
      <c r="AM59" s="74">
        <f ca="1" t="shared" si="23"/>
        <v>0</v>
      </c>
      <c r="AN59" s="74">
        <f ca="1" t="shared" si="23"/>
        <v>0</v>
      </c>
      <c r="AO59" s="74">
        <f ca="1" t="shared" si="23"/>
        <v>0</v>
      </c>
      <c r="AP59" s="74">
        <f ca="1" t="shared" si="23"/>
        <v>0</v>
      </c>
      <c r="AQ59" s="74">
        <f ca="1" t="shared" si="23"/>
        <v>0</v>
      </c>
      <c r="AR59" s="74">
        <f ca="1" t="shared" si="23"/>
        <v>0</v>
      </c>
      <c r="AS59" s="74">
        <f ca="1" t="shared" si="23"/>
        <v>0</v>
      </c>
      <c r="AT59" s="74">
        <f ca="1" t="shared" si="23"/>
        <v>0</v>
      </c>
      <c r="AU59" s="74">
        <f ca="1" t="shared" si="23"/>
        <v>0</v>
      </c>
      <c r="AV59" s="74">
        <f ca="1" t="shared" si="23"/>
        <v>0</v>
      </c>
      <c r="AW59" s="74">
        <f ca="1" t="shared" si="23"/>
        <v>0</v>
      </c>
      <c r="AX59" s="74">
        <f ca="1" t="shared" si="23"/>
        <v>0</v>
      </c>
      <c r="AY59" s="74">
        <f ca="1" t="shared" si="23"/>
        <v>0</v>
      </c>
      <c r="AZ59" s="74">
        <f ca="1" t="shared" si="23"/>
        <v>0</v>
      </c>
      <c r="BA59" s="75">
        <f ca="1" t="shared" si="23"/>
        <v>0</v>
      </c>
      <c r="BB59" s="74">
        <f ca="1" t="shared" si="23"/>
        <v>0</v>
      </c>
      <c r="BC59" s="74">
        <f ca="1" t="shared" si="23"/>
        <v>0</v>
      </c>
      <c r="BD59" s="74">
        <f ca="1" t="shared" si="23"/>
        <v>0</v>
      </c>
      <c r="BE59" s="120">
        <f ca="1">BE19+BE6</f>
        <v>0</v>
      </c>
      <c r="BF59" s="74"/>
      <c r="BG59" s="74"/>
      <c r="BH59" s="74"/>
      <c r="BI59" s="121"/>
      <c r="BJ59" s="121"/>
      <c r="BK59" s="121"/>
      <c r="BL59" s="1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3"/>
      <c r="CB59" s="123"/>
      <c r="CC59" s="124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</row>
    <row r="61" spans="61:76"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</sheetData>
  <mergeCells count="3">
    <mergeCell ref="A3:A4"/>
    <mergeCell ref="B3:B4"/>
    <mergeCell ref="C3:C4"/>
  </mergeCells>
  <pageMargins left="0.65" right="0" top="0.5" bottom="0.25" header="0.5" footer="0.5"/>
  <pageSetup paperSize="8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S34"/>
  <sheetViews>
    <sheetView workbookViewId="0">
      <selection activeCell="A13" sqref="$A1:$XFD1048576"/>
    </sheetView>
  </sheetViews>
  <sheetFormatPr defaultColWidth="9" defaultRowHeight="15" customHeight="1"/>
  <cols>
    <col min="1" max="1" width="3.5" style="425" customWidth="1"/>
    <col min="2" max="2" width="41.7" style="426" customWidth="1"/>
    <col min="3" max="3" width="10.1" style="427" customWidth="1"/>
    <col min="4" max="4" width="7.4" style="428" customWidth="1"/>
    <col min="5" max="5" width="6.5" style="426" customWidth="1"/>
    <col min="6" max="7" width="5.9" style="426" customWidth="1"/>
    <col min="8" max="12" width="6.1" style="426" customWidth="1"/>
    <col min="13" max="13" width="5.3" style="426" customWidth="1"/>
    <col min="14" max="14" width="6.1" style="426" customWidth="1"/>
    <col min="15" max="15" width="5.3" style="426" customWidth="1"/>
    <col min="16" max="17" width="6.1" style="426" customWidth="1"/>
    <col min="18" max="16384" width="9" style="426"/>
  </cols>
  <sheetData>
    <row r="1" ht="16.5" customHeight="1" spans="1:17">
      <c r="A1" s="429" t="s">
        <v>244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ht="16.5" customHeight="1" spans="1:17">
      <c r="A2" s="430" t="s">
        <v>245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ht="16.5" customHeight="1" spans="1:17">
      <c r="A3" s="431" t="s">
        <v>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ht="16.5" customHeight="1" spans="1:17">
      <c r="A4" s="432"/>
      <c r="B4" s="433"/>
      <c r="C4" s="433"/>
      <c r="D4" s="434"/>
      <c r="E4" s="435" t="s">
        <v>153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="422" customFormat="1" customHeight="1" spans="1:17">
      <c r="A5" s="436" t="s">
        <v>154</v>
      </c>
      <c r="B5" s="437" t="s">
        <v>188</v>
      </c>
      <c r="C5" s="437" t="s">
        <v>4</v>
      </c>
      <c r="D5" s="438" t="s">
        <v>155</v>
      </c>
      <c r="E5" s="439" t="s">
        <v>200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="422" customFormat="1" ht="24" spans="1:17">
      <c r="A6" s="436"/>
      <c r="B6" s="437"/>
      <c r="C6" s="437"/>
      <c r="D6" s="439"/>
      <c r="E6" s="440" t="s">
        <v>157</v>
      </c>
      <c r="F6" s="440" t="s">
        <v>158</v>
      </c>
      <c r="G6" s="440" t="s">
        <v>159</v>
      </c>
      <c r="H6" s="440" t="s">
        <v>160</v>
      </c>
      <c r="I6" s="440" t="s">
        <v>161</v>
      </c>
      <c r="J6" s="440" t="s">
        <v>162</v>
      </c>
      <c r="K6" s="440" t="s">
        <v>163</v>
      </c>
      <c r="L6" s="440" t="s">
        <v>164</v>
      </c>
      <c r="M6" s="440" t="s">
        <v>165</v>
      </c>
      <c r="N6" s="440" t="s">
        <v>166</v>
      </c>
      <c r="O6" s="440" t="s">
        <v>167</v>
      </c>
      <c r="P6" s="440" t="s">
        <v>168</v>
      </c>
      <c r="Q6" s="440" t="s">
        <v>169</v>
      </c>
    </row>
    <row r="7" s="423" customFormat="1" ht="12.75" customHeight="1" spans="1:17">
      <c r="A7" s="646" t="s">
        <v>10</v>
      </c>
      <c r="B7" s="647" t="s">
        <v>11</v>
      </c>
      <c r="C7" s="647" t="s">
        <v>12</v>
      </c>
      <c r="D7" s="648" t="s">
        <v>170</v>
      </c>
      <c r="E7" s="444" t="s">
        <v>14</v>
      </c>
      <c r="F7" s="444" t="s">
        <v>171</v>
      </c>
      <c r="G7" s="444" t="s">
        <v>172</v>
      </c>
      <c r="H7" s="444" t="s">
        <v>173</v>
      </c>
      <c r="I7" s="444" t="s">
        <v>174</v>
      </c>
      <c r="J7" s="444" t="s">
        <v>175</v>
      </c>
      <c r="K7" s="444" t="s">
        <v>176</v>
      </c>
      <c r="L7" s="444" t="s">
        <v>177</v>
      </c>
      <c r="M7" s="444" t="s">
        <v>178</v>
      </c>
      <c r="N7" s="444" t="s">
        <v>179</v>
      </c>
      <c r="O7" s="444" t="s">
        <v>180</v>
      </c>
      <c r="P7" s="444" t="s">
        <v>181</v>
      </c>
      <c r="Q7" s="444" t="s">
        <v>201</v>
      </c>
    </row>
    <row r="8" s="423" customFormat="1" ht="12" spans="1:19">
      <c r="A8" s="436">
        <v>1</v>
      </c>
      <c r="B8" s="445" t="s">
        <v>246</v>
      </c>
      <c r="C8" s="437" t="s">
        <v>247</v>
      </c>
      <c r="D8" s="446">
        <v>1967.98351</v>
      </c>
      <c r="E8" s="446">
        <v>138.44572</v>
      </c>
      <c r="F8" s="446">
        <v>66.831</v>
      </c>
      <c r="G8" s="446">
        <v>307.31909</v>
      </c>
      <c r="H8" s="446">
        <v>195.1662</v>
      </c>
      <c r="I8" s="446">
        <v>160.109</v>
      </c>
      <c r="J8" s="446">
        <v>51.21</v>
      </c>
      <c r="K8" s="446">
        <v>500.035</v>
      </c>
      <c r="L8" s="446">
        <v>118.525</v>
      </c>
      <c r="M8" s="446">
        <v>41.58</v>
      </c>
      <c r="N8" s="446">
        <v>194.065</v>
      </c>
      <c r="O8" s="446">
        <v>37.9349999999999</v>
      </c>
      <c r="P8" s="446">
        <v>41.3425</v>
      </c>
      <c r="Q8" s="446">
        <v>115.42</v>
      </c>
      <c r="R8" s="476"/>
      <c r="S8" s="476"/>
    </row>
    <row r="9" s="423" customFormat="1" ht="14.25" customHeight="1" spans="1:18">
      <c r="A9" s="447"/>
      <c r="B9" s="448" t="s">
        <v>19</v>
      </c>
      <c r="C9" s="449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76"/>
    </row>
    <row r="10" s="423" customFormat="1" ht="14.25" customHeight="1" spans="1:18">
      <c r="A10" s="451" t="s">
        <v>20</v>
      </c>
      <c r="B10" s="452" t="s">
        <v>21</v>
      </c>
      <c r="C10" s="453" t="s">
        <v>248</v>
      </c>
      <c r="D10" s="454">
        <v>0</v>
      </c>
      <c r="E10" s="454">
        <v>0</v>
      </c>
      <c r="F10" s="454">
        <v>0</v>
      </c>
      <c r="G10" s="454">
        <v>0</v>
      </c>
      <c r="H10" s="454">
        <v>0</v>
      </c>
      <c r="I10" s="454">
        <v>0</v>
      </c>
      <c r="J10" s="454">
        <v>0</v>
      </c>
      <c r="K10" s="454">
        <v>0</v>
      </c>
      <c r="L10" s="454">
        <v>0</v>
      </c>
      <c r="M10" s="454">
        <v>0</v>
      </c>
      <c r="N10" s="454">
        <v>0</v>
      </c>
      <c r="O10" s="454">
        <v>0</v>
      </c>
      <c r="P10" s="454">
        <v>0</v>
      </c>
      <c r="Q10" s="454">
        <v>0</v>
      </c>
      <c r="R10" s="476"/>
    </row>
    <row r="11" s="424" customFormat="1" ht="14.25" customHeight="1" spans="1:18">
      <c r="A11" s="455"/>
      <c r="B11" s="649" t="s">
        <v>23</v>
      </c>
      <c r="C11" s="457" t="s">
        <v>249</v>
      </c>
      <c r="D11" s="458">
        <v>0</v>
      </c>
      <c r="E11" s="458">
        <v>0</v>
      </c>
      <c r="F11" s="458">
        <v>0</v>
      </c>
      <c r="G11" s="458">
        <v>0</v>
      </c>
      <c r="H11" s="458">
        <v>0</v>
      </c>
      <c r="I11" s="458">
        <v>0</v>
      </c>
      <c r="J11" s="458">
        <v>0</v>
      </c>
      <c r="K11" s="458">
        <v>0</v>
      </c>
      <c r="L11" s="458">
        <v>0</v>
      </c>
      <c r="M11" s="458">
        <v>0</v>
      </c>
      <c r="N11" s="458">
        <v>0</v>
      </c>
      <c r="O11" s="458">
        <v>0</v>
      </c>
      <c r="P11" s="458">
        <v>0</v>
      </c>
      <c r="Q11" s="458">
        <v>0</v>
      </c>
      <c r="R11" s="477"/>
    </row>
    <row r="12" s="423" customFormat="1" ht="14.25" customHeight="1" spans="1:18">
      <c r="A12" s="451" t="s">
        <v>25</v>
      </c>
      <c r="B12" s="452" t="s">
        <v>26</v>
      </c>
      <c r="C12" s="453" t="s">
        <v>250</v>
      </c>
      <c r="D12" s="454">
        <v>1.27</v>
      </c>
      <c r="E12" s="454">
        <v>0.17</v>
      </c>
      <c r="F12" s="454">
        <v>0</v>
      </c>
      <c r="G12" s="454">
        <v>0</v>
      </c>
      <c r="H12" s="454">
        <v>1.01</v>
      </c>
      <c r="I12" s="454">
        <v>0</v>
      </c>
      <c r="J12" s="454">
        <v>0</v>
      </c>
      <c r="K12" s="454">
        <v>0.01</v>
      </c>
      <c r="L12" s="454">
        <v>0.05</v>
      </c>
      <c r="M12" s="454">
        <v>0</v>
      </c>
      <c r="N12" s="454">
        <v>0</v>
      </c>
      <c r="O12" s="454">
        <v>0</v>
      </c>
      <c r="P12" s="454">
        <v>0</v>
      </c>
      <c r="Q12" s="454">
        <v>0.03</v>
      </c>
      <c r="R12" s="476"/>
    </row>
    <row r="13" s="423" customFormat="1" ht="14.25" customHeight="1" spans="1:19">
      <c r="A13" s="451" t="s">
        <v>28</v>
      </c>
      <c r="B13" s="452" t="s">
        <v>29</v>
      </c>
      <c r="C13" s="453" t="s">
        <v>251</v>
      </c>
      <c r="D13" s="454">
        <v>1966.71351</v>
      </c>
      <c r="E13" s="454">
        <v>138.27572</v>
      </c>
      <c r="F13" s="454">
        <v>66.831</v>
      </c>
      <c r="G13" s="454">
        <v>307.31909</v>
      </c>
      <c r="H13" s="454">
        <v>194.1562</v>
      </c>
      <c r="I13" s="454">
        <v>160.109</v>
      </c>
      <c r="J13" s="454">
        <v>51.21</v>
      </c>
      <c r="K13" s="454">
        <v>500.025</v>
      </c>
      <c r="L13" s="454">
        <v>118.475</v>
      </c>
      <c r="M13" s="454">
        <v>41.58</v>
      </c>
      <c r="N13" s="454">
        <v>194.065</v>
      </c>
      <c r="O13" s="454">
        <v>37.9349999999999</v>
      </c>
      <c r="P13" s="454">
        <v>41.3425</v>
      </c>
      <c r="Q13" s="478">
        <v>115.39</v>
      </c>
      <c r="R13" s="476"/>
      <c r="S13" s="479"/>
    </row>
    <row r="14" s="423" customFormat="1" ht="14.25" customHeight="1" spans="1:18">
      <c r="A14" s="451" t="s">
        <v>31</v>
      </c>
      <c r="B14" s="452" t="s">
        <v>32</v>
      </c>
      <c r="C14" s="453" t="s">
        <v>252</v>
      </c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4">
        <v>0</v>
      </c>
      <c r="J14" s="454">
        <v>0</v>
      </c>
      <c r="K14" s="454">
        <v>0</v>
      </c>
      <c r="L14" s="454">
        <v>0</v>
      </c>
      <c r="M14" s="454">
        <v>0</v>
      </c>
      <c r="N14" s="454">
        <v>0</v>
      </c>
      <c r="O14" s="454">
        <v>0</v>
      </c>
      <c r="P14" s="454">
        <v>0</v>
      </c>
      <c r="Q14" s="454">
        <v>0</v>
      </c>
      <c r="R14" s="476"/>
    </row>
    <row r="15" s="423" customFormat="1" ht="14.25" customHeight="1" spans="1:18">
      <c r="A15" s="451" t="s">
        <v>34</v>
      </c>
      <c r="B15" s="452" t="s">
        <v>35</v>
      </c>
      <c r="C15" s="453" t="s">
        <v>253</v>
      </c>
      <c r="D15" s="454">
        <v>0</v>
      </c>
      <c r="E15" s="454">
        <v>0</v>
      </c>
      <c r="F15" s="454">
        <v>0</v>
      </c>
      <c r="G15" s="454">
        <v>0</v>
      </c>
      <c r="H15" s="454">
        <v>0</v>
      </c>
      <c r="I15" s="454">
        <v>0</v>
      </c>
      <c r="J15" s="454">
        <v>0</v>
      </c>
      <c r="K15" s="454">
        <v>0</v>
      </c>
      <c r="L15" s="454">
        <v>0</v>
      </c>
      <c r="M15" s="454">
        <v>0</v>
      </c>
      <c r="N15" s="454">
        <v>0</v>
      </c>
      <c r="O15" s="454">
        <v>0</v>
      </c>
      <c r="P15" s="454">
        <v>0</v>
      </c>
      <c r="Q15" s="454">
        <v>0</v>
      </c>
      <c r="R15" s="480"/>
    </row>
    <row r="16" s="423" customFormat="1" ht="14.25" customHeight="1" spans="1:17">
      <c r="A16" s="451" t="s">
        <v>36</v>
      </c>
      <c r="B16" s="452" t="s">
        <v>37</v>
      </c>
      <c r="C16" s="453" t="s">
        <v>254</v>
      </c>
      <c r="D16" s="454">
        <v>0</v>
      </c>
      <c r="E16" s="454">
        <v>0</v>
      </c>
      <c r="F16" s="454">
        <v>0</v>
      </c>
      <c r="G16" s="454">
        <v>0</v>
      </c>
      <c r="H16" s="454">
        <v>0</v>
      </c>
      <c r="I16" s="454">
        <v>0</v>
      </c>
      <c r="J16" s="454">
        <v>0</v>
      </c>
      <c r="K16" s="454">
        <v>0</v>
      </c>
      <c r="L16" s="454">
        <v>0</v>
      </c>
      <c r="M16" s="454">
        <v>0</v>
      </c>
      <c r="N16" s="454">
        <v>0</v>
      </c>
      <c r="O16" s="454">
        <v>0</v>
      </c>
      <c r="P16" s="454">
        <v>0</v>
      </c>
      <c r="Q16" s="454">
        <v>0</v>
      </c>
    </row>
    <row r="17" s="424" customFormat="1" ht="14.25" customHeight="1" spans="1:17">
      <c r="A17" s="455"/>
      <c r="B17" s="459" t="s">
        <v>255</v>
      </c>
      <c r="C17" s="457" t="s">
        <v>256</v>
      </c>
      <c r="D17" s="458">
        <v>0</v>
      </c>
      <c r="E17" s="458">
        <v>0</v>
      </c>
      <c r="F17" s="458">
        <v>0</v>
      </c>
      <c r="G17" s="458">
        <v>0</v>
      </c>
      <c r="H17" s="458">
        <v>0</v>
      </c>
      <c r="I17" s="458">
        <v>0</v>
      </c>
      <c r="J17" s="458">
        <v>0</v>
      </c>
      <c r="K17" s="458">
        <v>0</v>
      </c>
      <c r="L17" s="458">
        <v>0</v>
      </c>
      <c r="M17" s="458">
        <v>0</v>
      </c>
      <c r="N17" s="458">
        <v>0</v>
      </c>
      <c r="O17" s="458">
        <v>0</v>
      </c>
      <c r="P17" s="458">
        <v>0</v>
      </c>
      <c r="Q17" s="458">
        <v>0</v>
      </c>
    </row>
    <row r="18" s="423" customFormat="1" ht="14.25" customHeight="1" spans="1:17">
      <c r="A18" s="451" t="s">
        <v>41</v>
      </c>
      <c r="B18" s="452" t="s">
        <v>42</v>
      </c>
      <c r="C18" s="453" t="s">
        <v>257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4">
        <v>0</v>
      </c>
      <c r="L18" s="454">
        <v>0</v>
      </c>
      <c r="M18" s="454">
        <v>0</v>
      </c>
      <c r="N18" s="454">
        <v>0</v>
      </c>
      <c r="O18" s="454">
        <v>0</v>
      </c>
      <c r="P18" s="454">
        <v>0</v>
      </c>
      <c r="Q18" s="454">
        <v>0</v>
      </c>
    </row>
    <row r="19" s="423" customFormat="1" ht="14.25" customHeight="1" spans="1:17">
      <c r="A19" s="451" t="s">
        <v>44</v>
      </c>
      <c r="B19" s="452" t="s">
        <v>45</v>
      </c>
      <c r="C19" s="453" t="s">
        <v>258</v>
      </c>
      <c r="D19" s="454">
        <v>0</v>
      </c>
      <c r="E19" s="454">
        <v>0</v>
      </c>
      <c r="F19" s="454">
        <v>0</v>
      </c>
      <c r="G19" s="454">
        <v>0</v>
      </c>
      <c r="H19" s="454">
        <v>0</v>
      </c>
      <c r="I19" s="454">
        <v>0</v>
      </c>
      <c r="J19" s="454">
        <v>0</v>
      </c>
      <c r="K19" s="454">
        <v>0</v>
      </c>
      <c r="L19" s="454">
        <v>0</v>
      </c>
      <c r="M19" s="454">
        <v>0</v>
      </c>
      <c r="N19" s="454">
        <v>0</v>
      </c>
      <c r="O19" s="454">
        <v>0</v>
      </c>
      <c r="P19" s="454">
        <v>0</v>
      </c>
      <c r="Q19" s="454">
        <v>0</v>
      </c>
    </row>
    <row r="20" s="423" customFormat="1" ht="14.25" customHeight="1" spans="1:17">
      <c r="A20" s="460" t="s">
        <v>47</v>
      </c>
      <c r="B20" s="461" t="s">
        <v>48</v>
      </c>
      <c r="C20" s="462" t="s">
        <v>259</v>
      </c>
      <c r="D20" s="463">
        <v>0</v>
      </c>
      <c r="E20" s="463">
        <v>0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  <c r="L20" s="463">
        <v>0</v>
      </c>
      <c r="M20" s="463">
        <v>0</v>
      </c>
      <c r="N20" s="463">
        <v>0</v>
      </c>
      <c r="O20" s="463">
        <v>0</v>
      </c>
      <c r="P20" s="463">
        <v>0</v>
      </c>
      <c r="Q20" s="463">
        <v>0</v>
      </c>
    </row>
    <row r="21" s="423" customFormat="1" ht="12" spans="1:19">
      <c r="A21" s="436">
        <v>2</v>
      </c>
      <c r="B21" s="445" t="s">
        <v>260</v>
      </c>
      <c r="C21" s="437"/>
      <c r="D21" s="446">
        <v>162.01409</v>
      </c>
      <c r="E21" s="446">
        <v>1.2022</v>
      </c>
      <c r="F21" s="446">
        <v>0</v>
      </c>
      <c r="G21" s="446">
        <v>0</v>
      </c>
      <c r="H21" s="446">
        <v>4.1</v>
      </c>
      <c r="I21" s="446">
        <v>33.86</v>
      </c>
      <c r="J21" s="446">
        <v>0</v>
      </c>
      <c r="K21" s="446">
        <v>8</v>
      </c>
      <c r="L21" s="446">
        <v>5.88</v>
      </c>
      <c r="M21" s="446">
        <v>0</v>
      </c>
      <c r="N21" s="446">
        <v>43.42</v>
      </c>
      <c r="O21" s="446">
        <v>0</v>
      </c>
      <c r="P21" s="446">
        <v>0.3</v>
      </c>
      <c r="Q21" s="446">
        <v>65.25189</v>
      </c>
      <c r="R21" s="476"/>
      <c r="S21" s="476"/>
    </row>
    <row r="22" s="424" customFormat="1" ht="12" spans="1:19">
      <c r="A22" s="464"/>
      <c r="B22" s="465" t="s">
        <v>19</v>
      </c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S22" s="481"/>
    </row>
    <row r="23" s="423" customFormat="1" ht="12.75" spans="1:19">
      <c r="A23" s="283" t="s">
        <v>52</v>
      </c>
      <c r="B23" s="468" t="s">
        <v>261</v>
      </c>
      <c r="C23" s="469" t="s">
        <v>262</v>
      </c>
      <c r="D23" s="454">
        <v>0</v>
      </c>
      <c r="E23" s="454">
        <v>0</v>
      </c>
      <c r="F23" s="454">
        <v>0</v>
      </c>
      <c r="G23" s="454">
        <v>0</v>
      </c>
      <c r="H23" s="454">
        <v>0</v>
      </c>
      <c r="I23" s="454">
        <v>0</v>
      </c>
      <c r="J23" s="454">
        <v>0</v>
      </c>
      <c r="K23" s="454">
        <v>0</v>
      </c>
      <c r="L23" s="454">
        <v>0</v>
      </c>
      <c r="M23" s="454">
        <v>0</v>
      </c>
      <c r="N23" s="454">
        <v>0</v>
      </c>
      <c r="O23" s="454">
        <v>0</v>
      </c>
      <c r="P23" s="454">
        <v>0</v>
      </c>
      <c r="Q23" s="454">
        <v>0</v>
      </c>
      <c r="S23" s="479"/>
    </row>
    <row r="24" s="423" customFormat="1" ht="12.75" spans="1:19">
      <c r="A24" s="283" t="s">
        <v>55</v>
      </c>
      <c r="B24" s="468" t="s">
        <v>263</v>
      </c>
      <c r="C24" s="469" t="s">
        <v>264</v>
      </c>
      <c r="D24" s="454">
        <v>0</v>
      </c>
      <c r="E24" s="454">
        <v>0</v>
      </c>
      <c r="F24" s="454">
        <v>0</v>
      </c>
      <c r="G24" s="454">
        <v>0</v>
      </c>
      <c r="H24" s="454">
        <v>0</v>
      </c>
      <c r="I24" s="454">
        <v>0</v>
      </c>
      <c r="J24" s="454">
        <v>0</v>
      </c>
      <c r="K24" s="454">
        <v>0</v>
      </c>
      <c r="L24" s="454">
        <v>0</v>
      </c>
      <c r="M24" s="454">
        <v>0</v>
      </c>
      <c r="N24" s="454">
        <v>0</v>
      </c>
      <c r="O24" s="454">
        <v>0</v>
      </c>
      <c r="P24" s="454">
        <v>0</v>
      </c>
      <c r="Q24" s="454">
        <v>0</v>
      </c>
      <c r="S24" s="479"/>
    </row>
    <row r="25" s="423" customFormat="1" ht="12.75" spans="1:19">
      <c r="A25" s="283" t="s">
        <v>58</v>
      </c>
      <c r="B25" s="468" t="s">
        <v>265</v>
      </c>
      <c r="C25" s="469" t="s">
        <v>266</v>
      </c>
      <c r="D25" s="454">
        <v>0</v>
      </c>
      <c r="E25" s="454">
        <v>0</v>
      </c>
      <c r="F25" s="454">
        <v>0</v>
      </c>
      <c r="G25" s="454">
        <v>0</v>
      </c>
      <c r="H25" s="454">
        <v>0</v>
      </c>
      <c r="I25" s="454">
        <v>0</v>
      </c>
      <c r="J25" s="454">
        <v>0</v>
      </c>
      <c r="K25" s="454">
        <v>0</v>
      </c>
      <c r="L25" s="454">
        <v>0</v>
      </c>
      <c r="M25" s="454">
        <v>0</v>
      </c>
      <c r="N25" s="454">
        <v>0</v>
      </c>
      <c r="O25" s="454">
        <v>0</v>
      </c>
      <c r="P25" s="454">
        <v>0</v>
      </c>
      <c r="Q25" s="454">
        <v>0</v>
      </c>
      <c r="S25" s="479"/>
    </row>
    <row r="26" s="423" customFormat="1" ht="12.75" spans="1:19">
      <c r="A26" s="283" t="s">
        <v>61</v>
      </c>
      <c r="B26" s="468" t="s">
        <v>267</v>
      </c>
      <c r="C26" s="469" t="s">
        <v>268</v>
      </c>
      <c r="D26" s="454">
        <v>0</v>
      </c>
      <c r="E26" s="454">
        <v>0</v>
      </c>
      <c r="F26" s="454">
        <v>0</v>
      </c>
      <c r="G26" s="454">
        <v>0</v>
      </c>
      <c r="H26" s="454">
        <v>0</v>
      </c>
      <c r="I26" s="454">
        <v>0</v>
      </c>
      <c r="J26" s="454">
        <v>0</v>
      </c>
      <c r="K26" s="454">
        <v>0</v>
      </c>
      <c r="L26" s="454">
        <v>0</v>
      </c>
      <c r="M26" s="454">
        <v>0</v>
      </c>
      <c r="N26" s="454">
        <v>0</v>
      </c>
      <c r="O26" s="454">
        <v>0</v>
      </c>
      <c r="P26" s="454">
        <v>0</v>
      </c>
      <c r="Q26" s="454">
        <v>0</v>
      </c>
      <c r="S26" s="479"/>
    </row>
    <row r="27" s="423" customFormat="1" ht="25.5" spans="1:19">
      <c r="A27" s="283" t="s">
        <v>64</v>
      </c>
      <c r="B27" s="468" t="s">
        <v>269</v>
      </c>
      <c r="C27" s="469" t="s">
        <v>270</v>
      </c>
      <c r="D27" s="454">
        <v>0</v>
      </c>
      <c r="E27" s="454">
        <v>0</v>
      </c>
      <c r="F27" s="454">
        <v>0</v>
      </c>
      <c r="G27" s="454">
        <v>0</v>
      </c>
      <c r="H27" s="454">
        <v>0</v>
      </c>
      <c r="I27" s="454">
        <v>0</v>
      </c>
      <c r="J27" s="454">
        <v>0</v>
      </c>
      <c r="K27" s="454">
        <v>0</v>
      </c>
      <c r="L27" s="454">
        <v>0</v>
      </c>
      <c r="M27" s="454">
        <v>0</v>
      </c>
      <c r="N27" s="454">
        <v>0</v>
      </c>
      <c r="O27" s="454">
        <v>0</v>
      </c>
      <c r="P27" s="454">
        <v>0</v>
      </c>
      <c r="Q27" s="454">
        <v>0</v>
      </c>
      <c r="S27" s="479"/>
    </row>
    <row r="28" s="423" customFormat="1" ht="12.75" spans="1:19">
      <c r="A28" s="283" t="s">
        <v>67</v>
      </c>
      <c r="B28" s="468" t="s">
        <v>271</v>
      </c>
      <c r="C28" s="469" t="s">
        <v>272</v>
      </c>
      <c r="D28" s="454">
        <v>0</v>
      </c>
      <c r="E28" s="454">
        <v>0</v>
      </c>
      <c r="F28" s="454">
        <v>0</v>
      </c>
      <c r="G28" s="454">
        <v>0</v>
      </c>
      <c r="H28" s="454">
        <v>0</v>
      </c>
      <c r="I28" s="454">
        <v>0</v>
      </c>
      <c r="J28" s="454">
        <v>0</v>
      </c>
      <c r="K28" s="454">
        <v>0</v>
      </c>
      <c r="L28" s="454">
        <v>0</v>
      </c>
      <c r="M28" s="454">
        <v>0</v>
      </c>
      <c r="N28" s="454">
        <v>0</v>
      </c>
      <c r="O28" s="454">
        <v>0</v>
      </c>
      <c r="P28" s="454">
        <v>0</v>
      </c>
      <c r="Q28" s="454">
        <v>0</v>
      </c>
      <c r="S28" s="479"/>
    </row>
    <row r="29" s="423" customFormat="1" ht="25.5" spans="1:19">
      <c r="A29" s="283" t="s">
        <v>70</v>
      </c>
      <c r="B29" s="468" t="s">
        <v>273</v>
      </c>
      <c r="C29" s="469" t="s">
        <v>274</v>
      </c>
      <c r="D29" s="454">
        <v>0</v>
      </c>
      <c r="E29" s="454">
        <v>0</v>
      </c>
      <c r="F29" s="454">
        <v>0</v>
      </c>
      <c r="G29" s="454">
        <v>0</v>
      </c>
      <c r="H29" s="454">
        <v>0</v>
      </c>
      <c r="I29" s="454">
        <v>0</v>
      </c>
      <c r="J29" s="454">
        <v>0</v>
      </c>
      <c r="K29" s="454">
        <v>0</v>
      </c>
      <c r="L29" s="454">
        <v>0</v>
      </c>
      <c r="M29" s="454">
        <v>0</v>
      </c>
      <c r="N29" s="454">
        <v>0</v>
      </c>
      <c r="O29" s="454">
        <v>0</v>
      </c>
      <c r="P29" s="454">
        <v>0</v>
      </c>
      <c r="Q29" s="454">
        <v>0</v>
      </c>
      <c r="S29" s="479"/>
    </row>
    <row r="30" s="423" customFormat="1" ht="25.5" spans="1:19">
      <c r="A30" s="283" t="s">
        <v>73</v>
      </c>
      <c r="B30" s="468" t="s">
        <v>275</v>
      </c>
      <c r="C30" s="469" t="s">
        <v>276</v>
      </c>
      <c r="D30" s="454">
        <v>0</v>
      </c>
      <c r="E30" s="454">
        <v>0</v>
      </c>
      <c r="F30" s="454">
        <v>0</v>
      </c>
      <c r="G30" s="454">
        <v>0</v>
      </c>
      <c r="H30" s="454">
        <v>0</v>
      </c>
      <c r="I30" s="454">
        <v>0</v>
      </c>
      <c r="J30" s="454">
        <v>0</v>
      </c>
      <c r="K30" s="454">
        <v>0</v>
      </c>
      <c r="L30" s="454">
        <v>0</v>
      </c>
      <c r="M30" s="454">
        <v>0</v>
      </c>
      <c r="N30" s="454">
        <v>0</v>
      </c>
      <c r="O30" s="454">
        <v>0</v>
      </c>
      <c r="P30" s="454">
        <v>0</v>
      </c>
      <c r="Q30" s="454">
        <v>0</v>
      </c>
      <c r="S30" s="479"/>
    </row>
    <row r="31" s="423" customFormat="1" ht="25.5" spans="1:19">
      <c r="A31" s="283" t="s">
        <v>76</v>
      </c>
      <c r="B31" s="468" t="s">
        <v>277</v>
      </c>
      <c r="C31" s="469" t="s">
        <v>278</v>
      </c>
      <c r="D31" s="454">
        <v>0</v>
      </c>
      <c r="E31" s="454">
        <v>0</v>
      </c>
      <c r="F31" s="454">
        <v>0</v>
      </c>
      <c r="G31" s="454">
        <v>0</v>
      </c>
      <c r="H31" s="454">
        <v>0</v>
      </c>
      <c r="I31" s="454">
        <v>0</v>
      </c>
      <c r="J31" s="454">
        <v>0</v>
      </c>
      <c r="K31" s="454">
        <v>0</v>
      </c>
      <c r="L31" s="454">
        <v>0</v>
      </c>
      <c r="M31" s="454">
        <v>0</v>
      </c>
      <c r="N31" s="454">
        <v>0</v>
      </c>
      <c r="O31" s="454">
        <v>0</v>
      </c>
      <c r="P31" s="454">
        <v>0</v>
      </c>
      <c r="Q31" s="454">
        <v>0</v>
      </c>
      <c r="S31" s="479"/>
    </row>
    <row r="32" s="424" customFormat="1" ht="12.75" spans="1:19">
      <c r="A32" s="470"/>
      <c r="B32" s="471" t="s">
        <v>255</v>
      </c>
      <c r="C32" s="472" t="s">
        <v>279</v>
      </c>
      <c r="D32" s="473">
        <v>0</v>
      </c>
      <c r="E32" s="473">
        <v>0</v>
      </c>
      <c r="F32" s="473">
        <v>0</v>
      </c>
      <c r="G32" s="473">
        <v>0</v>
      </c>
      <c r="H32" s="473">
        <v>0</v>
      </c>
      <c r="I32" s="473">
        <v>0</v>
      </c>
      <c r="J32" s="473">
        <v>0</v>
      </c>
      <c r="K32" s="473">
        <v>0</v>
      </c>
      <c r="L32" s="473">
        <v>0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S32" s="481"/>
    </row>
    <row r="33" s="423" customFormat="1" ht="12" spans="1:19">
      <c r="A33" s="436" t="s">
        <v>148</v>
      </c>
      <c r="B33" s="445" t="s">
        <v>280</v>
      </c>
      <c r="C33" s="437" t="s">
        <v>281</v>
      </c>
      <c r="D33" s="446">
        <v>5.3</v>
      </c>
      <c r="E33" s="446">
        <v>5.3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6">
        <v>0</v>
      </c>
      <c r="L33" s="446">
        <v>0</v>
      </c>
      <c r="M33" s="446">
        <v>0</v>
      </c>
      <c r="N33" s="446">
        <v>0</v>
      </c>
      <c r="O33" s="446">
        <v>0</v>
      </c>
      <c r="P33" s="446">
        <v>0</v>
      </c>
      <c r="Q33" s="446">
        <v>0</v>
      </c>
      <c r="R33" s="476"/>
      <c r="S33" s="476"/>
    </row>
    <row r="34" s="423" customFormat="1" ht="24" customHeight="1" spans="1:17">
      <c r="A34" s="474" t="s">
        <v>282</v>
      </c>
      <c r="B34" s="475"/>
      <c r="C34" s="475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</row>
  </sheetData>
  <mergeCells count="10">
    <mergeCell ref="A1:Q1"/>
    <mergeCell ref="A2:Q2"/>
    <mergeCell ref="A3:Q3"/>
    <mergeCell ref="E4:Q4"/>
    <mergeCell ref="E5:Q5"/>
    <mergeCell ref="A34:Q34"/>
    <mergeCell ref="A5:A6"/>
    <mergeCell ref="B5:B6"/>
    <mergeCell ref="C5:C6"/>
    <mergeCell ref="D5:D6"/>
  </mergeCells>
  <pageMargins left="0.393700787401575" right="0.236220472440945" top="0.590551181102362" bottom="0.236220472440945" header="0" footer="0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R61"/>
  <sheetViews>
    <sheetView topLeftCell="A43" workbookViewId="0">
      <selection activeCell="A43" sqref="$A1:$XFD1048576"/>
    </sheetView>
  </sheetViews>
  <sheetFormatPr defaultColWidth="9" defaultRowHeight="12.75"/>
  <cols>
    <col min="1" max="1" width="3.4" style="388" customWidth="1"/>
    <col min="2" max="2" width="37.4" style="389" customWidth="1"/>
    <col min="3" max="3" width="4.7" style="388" customWidth="1"/>
    <col min="4" max="4" width="8.9" style="390" customWidth="1"/>
    <col min="5" max="5" width="6.9" style="390" customWidth="1"/>
    <col min="6" max="6" width="7.1" style="390" customWidth="1"/>
    <col min="7" max="7" width="8.5" style="391" customWidth="1"/>
    <col min="8" max="8" width="8.6" style="391" customWidth="1"/>
    <col min="9" max="9" width="6.9" style="392" customWidth="1"/>
    <col min="10" max="11" width="7.7" style="388" customWidth="1"/>
    <col min="12" max="12" width="7.6" style="388" customWidth="1"/>
    <col min="13" max="13" width="7" style="392" customWidth="1"/>
    <col min="14" max="14" width="7.4" style="392" customWidth="1"/>
    <col min="15" max="15" width="6.1" style="392" customWidth="1"/>
    <col min="16" max="16" width="7.2" style="392" customWidth="1"/>
    <col min="17" max="17" width="7.2" style="388" customWidth="1"/>
    <col min="18" max="16384" width="9" style="388"/>
  </cols>
  <sheetData>
    <row r="1" s="385" customFormat="1" ht="15" spans="1:17">
      <c r="A1" s="393" t="s">
        <v>283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="385" customFormat="1" ht="15" spans="1:17">
      <c r="A2" s="394" t="s">
        <v>284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="385" customFormat="1" ht="15" spans="1:17">
      <c r="A3" s="395" t="s">
        <v>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ht="13.95" customHeight="1" spans="1:17">
      <c r="A4" s="396" t="s">
        <v>153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="386" customFormat="1" spans="1:17">
      <c r="A5" s="349" t="s">
        <v>154</v>
      </c>
      <c r="B5" s="397" t="s">
        <v>3</v>
      </c>
      <c r="C5" s="351" t="s">
        <v>4</v>
      </c>
      <c r="D5" s="397" t="s">
        <v>155</v>
      </c>
      <c r="E5" s="351" t="s">
        <v>200</v>
      </c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</row>
    <row r="6" s="386" customFormat="1" ht="25.5" spans="1:17">
      <c r="A6" s="349"/>
      <c r="B6" s="397"/>
      <c r="C6" s="351"/>
      <c r="D6" s="397"/>
      <c r="E6" s="398" t="s">
        <v>157</v>
      </c>
      <c r="F6" s="398" t="s">
        <v>158</v>
      </c>
      <c r="G6" s="398" t="s">
        <v>159</v>
      </c>
      <c r="H6" s="398" t="s">
        <v>160</v>
      </c>
      <c r="I6" s="398" t="s">
        <v>161</v>
      </c>
      <c r="J6" s="398" t="s">
        <v>162</v>
      </c>
      <c r="K6" s="398" t="s">
        <v>163</v>
      </c>
      <c r="L6" s="398" t="s">
        <v>164</v>
      </c>
      <c r="M6" s="414" t="s">
        <v>165</v>
      </c>
      <c r="N6" s="414" t="s">
        <v>166</v>
      </c>
      <c r="O6" s="414" t="s">
        <v>167</v>
      </c>
      <c r="P6" s="414" t="s">
        <v>168</v>
      </c>
      <c r="Q6" s="420" t="s">
        <v>169</v>
      </c>
    </row>
    <row r="7" s="387" customFormat="1" ht="11.25" spans="1:17">
      <c r="A7" s="633" t="s">
        <v>10</v>
      </c>
      <c r="B7" s="644" t="s">
        <v>11</v>
      </c>
      <c r="C7" s="634" t="s">
        <v>12</v>
      </c>
      <c r="D7" s="634" t="s">
        <v>170</v>
      </c>
      <c r="E7" s="644" t="s">
        <v>14</v>
      </c>
      <c r="F7" s="644" t="s">
        <v>171</v>
      </c>
      <c r="G7" s="348" t="s">
        <v>172</v>
      </c>
      <c r="H7" s="348" t="s">
        <v>173</v>
      </c>
      <c r="I7" s="348" t="s">
        <v>174</v>
      </c>
      <c r="J7" s="348" t="s">
        <v>175</v>
      </c>
      <c r="K7" s="348" t="s">
        <v>176</v>
      </c>
      <c r="L7" s="348" t="s">
        <v>177</v>
      </c>
      <c r="M7" s="634" t="s">
        <v>178</v>
      </c>
      <c r="N7" s="634" t="s">
        <v>179</v>
      </c>
      <c r="O7" s="634" t="s">
        <v>180</v>
      </c>
      <c r="P7" s="634" t="s">
        <v>181</v>
      </c>
      <c r="Q7" s="650" t="s">
        <v>201</v>
      </c>
    </row>
    <row r="8" spans="1:18">
      <c r="A8" s="349"/>
      <c r="B8" s="350" t="s">
        <v>285</v>
      </c>
      <c r="C8" s="351"/>
      <c r="D8" s="352">
        <v>1640.9</v>
      </c>
      <c r="E8" s="352">
        <v>97.56</v>
      </c>
      <c r="F8" s="352">
        <v>59.49</v>
      </c>
      <c r="G8" s="352">
        <v>301.55</v>
      </c>
      <c r="H8" s="352">
        <v>81.5</v>
      </c>
      <c r="I8" s="352">
        <v>142.43</v>
      </c>
      <c r="J8" s="352">
        <v>38.64</v>
      </c>
      <c r="K8" s="352">
        <v>486.27</v>
      </c>
      <c r="L8" s="352">
        <v>107.57</v>
      </c>
      <c r="M8" s="415">
        <v>42.2</v>
      </c>
      <c r="N8" s="415">
        <v>158.05</v>
      </c>
      <c r="O8" s="415">
        <v>26.82</v>
      </c>
      <c r="P8" s="415">
        <v>18</v>
      </c>
      <c r="Q8" s="415">
        <v>80.82</v>
      </c>
      <c r="R8" s="392"/>
    </row>
    <row r="9" spans="1:17">
      <c r="A9" s="349">
        <v>1</v>
      </c>
      <c r="B9" s="350" t="s">
        <v>17</v>
      </c>
      <c r="C9" s="351" t="s">
        <v>18</v>
      </c>
      <c r="D9" s="352">
        <v>1593.15</v>
      </c>
      <c r="E9" s="352">
        <v>89.41</v>
      </c>
      <c r="F9" s="352">
        <v>55.81</v>
      </c>
      <c r="G9" s="352">
        <v>300.55</v>
      </c>
      <c r="H9" s="352">
        <v>73.5</v>
      </c>
      <c r="I9" s="352">
        <v>139.16</v>
      </c>
      <c r="J9" s="352">
        <v>37.84</v>
      </c>
      <c r="K9" s="352">
        <v>482.33</v>
      </c>
      <c r="L9" s="352">
        <v>106.33</v>
      </c>
      <c r="M9" s="415">
        <v>34.23</v>
      </c>
      <c r="N9" s="415">
        <v>153.23</v>
      </c>
      <c r="O9" s="415">
        <v>24.14</v>
      </c>
      <c r="P9" s="415">
        <v>16.12</v>
      </c>
      <c r="Q9" s="415">
        <v>80.5</v>
      </c>
    </row>
    <row r="10" spans="1:17">
      <c r="A10" s="353"/>
      <c r="B10" s="354" t="s">
        <v>19</v>
      </c>
      <c r="C10" s="355"/>
      <c r="D10" s="356">
        <v>0</v>
      </c>
      <c r="E10" s="356"/>
      <c r="F10" s="356"/>
      <c r="G10" s="356"/>
      <c r="H10" s="356"/>
      <c r="I10" s="356"/>
      <c r="J10" s="356"/>
      <c r="K10" s="356"/>
      <c r="L10" s="416"/>
      <c r="M10" s="417"/>
      <c r="N10" s="417"/>
      <c r="O10" s="417"/>
      <c r="P10" s="417"/>
      <c r="Q10" s="417"/>
    </row>
    <row r="11" spans="1:17">
      <c r="A11" s="357" t="s">
        <v>20</v>
      </c>
      <c r="B11" s="358" t="s">
        <v>21</v>
      </c>
      <c r="C11" s="359" t="s">
        <v>22</v>
      </c>
      <c r="D11" s="360">
        <v>11.41</v>
      </c>
      <c r="E11" s="360">
        <v>2.29</v>
      </c>
      <c r="F11" s="360">
        <v>0</v>
      </c>
      <c r="G11" s="360">
        <v>0</v>
      </c>
      <c r="H11" s="360">
        <v>8.5</v>
      </c>
      <c r="I11" s="360">
        <v>0</v>
      </c>
      <c r="J11" s="360">
        <v>0</v>
      </c>
      <c r="K11" s="360">
        <v>0</v>
      </c>
      <c r="L11" s="360">
        <v>0.12</v>
      </c>
      <c r="M11" s="418">
        <v>0</v>
      </c>
      <c r="N11" s="418">
        <v>0.5</v>
      </c>
      <c r="O11" s="418">
        <v>0</v>
      </c>
      <c r="P11" s="418">
        <v>0</v>
      </c>
      <c r="Q11" s="418">
        <v>0</v>
      </c>
    </row>
    <row r="12" spans="1:17">
      <c r="A12" s="361"/>
      <c r="B12" s="651" t="s">
        <v>23</v>
      </c>
      <c r="C12" s="363" t="s">
        <v>24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364">
        <v>0</v>
      </c>
      <c r="M12" s="418">
        <v>0</v>
      </c>
      <c r="N12" s="418">
        <v>0</v>
      </c>
      <c r="O12" s="418">
        <v>0</v>
      </c>
      <c r="P12" s="418">
        <v>0</v>
      </c>
      <c r="Q12" s="418">
        <v>0</v>
      </c>
    </row>
    <row r="13" spans="1:17">
      <c r="A13" s="357" t="s">
        <v>25</v>
      </c>
      <c r="B13" s="365" t="s">
        <v>26</v>
      </c>
      <c r="C13" s="359" t="s">
        <v>27</v>
      </c>
      <c r="D13" s="360">
        <v>1</v>
      </c>
      <c r="E13" s="360">
        <v>0</v>
      </c>
      <c r="F13" s="360">
        <v>0</v>
      </c>
      <c r="G13" s="360">
        <v>0</v>
      </c>
      <c r="H13" s="360">
        <v>1</v>
      </c>
      <c r="I13" s="360">
        <v>0</v>
      </c>
      <c r="J13" s="360">
        <v>0</v>
      </c>
      <c r="K13" s="360">
        <v>0</v>
      </c>
      <c r="L13" s="360">
        <v>0</v>
      </c>
      <c r="M13" s="418">
        <v>0</v>
      </c>
      <c r="N13" s="418">
        <v>0</v>
      </c>
      <c r="O13" s="418">
        <v>0</v>
      </c>
      <c r="P13" s="418">
        <v>0</v>
      </c>
      <c r="Q13" s="418">
        <v>0</v>
      </c>
    </row>
    <row r="14" spans="1:17">
      <c r="A14" s="357" t="s">
        <v>28</v>
      </c>
      <c r="B14" s="358" t="s">
        <v>29</v>
      </c>
      <c r="C14" s="359" t="s">
        <v>30</v>
      </c>
      <c r="D14" s="360">
        <v>1580.74</v>
      </c>
      <c r="E14" s="360">
        <v>87.12</v>
      </c>
      <c r="F14" s="360">
        <v>55.81</v>
      </c>
      <c r="G14" s="360">
        <v>300.55</v>
      </c>
      <c r="H14" s="360">
        <v>64</v>
      </c>
      <c r="I14" s="360">
        <v>139.16</v>
      </c>
      <c r="J14" s="360">
        <v>37.84</v>
      </c>
      <c r="K14" s="360">
        <v>482.33</v>
      </c>
      <c r="L14" s="360">
        <v>106.21</v>
      </c>
      <c r="M14" s="418">
        <v>34.23</v>
      </c>
      <c r="N14" s="418">
        <v>152.73</v>
      </c>
      <c r="O14" s="418">
        <v>24.14</v>
      </c>
      <c r="P14" s="418">
        <v>16.12</v>
      </c>
      <c r="Q14" s="418">
        <v>80.5</v>
      </c>
    </row>
    <row r="15" spans="1:17">
      <c r="A15" s="357" t="s">
        <v>31</v>
      </c>
      <c r="B15" s="366" t="s">
        <v>32</v>
      </c>
      <c r="C15" s="359" t="s">
        <v>33</v>
      </c>
      <c r="D15" s="360">
        <v>0</v>
      </c>
      <c r="E15" s="360">
        <v>0</v>
      </c>
      <c r="F15" s="360">
        <v>0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418">
        <v>0</v>
      </c>
      <c r="N15" s="418">
        <v>0</v>
      </c>
      <c r="O15" s="418">
        <v>0</v>
      </c>
      <c r="P15" s="418">
        <v>0</v>
      </c>
      <c r="Q15" s="418">
        <v>0</v>
      </c>
    </row>
    <row r="16" spans="1:17">
      <c r="A16" s="357" t="s">
        <v>34</v>
      </c>
      <c r="B16" s="366" t="s">
        <v>35</v>
      </c>
      <c r="C16" s="359" t="s">
        <v>182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418">
        <v>0</v>
      </c>
      <c r="N16" s="418">
        <v>0</v>
      </c>
      <c r="O16" s="418">
        <v>0</v>
      </c>
      <c r="P16" s="418">
        <v>0</v>
      </c>
      <c r="Q16" s="418">
        <v>0</v>
      </c>
    </row>
    <row r="17" spans="1:17">
      <c r="A17" s="357" t="s">
        <v>36</v>
      </c>
      <c r="B17" s="366" t="s">
        <v>37</v>
      </c>
      <c r="C17" s="359" t="s">
        <v>38</v>
      </c>
      <c r="D17" s="360">
        <v>0</v>
      </c>
      <c r="E17" s="360">
        <v>0</v>
      </c>
      <c r="F17" s="360">
        <v>0</v>
      </c>
      <c r="G17" s="360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  <c r="M17" s="418">
        <v>0</v>
      </c>
      <c r="N17" s="418">
        <v>0</v>
      </c>
      <c r="O17" s="418">
        <v>0</v>
      </c>
      <c r="P17" s="418">
        <v>0</v>
      </c>
      <c r="Q17" s="418">
        <v>0</v>
      </c>
    </row>
    <row r="18" spans="1:17">
      <c r="A18" s="357"/>
      <c r="B18" s="651" t="s">
        <v>39</v>
      </c>
      <c r="C18" s="363" t="s">
        <v>40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418">
        <v>0</v>
      </c>
      <c r="N18" s="418">
        <v>0</v>
      </c>
      <c r="O18" s="418">
        <v>0</v>
      </c>
      <c r="P18" s="418">
        <v>0</v>
      </c>
      <c r="Q18" s="418">
        <v>0</v>
      </c>
    </row>
    <row r="19" spans="1:17">
      <c r="A19" s="357" t="s">
        <v>41</v>
      </c>
      <c r="B19" s="358" t="s">
        <v>42</v>
      </c>
      <c r="C19" s="359" t="s">
        <v>43</v>
      </c>
      <c r="D19" s="360">
        <v>0</v>
      </c>
      <c r="E19" s="360">
        <v>0</v>
      </c>
      <c r="F19" s="360">
        <v>0</v>
      </c>
      <c r="G19" s="360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  <c r="M19" s="418">
        <v>0</v>
      </c>
      <c r="N19" s="418">
        <v>0</v>
      </c>
      <c r="O19" s="418">
        <v>0</v>
      </c>
      <c r="P19" s="418">
        <v>0</v>
      </c>
      <c r="Q19" s="418">
        <v>0</v>
      </c>
    </row>
    <row r="20" spans="1:17">
      <c r="A20" s="357" t="s">
        <v>44</v>
      </c>
      <c r="B20" s="358" t="s">
        <v>45</v>
      </c>
      <c r="C20" s="359" t="s">
        <v>46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418">
        <v>0</v>
      </c>
      <c r="N20" s="418">
        <v>0</v>
      </c>
      <c r="O20" s="418">
        <v>0</v>
      </c>
      <c r="P20" s="418">
        <v>0</v>
      </c>
      <c r="Q20" s="418">
        <v>0</v>
      </c>
    </row>
    <row r="21" spans="1:17">
      <c r="A21" s="357" t="s">
        <v>47</v>
      </c>
      <c r="B21" s="365" t="s">
        <v>48</v>
      </c>
      <c r="C21" s="359" t="s">
        <v>49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82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</row>
    <row r="22" spans="1:17">
      <c r="A22" s="401">
        <v>2</v>
      </c>
      <c r="B22" s="402" t="s">
        <v>50</v>
      </c>
      <c r="C22" s="403" t="s">
        <v>51</v>
      </c>
      <c r="D22" s="404">
        <v>47.75</v>
      </c>
      <c r="E22" s="404">
        <v>8.15</v>
      </c>
      <c r="F22" s="404">
        <v>3.68</v>
      </c>
      <c r="G22" s="404">
        <v>1</v>
      </c>
      <c r="H22" s="404">
        <v>8</v>
      </c>
      <c r="I22" s="404">
        <v>3.27</v>
      </c>
      <c r="J22" s="404">
        <v>0.8</v>
      </c>
      <c r="K22" s="352">
        <v>3.94</v>
      </c>
      <c r="L22" s="352">
        <v>1.24</v>
      </c>
      <c r="M22" s="415">
        <v>7.97</v>
      </c>
      <c r="N22" s="415">
        <v>4.82</v>
      </c>
      <c r="O22" s="415">
        <v>2.68</v>
      </c>
      <c r="P22" s="415">
        <v>1.88</v>
      </c>
      <c r="Q22" s="415">
        <v>0.32</v>
      </c>
    </row>
    <row r="23" spans="1:17">
      <c r="A23" s="405"/>
      <c r="B23" s="406" t="s">
        <v>19</v>
      </c>
      <c r="C23" s="407"/>
      <c r="D23" s="408">
        <v>0</v>
      </c>
      <c r="E23" s="408"/>
      <c r="F23" s="408"/>
      <c r="G23" s="408"/>
      <c r="H23" s="408"/>
      <c r="I23" s="408"/>
      <c r="J23" s="408"/>
      <c r="K23" s="408"/>
      <c r="L23" s="408"/>
      <c r="M23" s="417"/>
      <c r="N23" s="417"/>
      <c r="O23" s="417"/>
      <c r="P23" s="417"/>
      <c r="Q23" s="417"/>
    </row>
    <row r="24" spans="1:17">
      <c r="A24" s="357" t="s">
        <v>52</v>
      </c>
      <c r="B24" s="409" t="s">
        <v>53</v>
      </c>
      <c r="C24" s="359" t="s">
        <v>54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0</v>
      </c>
      <c r="K24" s="360">
        <v>0</v>
      </c>
      <c r="L24" s="360">
        <v>0</v>
      </c>
      <c r="M24" s="418">
        <v>0</v>
      </c>
      <c r="N24" s="418">
        <v>0</v>
      </c>
      <c r="O24" s="418">
        <v>0</v>
      </c>
      <c r="P24" s="418">
        <v>0</v>
      </c>
      <c r="Q24" s="418">
        <v>0</v>
      </c>
    </row>
    <row r="25" spans="1:17">
      <c r="A25" s="357" t="s">
        <v>55</v>
      </c>
      <c r="B25" s="409" t="s">
        <v>56</v>
      </c>
      <c r="C25" s="359" t="s">
        <v>57</v>
      </c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60">
        <v>0</v>
      </c>
      <c r="J25" s="360">
        <v>0</v>
      </c>
      <c r="K25" s="360">
        <v>0</v>
      </c>
      <c r="L25" s="360">
        <v>0</v>
      </c>
      <c r="M25" s="418">
        <v>0</v>
      </c>
      <c r="N25" s="418">
        <v>0</v>
      </c>
      <c r="O25" s="418">
        <v>0</v>
      </c>
      <c r="P25" s="418">
        <v>0</v>
      </c>
      <c r="Q25" s="418">
        <v>0</v>
      </c>
    </row>
    <row r="26" spans="1:17">
      <c r="A26" s="357" t="s">
        <v>58</v>
      </c>
      <c r="B26" s="358" t="s">
        <v>59</v>
      </c>
      <c r="C26" s="359" t="s">
        <v>60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418">
        <v>0</v>
      </c>
      <c r="N26" s="418">
        <v>0</v>
      </c>
      <c r="O26" s="418">
        <v>0</v>
      </c>
      <c r="P26" s="418">
        <v>0</v>
      </c>
      <c r="Q26" s="418">
        <v>0</v>
      </c>
    </row>
    <row r="27" spans="1:17">
      <c r="A27" s="357" t="s">
        <v>61</v>
      </c>
      <c r="B27" s="358" t="s">
        <v>62</v>
      </c>
      <c r="C27" s="359" t="s">
        <v>63</v>
      </c>
      <c r="D27" s="360">
        <v>0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418">
        <v>0</v>
      </c>
      <c r="N27" s="418">
        <v>0</v>
      </c>
      <c r="O27" s="418">
        <v>0</v>
      </c>
      <c r="P27" s="418">
        <v>0</v>
      </c>
      <c r="Q27" s="418">
        <v>0</v>
      </c>
    </row>
    <row r="28" spans="1:17">
      <c r="A28" s="357" t="s">
        <v>64</v>
      </c>
      <c r="B28" s="358" t="s">
        <v>65</v>
      </c>
      <c r="C28" s="359" t="s">
        <v>66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418">
        <v>0</v>
      </c>
      <c r="N28" s="418">
        <v>0</v>
      </c>
      <c r="O28" s="418">
        <v>0</v>
      </c>
      <c r="P28" s="418">
        <v>0</v>
      </c>
      <c r="Q28" s="418">
        <v>0</v>
      </c>
    </row>
    <row r="29" spans="1:17">
      <c r="A29" s="357" t="s">
        <v>67</v>
      </c>
      <c r="B29" s="358" t="s">
        <v>68</v>
      </c>
      <c r="C29" s="359" t="s">
        <v>69</v>
      </c>
      <c r="D29" s="360">
        <v>5.3</v>
      </c>
      <c r="E29" s="360">
        <v>5.3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418">
        <v>0</v>
      </c>
      <c r="N29" s="418">
        <v>0</v>
      </c>
      <c r="O29" s="418">
        <v>0</v>
      </c>
      <c r="P29" s="418">
        <v>0</v>
      </c>
      <c r="Q29" s="418">
        <v>0</v>
      </c>
    </row>
    <row r="30" spans="1:17">
      <c r="A30" s="357" t="s">
        <v>70</v>
      </c>
      <c r="B30" s="358" t="s">
        <v>71</v>
      </c>
      <c r="C30" s="359" t="s">
        <v>72</v>
      </c>
      <c r="D30" s="360">
        <v>0</v>
      </c>
      <c r="E30" s="360">
        <v>0</v>
      </c>
      <c r="F30" s="360">
        <v>0</v>
      </c>
      <c r="G30" s="360">
        <v>0</v>
      </c>
      <c r="H30" s="360">
        <v>0</v>
      </c>
      <c r="I30" s="360">
        <v>0</v>
      </c>
      <c r="J30" s="360">
        <v>0</v>
      </c>
      <c r="K30" s="360">
        <v>0</v>
      </c>
      <c r="L30" s="360">
        <v>0</v>
      </c>
      <c r="M30" s="418">
        <v>0</v>
      </c>
      <c r="N30" s="418">
        <v>0</v>
      </c>
      <c r="O30" s="418">
        <v>0</v>
      </c>
      <c r="P30" s="418">
        <v>0</v>
      </c>
      <c r="Q30" s="418">
        <v>0</v>
      </c>
    </row>
    <row r="31" spans="1:17">
      <c r="A31" s="357" t="s">
        <v>73</v>
      </c>
      <c r="B31" s="358" t="s">
        <v>74</v>
      </c>
      <c r="C31" s="359" t="s">
        <v>75</v>
      </c>
      <c r="D31" s="360">
        <v>0</v>
      </c>
      <c r="E31" s="360">
        <v>0</v>
      </c>
      <c r="F31" s="360">
        <v>0</v>
      </c>
      <c r="G31" s="360">
        <v>0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  <c r="M31" s="418">
        <v>0</v>
      </c>
      <c r="N31" s="418">
        <v>0</v>
      </c>
      <c r="O31" s="418">
        <v>0</v>
      </c>
      <c r="P31" s="418">
        <v>0</v>
      </c>
      <c r="Q31" s="418">
        <v>0</v>
      </c>
    </row>
    <row r="32" spans="1:17">
      <c r="A32" s="357" t="s">
        <v>76</v>
      </c>
      <c r="B32" s="358" t="s">
        <v>183</v>
      </c>
      <c r="C32" s="359" t="s">
        <v>78</v>
      </c>
      <c r="D32" s="360">
        <v>18.44</v>
      </c>
      <c r="E32" s="360">
        <v>1.5</v>
      </c>
      <c r="F32" s="360">
        <v>1.37</v>
      </c>
      <c r="G32" s="360">
        <v>0</v>
      </c>
      <c r="H32" s="360">
        <v>1</v>
      </c>
      <c r="I32" s="360">
        <v>1.5</v>
      </c>
      <c r="J32" s="360">
        <v>0</v>
      </c>
      <c r="K32" s="360">
        <v>3.7</v>
      </c>
      <c r="L32" s="360">
        <v>0.1</v>
      </c>
      <c r="M32" s="418">
        <v>4</v>
      </c>
      <c r="N32" s="418">
        <v>3</v>
      </c>
      <c r="O32" s="418">
        <v>1.8</v>
      </c>
      <c r="P32" s="418">
        <v>0.37</v>
      </c>
      <c r="Q32" s="418">
        <v>0.1</v>
      </c>
    </row>
    <row r="33" spans="1:17">
      <c r="A33" s="361"/>
      <c r="B33" s="362" t="s">
        <v>19</v>
      </c>
      <c r="C33" s="363"/>
      <c r="D33" s="364">
        <v>0</v>
      </c>
      <c r="E33" s="364"/>
      <c r="F33" s="364"/>
      <c r="G33" s="364"/>
      <c r="H33" s="364"/>
      <c r="I33" s="364"/>
      <c r="J33" s="364"/>
      <c r="K33" s="364"/>
      <c r="L33" s="364"/>
      <c r="M33" s="418"/>
      <c r="N33" s="418"/>
      <c r="O33" s="418"/>
      <c r="P33" s="418"/>
      <c r="Q33" s="418"/>
    </row>
    <row r="34" spans="1:17">
      <c r="A34" s="361" t="s">
        <v>79</v>
      </c>
      <c r="B34" s="362" t="s">
        <v>80</v>
      </c>
      <c r="C34" s="363" t="s">
        <v>81</v>
      </c>
      <c r="D34" s="364">
        <v>17.43</v>
      </c>
      <c r="E34" s="364">
        <v>0.59</v>
      </c>
      <c r="F34" s="364">
        <v>1.37</v>
      </c>
      <c r="G34" s="364">
        <v>0</v>
      </c>
      <c r="H34" s="364">
        <v>1</v>
      </c>
      <c r="I34" s="364">
        <v>1.5</v>
      </c>
      <c r="J34" s="364">
        <v>0</v>
      </c>
      <c r="K34" s="364">
        <v>3.7</v>
      </c>
      <c r="L34" s="364">
        <v>0.1</v>
      </c>
      <c r="M34" s="418">
        <v>4</v>
      </c>
      <c r="N34" s="418">
        <v>3</v>
      </c>
      <c r="O34" s="418">
        <v>1.7</v>
      </c>
      <c r="P34" s="418">
        <v>0.37</v>
      </c>
      <c r="Q34" s="418">
        <v>0.1</v>
      </c>
    </row>
    <row r="35" spans="1:17">
      <c r="A35" s="361" t="s">
        <v>79</v>
      </c>
      <c r="B35" s="362" t="s">
        <v>82</v>
      </c>
      <c r="C35" s="363" t="s">
        <v>83</v>
      </c>
      <c r="D35" s="364">
        <v>1.01</v>
      </c>
      <c r="E35" s="364">
        <v>0.91</v>
      </c>
      <c r="F35" s="364">
        <v>0</v>
      </c>
      <c r="G35" s="364">
        <v>0</v>
      </c>
      <c r="H35" s="364">
        <v>0</v>
      </c>
      <c r="I35" s="364">
        <v>0</v>
      </c>
      <c r="J35" s="364">
        <v>0</v>
      </c>
      <c r="K35" s="364">
        <v>0</v>
      </c>
      <c r="L35" s="364">
        <v>0</v>
      </c>
      <c r="M35" s="418">
        <v>0</v>
      </c>
      <c r="N35" s="418">
        <v>0</v>
      </c>
      <c r="O35" s="418">
        <v>0.1</v>
      </c>
      <c r="P35" s="418">
        <v>0</v>
      </c>
      <c r="Q35" s="418">
        <v>0</v>
      </c>
    </row>
    <row r="36" spans="1:17">
      <c r="A36" s="361" t="s">
        <v>79</v>
      </c>
      <c r="B36" s="362" t="s">
        <v>84</v>
      </c>
      <c r="C36" s="363" t="s">
        <v>85</v>
      </c>
      <c r="D36" s="364">
        <v>0</v>
      </c>
      <c r="E36" s="364">
        <v>0</v>
      </c>
      <c r="F36" s="364">
        <v>0</v>
      </c>
      <c r="G36" s="364">
        <v>0</v>
      </c>
      <c r="H36" s="364">
        <v>0</v>
      </c>
      <c r="I36" s="364">
        <v>0</v>
      </c>
      <c r="J36" s="364">
        <v>0</v>
      </c>
      <c r="K36" s="364">
        <v>0</v>
      </c>
      <c r="L36" s="364">
        <v>0</v>
      </c>
      <c r="M36" s="418">
        <v>0</v>
      </c>
      <c r="N36" s="418">
        <v>0</v>
      </c>
      <c r="O36" s="418">
        <v>0</v>
      </c>
      <c r="P36" s="418">
        <v>0</v>
      </c>
      <c r="Q36" s="418">
        <v>0</v>
      </c>
    </row>
    <row r="37" spans="1:17">
      <c r="A37" s="361" t="s">
        <v>79</v>
      </c>
      <c r="B37" s="362" t="s">
        <v>86</v>
      </c>
      <c r="C37" s="363" t="s">
        <v>87</v>
      </c>
      <c r="D37" s="364">
        <v>0</v>
      </c>
      <c r="E37" s="364">
        <v>0</v>
      </c>
      <c r="F37" s="364">
        <v>0</v>
      </c>
      <c r="G37" s="364">
        <v>0</v>
      </c>
      <c r="H37" s="364">
        <v>0</v>
      </c>
      <c r="I37" s="364">
        <v>0</v>
      </c>
      <c r="J37" s="364">
        <v>0</v>
      </c>
      <c r="K37" s="364">
        <v>0</v>
      </c>
      <c r="L37" s="364">
        <v>0</v>
      </c>
      <c r="M37" s="418">
        <v>0</v>
      </c>
      <c r="N37" s="418">
        <v>0</v>
      </c>
      <c r="O37" s="418">
        <v>0</v>
      </c>
      <c r="P37" s="418">
        <v>0</v>
      </c>
      <c r="Q37" s="418">
        <v>0</v>
      </c>
    </row>
    <row r="38" spans="1:17">
      <c r="A38" s="361" t="s">
        <v>79</v>
      </c>
      <c r="B38" s="362" t="s">
        <v>88</v>
      </c>
      <c r="C38" s="363" t="s">
        <v>89</v>
      </c>
      <c r="D38" s="364">
        <v>0</v>
      </c>
      <c r="E38" s="364">
        <v>0</v>
      </c>
      <c r="F38" s="364">
        <v>0</v>
      </c>
      <c r="G38" s="364">
        <v>0</v>
      </c>
      <c r="H38" s="364">
        <v>0</v>
      </c>
      <c r="I38" s="364">
        <v>0</v>
      </c>
      <c r="J38" s="364">
        <v>0</v>
      </c>
      <c r="K38" s="364">
        <v>0</v>
      </c>
      <c r="L38" s="364">
        <v>0</v>
      </c>
      <c r="M38" s="418">
        <v>0</v>
      </c>
      <c r="N38" s="418">
        <v>0</v>
      </c>
      <c r="O38" s="418">
        <v>0</v>
      </c>
      <c r="P38" s="418">
        <v>0</v>
      </c>
      <c r="Q38" s="418">
        <v>0</v>
      </c>
    </row>
    <row r="39" spans="1:17">
      <c r="A39" s="361" t="s">
        <v>79</v>
      </c>
      <c r="B39" s="362" t="s">
        <v>90</v>
      </c>
      <c r="C39" s="363" t="s">
        <v>91</v>
      </c>
      <c r="D39" s="364">
        <v>0</v>
      </c>
      <c r="E39" s="364">
        <v>0</v>
      </c>
      <c r="F39" s="364">
        <v>0</v>
      </c>
      <c r="G39" s="364">
        <v>0</v>
      </c>
      <c r="H39" s="364">
        <v>0</v>
      </c>
      <c r="I39" s="364">
        <v>0</v>
      </c>
      <c r="J39" s="364">
        <v>0</v>
      </c>
      <c r="K39" s="364">
        <v>0</v>
      </c>
      <c r="L39" s="364">
        <v>0</v>
      </c>
      <c r="M39" s="418">
        <v>0</v>
      </c>
      <c r="N39" s="418">
        <v>0</v>
      </c>
      <c r="O39" s="418">
        <v>0</v>
      </c>
      <c r="P39" s="418">
        <v>0</v>
      </c>
      <c r="Q39" s="418">
        <v>0</v>
      </c>
    </row>
    <row r="40" spans="1:17">
      <c r="A40" s="361" t="s">
        <v>79</v>
      </c>
      <c r="B40" s="362" t="s">
        <v>92</v>
      </c>
      <c r="C40" s="363" t="s">
        <v>93</v>
      </c>
      <c r="D40" s="364">
        <v>0</v>
      </c>
      <c r="E40" s="364">
        <v>0</v>
      </c>
      <c r="F40" s="364">
        <v>0</v>
      </c>
      <c r="G40" s="364">
        <v>0</v>
      </c>
      <c r="H40" s="364">
        <v>0</v>
      </c>
      <c r="I40" s="364">
        <v>0</v>
      </c>
      <c r="J40" s="364">
        <v>0</v>
      </c>
      <c r="K40" s="364">
        <v>0</v>
      </c>
      <c r="L40" s="364">
        <v>0</v>
      </c>
      <c r="M40" s="418">
        <v>0</v>
      </c>
      <c r="N40" s="418">
        <v>0</v>
      </c>
      <c r="O40" s="418">
        <v>0</v>
      </c>
      <c r="P40" s="418">
        <v>0</v>
      </c>
      <c r="Q40" s="418">
        <v>0</v>
      </c>
    </row>
    <row r="41" spans="1:17">
      <c r="A41" s="361" t="s">
        <v>79</v>
      </c>
      <c r="B41" s="362" t="s">
        <v>94</v>
      </c>
      <c r="C41" s="363" t="s">
        <v>95</v>
      </c>
      <c r="D41" s="364">
        <v>0</v>
      </c>
      <c r="E41" s="364">
        <v>0</v>
      </c>
      <c r="F41" s="364">
        <v>0</v>
      </c>
      <c r="G41" s="364">
        <v>0</v>
      </c>
      <c r="H41" s="364">
        <v>0</v>
      </c>
      <c r="I41" s="364">
        <v>0</v>
      </c>
      <c r="J41" s="364">
        <v>0</v>
      </c>
      <c r="K41" s="364">
        <v>0</v>
      </c>
      <c r="L41" s="364">
        <v>0</v>
      </c>
      <c r="M41" s="418">
        <v>0</v>
      </c>
      <c r="N41" s="418">
        <v>0</v>
      </c>
      <c r="O41" s="418">
        <v>0</v>
      </c>
      <c r="P41" s="418">
        <v>0</v>
      </c>
      <c r="Q41" s="418">
        <v>0</v>
      </c>
    </row>
    <row r="42" spans="1:17">
      <c r="A42" s="361" t="s">
        <v>79</v>
      </c>
      <c r="B42" s="362" t="s">
        <v>96</v>
      </c>
      <c r="C42" s="363" t="s">
        <v>97</v>
      </c>
      <c r="D42" s="364">
        <v>0</v>
      </c>
      <c r="E42" s="364">
        <v>0</v>
      </c>
      <c r="F42" s="364">
        <v>0</v>
      </c>
      <c r="G42" s="364">
        <v>0</v>
      </c>
      <c r="H42" s="364">
        <v>0</v>
      </c>
      <c r="I42" s="364">
        <v>0</v>
      </c>
      <c r="J42" s="364">
        <v>0</v>
      </c>
      <c r="K42" s="364">
        <v>0</v>
      </c>
      <c r="L42" s="364">
        <v>0</v>
      </c>
      <c r="M42" s="418">
        <v>0</v>
      </c>
      <c r="N42" s="418">
        <v>0</v>
      </c>
      <c r="O42" s="418">
        <v>0</v>
      </c>
      <c r="P42" s="418">
        <v>0</v>
      </c>
      <c r="Q42" s="418">
        <v>0</v>
      </c>
    </row>
    <row r="43" spans="1:17">
      <c r="A43" s="361" t="s">
        <v>79</v>
      </c>
      <c r="B43" s="362" t="s">
        <v>184</v>
      </c>
      <c r="C43" s="363" t="s">
        <v>99</v>
      </c>
      <c r="D43" s="364">
        <v>0</v>
      </c>
      <c r="E43" s="364">
        <v>0</v>
      </c>
      <c r="F43" s="364">
        <v>0</v>
      </c>
      <c r="G43" s="364">
        <v>0</v>
      </c>
      <c r="H43" s="364">
        <v>0</v>
      </c>
      <c r="I43" s="364">
        <v>0</v>
      </c>
      <c r="J43" s="364">
        <v>0</v>
      </c>
      <c r="K43" s="364">
        <v>0</v>
      </c>
      <c r="L43" s="364">
        <v>0</v>
      </c>
      <c r="M43" s="418">
        <v>0</v>
      </c>
      <c r="N43" s="418">
        <v>0</v>
      </c>
      <c r="O43" s="418">
        <v>0</v>
      </c>
      <c r="P43" s="418">
        <v>0</v>
      </c>
      <c r="Q43" s="418">
        <v>0</v>
      </c>
    </row>
    <row r="44" spans="1:17">
      <c r="A44" s="361" t="s">
        <v>79</v>
      </c>
      <c r="B44" s="362" t="s">
        <v>100</v>
      </c>
      <c r="C44" s="363" t="s">
        <v>101</v>
      </c>
      <c r="D44" s="364">
        <v>0</v>
      </c>
      <c r="E44" s="364">
        <v>0</v>
      </c>
      <c r="F44" s="364">
        <v>0</v>
      </c>
      <c r="G44" s="364">
        <v>0</v>
      </c>
      <c r="H44" s="364">
        <v>0</v>
      </c>
      <c r="I44" s="364">
        <v>0</v>
      </c>
      <c r="J44" s="364">
        <v>0</v>
      </c>
      <c r="K44" s="364">
        <v>0</v>
      </c>
      <c r="L44" s="364">
        <v>0</v>
      </c>
      <c r="M44" s="418">
        <v>0</v>
      </c>
      <c r="N44" s="418">
        <v>0</v>
      </c>
      <c r="O44" s="418">
        <v>0</v>
      </c>
      <c r="P44" s="418">
        <v>0</v>
      </c>
      <c r="Q44" s="418">
        <v>0</v>
      </c>
    </row>
    <row r="45" spans="1:17">
      <c r="A45" s="361" t="s">
        <v>79</v>
      </c>
      <c r="B45" s="362" t="s">
        <v>102</v>
      </c>
      <c r="C45" s="363" t="s">
        <v>103</v>
      </c>
      <c r="D45" s="364">
        <v>0</v>
      </c>
      <c r="E45" s="364">
        <v>0</v>
      </c>
      <c r="F45" s="364">
        <v>0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364">
        <v>0</v>
      </c>
      <c r="M45" s="418">
        <v>0</v>
      </c>
      <c r="N45" s="418">
        <v>0</v>
      </c>
      <c r="O45" s="418">
        <v>0</v>
      </c>
      <c r="P45" s="418">
        <v>0</v>
      </c>
      <c r="Q45" s="418">
        <v>0</v>
      </c>
    </row>
    <row r="46" spans="1:17">
      <c r="A46" s="361" t="s">
        <v>79</v>
      </c>
      <c r="B46" s="362" t="s">
        <v>104</v>
      </c>
      <c r="C46" s="363" t="s">
        <v>105</v>
      </c>
      <c r="D46" s="364">
        <v>0</v>
      </c>
      <c r="E46" s="364">
        <v>0</v>
      </c>
      <c r="F46" s="364">
        <v>0</v>
      </c>
      <c r="G46" s="364">
        <v>0</v>
      </c>
      <c r="H46" s="364">
        <v>0</v>
      </c>
      <c r="I46" s="364">
        <v>0</v>
      </c>
      <c r="J46" s="364">
        <v>0</v>
      </c>
      <c r="K46" s="364">
        <v>0</v>
      </c>
      <c r="L46" s="364">
        <v>0</v>
      </c>
      <c r="M46" s="418">
        <v>0</v>
      </c>
      <c r="N46" s="418">
        <v>0</v>
      </c>
      <c r="O46" s="418">
        <v>0</v>
      </c>
      <c r="P46" s="418">
        <v>0</v>
      </c>
      <c r="Q46" s="418">
        <v>0</v>
      </c>
    </row>
    <row r="47" spans="1:17">
      <c r="A47" s="361" t="s">
        <v>79</v>
      </c>
      <c r="B47" s="362" t="s">
        <v>106</v>
      </c>
      <c r="C47" s="363" t="s">
        <v>107</v>
      </c>
      <c r="D47" s="364">
        <v>0</v>
      </c>
      <c r="E47" s="364">
        <v>0</v>
      </c>
      <c r="F47" s="364">
        <v>0</v>
      </c>
      <c r="G47" s="364">
        <v>0</v>
      </c>
      <c r="H47" s="364">
        <v>0</v>
      </c>
      <c r="I47" s="364">
        <v>0</v>
      </c>
      <c r="J47" s="364">
        <v>0</v>
      </c>
      <c r="K47" s="364">
        <v>0</v>
      </c>
      <c r="L47" s="364">
        <v>0</v>
      </c>
      <c r="M47" s="418">
        <v>0</v>
      </c>
      <c r="N47" s="418">
        <v>0</v>
      </c>
      <c r="O47" s="418">
        <v>0</v>
      </c>
      <c r="P47" s="418">
        <v>0</v>
      </c>
      <c r="Q47" s="418">
        <v>0</v>
      </c>
    </row>
    <row r="48" spans="1:17">
      <c r="A48" s="361" t="s">
        <v>79</v>
      </c>
      <c r="B48" s="410" t="s">
        <v>108</v>
      </c>
      <c r="C48" s="363" t="s">
        <v>109</v>
      </c>
      <c r="D48" s="364">
        <v>0</v>
      </c>
      <c r="E48" s="364">
        <v>0</v>
      </c>
      <c r="F48" s="364">
        <v>0</v>
      </c>
      <c r="G48" s="364">
        <v>0</v>
      </c>
      <c r="H48" s="364">
        <v>0</v>
      </c>
      <c r="I48" s="364">
        <v>0</v>
      </c>
      <c r="J48" s="364">
        <v>0</v>
      </c>
      <c r="K48" s="364">
        <v>0</v>
      </c>
      <c r="L48" s="364">
        <v>0</v>
      </c>
      <c r="M48" s="418">
        <v>0</v>
      </c>
      <c r="N48" s="418">
        <v>0</v>
      </c>
      <c r="O48" s="418">
        <v>0</v>
      </c>
      <c r="P48" s="418">
        <v>0</v>
      </c>
      <c r="Q48" s="418">
        <v>0</v>
      </c>
    </row>
    <row r="49" spans="1:17">
      <c r="A49" s="361" t="s">
        <v>79</v>
      </c>
      <c r="B49" s="410" t="s">
        <v>110</v>
      </c>
      <c r="C49" s="363" t="s">
        <v>111</v>
      </c>
      <c r="D49" s="364">
        <v>0</v>
      </c>
      <c r="E49" s="364">
        <v>0</v>
      </c>
      <c r="F49" s="364">
        <v>0</v>
      </c>
      <c r="G49" s="364">
        <v>0</v>
      </c>
      <c r="H49" s="364">
        <v>0</v>
      </c>
      <c r="I49" s="364">
        <v>0</v>
      </c>
      <c r="J49" s="364">
        <v>0</v>
      </c>
      <c r="K49" s="364">
        <v>0</v>
      </c>
      <c r="L49" s="364">
        <v>0</v>
      </c>
      <c r="M49" s="418">
        <v>0</v>
      </c>
      <c r="N49" s="418">
        <v>0</v>
      </c>
      <c r="O49" s="418">
        <v>0</v>
      </c>
      <c r="P49" s="418">
        <v>0</v>
      </c>
      <c r="Q49" s="418">
        <v>0</v>
      </c>
    </row>
    <row r="50" spans="1:17">
      <c r="A50" s="357" t="s">
        <v>112</v>
      </c>
      <c r="B50" s="358" t="s">
        <v>113</v>
      </c>
      <c r="C50" s="359" t="s">
        <v>114</v>
      </c>
      <c r="D50" s="360">
        <v>0</v>
      </c>
      <c r="E50" s="360">
        <v>0</v>
      </c>
      <c r="F50" s="360">
        <v>0</v>
      </c>
      <c r="G50" s="360">
        <v>0</v>
      </c>
      <c r="H50" s="360">
        <v>0</v>
      </c>
      <c r="I50" s="360">
        <v>0</v>
      </c>
      <c r="J50" s="360">
        <v>0</v>
      </c>
      <c r="K50" s="360">
        <v>0</v>
      </c>
      <c r="L50" s="360">
        <v>0</v>
      </c>
      <c r="M50" s="418">
        <v>0</v>
      </c>
      <c r="N50" s="418">
        <v>0</v>
      </c>
      <c r="O50" s="418">
        <v>0</v>
      </c>
      <c r="P50" s="418">
        <v>0</v>
      </c>
      <c r="Q50" s="418">
        <v>0</v>
      </c>
    </row>
    <row r="51" spans="1:17">
      <c r="A51" s="357" t="s">
        <v>115</v>
      </c>
      <c r="B51" s="358" t="s">
        <v>116</v>
      </c>
      <c r="C51" s="359" t="s">
        <v>117</v>
      </c>
      <c r="D51" s="360">
        <v>0</v>
      </c>
      <c r="E51" s="360">
        <v>0</v>
      </c>
      <c r="F51" s="360">
        <v>0</v>
      </c>
      <c r="G51" s="360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  <c r="M51" s="418">
        <v>0</v>
      </c>
      <c r="N51" s="418">
        <v>0</v>
      </c>
      <c r="O51" s="418">
        <v>0</v>
      </c>
      <c r="P51" s="418">
        <v>0</v>
      </c>
      <c r="Q51" s="418">
        <v>0</v>
      </c>
    </row>
    <row r="52" spans="1:17">
      <c r="A52" s="357" t="s">
        <v>118</v>
      </c>
      <c r="B52" s="358" t="s">
        <v>119</v>
      </c>
      <c r="C52" s="359" t="s">
        <v>120</v>
      </c>
      <c r="D52" s="360">
        <v>0</v>
      </c>
      <c r="E52" s="360">
        <v>0</v>
      </c>
      <c r="F52" s="360">
        <v>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418">
        <v>0</v>
      </c>
      <c r="N52" s="418">
        <v>0</v>
      </c>
      <c r="O52" s="418">
        <v>0</v>
      </c>
      <c r="P52" s="418">
        <v>0</v>
      </c>
      <c r="Q52" s="418">
        <v>0</v>
      </c>
    </row>
    <row r="53" spans="1:17">
      <c r="A53" s="357" t="s">
        <v>121</v>
      </c>
      <c r="B53" s="358" t="s">
        <v>122</v>
      </c>
      <c r="C53" s="359" t="s">
        <v>123</v>
      </c>
      <c r="D53" s="360">
        <v>12.33</v>
      </c>
      <c r="E53" s="360">
        <v>0</v>
      </c>
      <c r="F53" s="360">
        <v>1.81</v>
      </c>
      <c r="G53" s="360">
        <v>1</v>
      </c>
      <c r="H53" s="360">
        <v>0.5</v>
      </c>
      <c r="I53" s="360">
        <v>1.76</v>
      </c>
      <c r="J53" s="360">
        <v>0.8</v>
      </c>
      <c r="K53" s="360">
        <v>0.24</v>
      </c>
      <c r="L53" s="360">
        <v>1.04</v>
      </c>
      <c r="M53" s="418">
        <v>1.26</v>
      </c>
      <c r="N53" s="418">
        <v>1.82</v>
      </c>
      <c r="O53" s="418">
        <v>0.87</v>
      </c>
      <c r="P53" s="418">
        <v>1.01</v>
      </c>
      <c r="Q53" s="418">
        <v>0.22</v>
      </c>
    </row>
    <row r="54" spans="1:17">
      <c r="A54" s="357" t="s">
        <v>124</v>
      </c>
      <c r="B54" s="358" t="s">
        <v>125</v>
      </c>
      <c r="C54" s="359" t="s">
        <v>126</v>
      </c>
      <c r="D54" s="360">
        <v>1.35</v>
      </c>
      <c r="E54" s="360">
        <v>1.35</v>
      </c>
      <c r="F54" s="360">
        <v>0</v>
      </c>
      <c r="G54" s="360">
        <v>0</v>
      </c>
      <c r="H54" s="360">
        <v>0</v>
      </c>
      <c r="I54" s="360">
        <v>0</v>
      </c>
      <c r="J54" s="360">
        <v>0</v>
      </c>
      <c r="K54" s="360">
        <v>0</v>
      </c>
      <c r="L54" s="360">
        <v>0</v>
      </c>
      <c r="M54" s="418">
        <v>0</v>
      </c>
      <c r="N54" s="418">
        <v>0</v>
      </c>
      <c r="O54" s="418">
        <v>0</v>
      </c>
      <c r="P54" s="418">
        <v>0</v>
      </c>
      <c r="Q54" s="418">
        <v>0</v>
      </c>
    </row>
    <row r="55" spans="1:17">
      <c r="A55" s="357" t="s">
        <v>127</v>
      </c>
      <c r="B55" s="358" t="s">
        <v>128</v>
      </c>
      <c r="C55" s="359" t="s">
        <v>129</v>
      </c>
      <c r="D55" s="360">
        <v>0</v>
      </c>
      <c r="E55" s="360">
        <v>0</v>
      </c>
      <c r="F55" s="360">
        <v>0</v>
      </c>
      <c r="G55" s="360">
        <v>0</v>
      </c>
      <c r="H55" s="360">
        <v>0</v>
      </c>
      <c r="I55" s="360">
        <v>0</v>
      </c>
      <c r="J55" s="360">
        <v>0</v>
      </c>
      <c r="K55" s="360">
        <v>0</v>
      </c>
      <c r="L55" s="360">
        <v>0</v>
      </c>
      <c r="M55" s="418">
        <v>0</v>
      </c>
      <c r="N55" s="418">
        <v>0</v>
      </c>
      <c r="O55" s="418">
        <v>0</v>
      </c>
      <c r="P55" s="418">
        <v>0</v>
      </c>
      <c r="Q55" s="418">
        <v>0</v>
      </c>
    </row>
    <row r="56" spans="1:17">
      <c r="A56" s="357" t="s">
        <v>130</v>
      </c>
      <c r="B56" s="358" t="s">
        <v>131</v>
      </c>
      <c r="C56" s="359" t="s">
        <v>132</v>
      </c>
      <c r="D56" s="360">
        <v>0</v>
      </c>
      <c r="E56" s="360">
        <v>0</v>
      </c>
      <c r="F56" s="360">
        <v>0</v>
      </c>
      <c r="G56" s="360">
        <v>0</v>
      </c>
      <c r="H56" s="360">
        <v>0</v>
      </c>
      <c r="I56" s="360">
        <v>0</v>
      </c>
      <c r="J56" s="360">
        <v>0</v>
      </c>
      <c r="K56" s="360">
        <v>0</v>
      </c>
      <c r="L56" s="360">
        <v>0</v>
      </c>
      <c r="M56" s="418">
        <v>0</v>
      </c>
      <c r="N56" s="418">
        <v>0</v>
      </c>
      <c r="O56" s="418">
        <v>0</v>
      </c>
      <c r="P56" s="418">
        <v>0</v>
      </c>
      <c r="Q56" s="418">
        <v>0</v>
      </c>
    </row>
    <row r="57" spans="1:17">
      <c r="A57" s="357" t="s">
        <v>133</v>
      </c>
      <c r="B57" s="358" t="s">
        <v>134</v>
      </c>
      <c r="C57" s="359" t="s">
        <v>135</v>
      </c>
      <c r="D57" s="360">
        <v>0</v>
      </c>
      <c r="E57" s="360">
        <v>0</v>
      </c>
      <c r="F57" s="360">
        <v>0</v>
      </c>
      <c r="G57" s="360">
        <v>0</v>
      </c>
      <c r="H57" s="360">
        <v>0</v>
      </c>
      <c r="I57" s="360">
        <v>0</v>
      </c>
      <c r="J57" s="360">
        <v>0</v>
      </c>
      <c r="K57" s="360">
        <v>0</v>
      </c>
      <c r="L57" s="360">
        <v>0</v>
      </c>
      <c r="M57" s="418">
        <v>0</v>
      </c>
      <c r="N57" s="418">
        <v>0</v>
      </c>
      <c r="O57" s="418">
        <v>0</v>
      </c>
      <c r="P57" s="418">
        <v>0</v>
      </c>
      <c r="Q57" s="418">
        <v>0</v>
      </c>
    </row>
    <row r="58" spans="1:17">
      <c r="A58" s="357" t="s">
        <v>136</v>
      </c>
      <c r="B58" s="358" t="s">
        <v>185</v>
      </c>
      <c r="C58" s="359" t="s">
        <v>138</v>
      </c>
      <c r="D58" s="360">
        <v>0</v>
      </c>
      <c r="E58" s="360">
        <v>0</v>
      </c>
      <c r="F58" s="360">
        <v>0</v>
      </c>
      <c r="G58" s="360">
        <v>0</v>
      </c>
      <c r="H58" s="360">
        <v>0</v>
      </c>
      <c r="I58" s="360">
        <v>0</v>
      </c>
      <c r="J58" s="360">
        <v>0</v>
      </c>
      <c r="K58" s="360">
        <v>0</v>
      </c>
      <c r="L58" s="360">
        <v>0</v>
      </c>
      <c r="M58" s="418">
        <v>0</v>
      </c>
      <c r="N58" s="418">
        <v>0</v>
      </c>
      <c r="O58" s="418">
        <v>0</v>
      </c>
      <c r="P58" s="418">
        <v>0</v>
      </c>
      <c r="Q58" s="418">
        <v>0</v>
      </c>
    </row>
    <row r="59" spans="1:17">
      <c r="A59" s="357" t="s">
        <v>139</v>
      </c>
      <c r="B59" s="365" t="s">
        <v>140</v>
      </c>
      <c r="C59" s="359" t="s">
        <v>141</v>
      </c>
      <c r="D59" s="360">
        <v>10.33</v>
      </c>
      <c r="E59" s="360">
        <v>0</v>
      </c>
      <c r="F59" s="360">
        <v>0.5</v>
      </c>
      <c r="G59" s="360">
        <v>0</v>
      </c>
      <c r="H59" s="360">
        <v>6.5</v>
      </c>
      <c r="I59" s="360">
        <v>0.01</v>
      </c>
      <c r="J59" s="360">
        <v>0</v>
      </c>
      <c r="K59" s="360">
        <v>0</v>
      </c>
      <c r="L59" s="360">
        <v>0.1</v>
      </c>
      <c r="M59" s="418">
        <v>2.71</v>
      </c>
      <c r="N59" s="418">
        <v>0</v>
      </c>
      <c r="O59" s="418">
        <v>0.01</v>
      </c>
      <c r="P59" s="418">
        <v>0.5</v>
      </c>
      <c r="Q59" s="418">
        <v>0</v>
      </c>
    </row>
    <row r="60" spans="1:17">
      <c r="A60" s="357" t="s">
        <v>142</v>
      </c>
      <c r="B60" s="365" t="s">
        <v>143</v>
      </c>
      <c r="C60" s="359" t="s">
        <v>144</v>
      </c>
      <c r="D60" s="360">
        <v>0</v>
      </c>
      <c r="E60" s="360">
        <v>0</v>
      </c>
      <c r="F60" s="360">
        <v>0</v>
      </c>
      <c r="G60" s="360">
        <v>0</v>
      </c>
      <c r="H60" s="360">
        <v>0</v>
      </c>
      <c r="I60" s="360">
        <v>0</v>
      </c>
      <c r="J60" s="360">
        <v>0</v>
      </c>
      <c r="K60" s="360">
        <v>0</v>
      </c>
      <c r="L60" s="360">
        <v>0</v>
      </c>
      <c r="M60" s="418">
        <v>0</v>
      </c>
      <c r="N60" s="418">
        <v>0</v>
      </c>
      <c r="O60" s="418">
        <v>0</v>
      </c>
      <c r="P60" s="418">
        <v>0</v>
      </c>
      <c r="Q60" s="418">
        <v>0</v>
      </c>
    </row>
    <row r="61" spans="1:17">
      <c r="A61" s="411" t="s">
        <v>145</v>
      </c>
      <c r="B61" s="412" t="s">
        <v>146</v>
      </c>
      <c r="C61" s="413" t="s">
        <v>147</v>
      </c>
      <c r="D61" s="382">
        <v>0</v>
      </c>
      <c r="E61" s="382">
        <v>0</v>
      </c>
      <c r="F61" s="382">
        <v>0</v>
      </c>
      <c r="G61" s="382">
        <v>0</v>
      </c>
      <c r="H61" s="382">
        <v>0</v>
      </c>
      <c r="I61" s="382">
        <v>0</v>
      </c>
      <c r="J61" s="382">
        <v>0</v>
      </c>
      <c r="K61" s="382">
        <v>0</v>
      </c>
      <c r="L61" s="382">
        <v>0</v>
      </c>
      <c r="M61" s="419">
        <v>0</v>
      </c>
      <c r="N61" s="419">
        <v>0</v>
      </c>
      <c r="O61" s="419">
        <v>0</v>
      </c>
      <c r="P61" s="419">
        <v>0</v>
      </c>
      <c r="Q61" s="419">
        <v>0</v>
      </c>
    </row>
  </sheetData>
  <mergeCells count="9">
    <mergeCell ref="A1:Q1"/>
    <mergeCell ref="A2:Q2"/>
    <mergeCell ref="A3:Q3"/>
    <mergeCell ref="A4:Q4"/>
    <mergeCell ref="E5:Q5"/>
    <mergeCell ref="A5:A6"/>
    <mergeCell ref="B5:B6"/>
    <mergeCell ref="C5:C6"/>
    <mergeCell ref="D5:D6"/>
  </mergeCells>
  <printOptions horizontalCentered="1"/>
  <pageMargins left="0.275590551181102" right="0.275590551181102" top="0.78740157480315" bottom="0.393700787401575" header="0" footer="0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S61"/>
  <sheetViews>
    <sheetView workbookViewId="0">
      <selection activeCell="D23" sqref="D23"/>
    </sheetView>
  </sheetViews>
  <sheetFormatPr defaultColWidth="9" defaultRowHeight="12.75"/>
  <cols>
    <col min="1" max="1" width="3.5" style="329" customWidth="1"/>
    <col min="2" max="2" width="28.1" style="330" customWidth="1"/>
    <col min="3" max="3" width="4.7" style="329" customWidth="1"/>
    <col min="4" max="4" width="9.1" style="331" customWidth="1"/>
    <col min="5" max="5" width="7.4" style="331" customWidth="1"/>
    <col min="6" max="6" width="7.1" style="331" customWidth="1"/>
    <col min="7" max="8" width="8.7" style="332" customWidth="1"/>
    <col min="9" max="9" width="7.5" style="333" customWidth="1"/>
    <col min="10" max="10" width="8.2" style="329" customWidth="1"/>
    <col min="11" max="11" width="8" style="329" customWidth="1"/>
    <col min="12" max="12" width="7.9" style="329" customWidth="1"/>
    <col min="13" max="13" width="7.2" style="329" customWidth="1"/>
    <col min="14" max="14" width="7.7" style="329" customWidth="1"/>
    <col min="15" max="15" width="7.6" style="329" customWidth="1"/>
    <col min="16" max="16" width="7.5" style="329" customWidth="1"/>
    <col min="17" max="17" width="8" style="329" customWidth="1"/>
    <col min="18" max="18" width="6" style="334" customWidth="1"/>
    <col min="19" max="19" width="6.2" style="334" customWidth="1"/>
    <col min="20" max="20" width="9" style="334" customWidth="1"/>
    <col min="21" max="16384" width="9" style="334"/>
  </cols>
  <sheetData>
    <row r="1" s="326" customFormat="1" ht="15" spans="1:19">
      <c r="A1" s="335" t="s">
        <v>286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83"/>
      <c r="S1" s="383"/>
    </row>
    <row r="2" s="326" customFormat="1" ht="15" spans="1:19">
      <c r="A2" s="336" t="s">
        <v>287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83"/>
      <c r="S2" s="383"/>
    </row>
    <row r="3" s="326" customFormat="1" ht="15" spans="1:19">
      <c r="A3" s="337" t="s">
        <v>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83"/>
      <c r="S3" s="383"/>
    </row>
    <row r="4" spans="1:19">
      <c r="A4" s="338"/>
      <c r="B4" s="339"/>
      <c r="C4" s="338"/>
      <c r="D4" s="338"/>
      <c r="E4" s="340" t="s">
        <v>153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84"/>
      <c r="S4" s="384"/>
    </row>
    <row r="5" s="327" customFormat="1" spans="1:17">
      <c r="A5" s="341" t="s">
        <v>154</v>
      </c>
      <c r="B5" s="342" t="s">
        <v>3</v>
      </c>
      <c r="C5" s="343" t="s">
        <v>4</v>
      </c>
      <c r="D5" s="342" t="s">
        <v>155</v>
      </c>
      <c r="E5" s="343" t="s">
        <v>200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="327" customFormat="1" spans="1:17">
      <c r="A6" s="341"/>
      <c r="B6" s="342"/>
      <c r="C6" s="343"/>
      <c r="D6" s="342"/>
      <c r="E6" s="344" t="s">
        <v>157</v>
      </c>
      <c r="F6" s="344" t="s">
        <v>158</v>
      </c>
      <c r="G6" s="344" t="s">
        <v>159</v>
      </c>
      <c r="H6" s="344" t="s">
        <v>160</v>
      </c>
      <c r="I6" s="344" t="s">
        <v>161</v>
      </c>
      <c r="J6" s="344" t="s">
        <v>162</v>
      </c>
      <c r="K6" s="344" t="s">
        <v>163</v>
      </c>
      <c r="L6" s="344" t="s">
        <v>164</v>
      </c>
      <c r="M6" s="344" t="s">
        <v>165</v>
      </c>
      <c r="N6" s="344" t="s">
        <v>166</v>
      </c>
      <c r="O6" s="344" t="s">
        <v>167</v>
      </c>
      <c r="P6" s="344" t="s">
        <v>168</v>
      </c>
      <c r="Q6" s="344" t="s">
        <v>169</v>
      </c>
    </row>
    <row r="7" s="328" customFormat="1" ht="11.25" spans="1:17">
      <c r="A7" s="642" t="s">
        <v>10</v>
      </c>
      <c r="B7" s="640" t="s">
        <v>11</v>
      </c>
      <c r="C7" s="643" t="s">
        <v>12</v>
      </c>
      <c r="D7" s="643" t="s">
        <v>170</v>
      </c>
      <c r="E7" s="644" t="s">
        <v>14</v>
      </c>
      <c r="F7" s="644" t="s">
        <v>171</v>
      </c>
      <c r="G7" s="348" t="s">
        <v>172</v>
      </c>
      <c r="H7" s="348" t="s">
        <v>173</v>
      </c>
      <c r="I7" s="348" t="s">
        <v>174</v>
      </c>
      <c r="J7" s="348" t="s">
        <v>175</v>
      </c>
      <c r="K7" s="348" t="s">
        <v>176</v>
      </c>
      <c r="L7" s="348" t="s">
        <v>177</v>
      </c>
      <c r="M7" s="348" t="s">
        <v>178</v>
      </c>
      <c r="N7" s="348" t="s">
        <v>179</v>
      </c>
      <c r="O7" s="644" t="s">
        <v>180</v>
      </c>
      <c r="P7" s="644" t="s">
        <v>181</v>
      </c>
      <c r="Q7" s="644" t="s">
        <v>201</v>
      </c>
    </row>
    <row r="8" spans="1:17">
      <c r="A8" s="349"/>
      <c r="B8" s="350" t="s">
        <v>285</v>
      </c>
      <c r="C8" s="351"/>
      <c r="D8" s="352">
        <v>0</v>
      </c>
      <c r="E8" s="352">
        <v>0</v>
      </c>
      <c r="F8" s="352">
        <v>0</v>
      </c>
      <c r="G8" s="352">
        <v>0</v>
      </c>
      <c r="H8" s="352">
        <v>0</v>
      </c>
      <c r="I8" s="352">
        <v>0</v>
      </c>
      <c r="J8" s="352">
        <v>0</v>
      </c>
      <c r="K8" s="352">
        <v>0</v>
      </c>
      <c r="L8" s="352">
        <v>0</v>
      </c>
      <c r="M8" s="352">
        <v>0</v>
      </c>
      <c r="N8" s="352">
        <v>0</v>
      </c>
      <c r="O8" s="352">
        <v>0</v>
      </c>
      <c r="P8" s="352">
        <v>0</v>
      </c>
      <c r="Q8" s="352">
        <v>0</v>
      </c>
    </row>
    <row r="9" spans="1:17">
      <c r="A9" s="349">
        <v>1</v>
      </c>
      <c r="B9" s="350" t="s">
        <v>17</v>
      </c>
      <c r="C9" s="351" t="s">
        <v>18</v>
      </c>
      <c r="D9" s="352">
        <v>0</v>
      </c>
      <c r="E9" s="352">
        <v>0</v>
      </c>
      <c r="F9" s="352">
        <v>0</v>
      </c>
      <c r="G9" s="352">
        <v>0</v>
      </c>
      <c r="H9" s="352">
        <v>0</v>
      </c>
      <c r="I9" s="352">
        <v>0</v>
      </c>
      <c r="J9" s="352">
        <v>0</v>
      </c>
      <c r="K9" s="352">
        <v>0</v>
      </c>
      <c r="L9" s="352">
        <v>0</v>
      </c>
      <c r="M9" s="352">
        <v>0</v>
      </c>
      <c r="N9" s="352">
        <v>0</v>
      </c>
      <c r="O9" s="352">
        <v>0</v>
      </c>
      <c r="P9" s="352">
        <v>0</v>
      </c>
      <c r="Q9" s="352">
        <v>0</v>
      </c>
    </row>
    <row r="10" spans="1:17">
      <c r="A10" s="353"/>
      <c r="B10" s="354" t="s">
        <v>19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</row>
    <row r="11" spans="1:17">
      <c r="A11" s="357" t="s">
        <v>20</v>
      </c>
      <c r="B11" s="358" t="s">
        <v>21</v>
      </c>
      <c r="C11" s="359" t="s">
        <v>22</v>
      </c>
      <c r="D11" s="360">
        <v>0</v>
      </c>
      <c r="E11" s="360">
        <v>0</v>
      </c>
      <c r="F11" s="360">
        <v>0</v>
      </c>
      <c r="G11" s="360">
        <v>0</v>
      </c>
      <c r="H11" s="360">
        <v>0</v>
      </c>
      <c r="I11" s="360">
        <v>0</v>
      </c>
      <c r="J11" s="360">
        <v>0</v>
      </c>
      <c r="K11" s="360">
        <v>0</v>
      </c>
      <c r="L11" s="360">
        <v>0</v>
      </c>
      <c r="M11" s="360">
        <v>0</v>
      </c>
      <c r="N11" s="360">
        <v>0</v>
      </c>
      <c r="O11" s="360">
        <v>0</v>
      </c>
      <c r="P11" s="360">
        <v>0</v>
      </c>
      <c r="Q11" s="360">
        <v>0</v>
      </c>
    </row>
    <row r="12" spans="1:17">
      <c r="A12" s="361"/>
      <c r="B12" s="651" t="s">
        <v>23</v>
      </c>
      <c r="C12" s="363" t="s">
        <v>24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</row>
    <row r="13" spans="1:17">
      <c r="A13" s="357" t="s">
        <v>25</v>
      </c>
      <c r="B13" s="365" t="s">
        <v>26</v>
      </c>
      <c r="C13" s="359" t="s">
        <v>27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0</v>
      </c>
    </row>
    <row r="14" spans="1:17">
      <c r="A14" s="357" t="s">
        <v>28</v>
      </c>
      <c r="B14" s="358" t="s">
        <v>29</v>
      </c>
      <c r="C14" s="359" t="s">
        <v>30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0</v>
      </c>
      <c r="K14" s="360">
        <v>0</v>
      </c>
      <c r="L14" s="360">
        <v>0</v>
      </c>
      <c r="M14" s="360">
        <v>0</v>
      </c>
      <c r="N14" s="360">
        <v>0</v>
      </c>
      <c r="O14" s="360">
        <v>0</v>
      </c>
      <c r="P14" s="360">
        <v>0</v>
      </c>
      <c r="Q14" s="360">
        <v>0</v>
      </c>
    </row>
    <row r="15" spans="1:17">
      <c r="A15" s="357" t="s">
        <v>31</v>
      </c>
      <c r="B15" s="366" t="s">
        <v>32</v>
      </c>
      <c r="C15" s="359" t="s">
        <v>33</v>
      </c>
      <c r="D15" s="360">
        <v>0</v>
      </c>
      <c r="E15" s="360">
        <v>0</v>
      </c>
      <c r="F15" s="360">
        <v>0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v>0</v>
      </c>
      <c r="O15" s="360">
        <v>0</v>
      </c>
      <c r="P15" s="360">
        <v>0</v>
      </c>
      <c r="Q15" s="360">
        <v>0</v>
      </c>
    </row>
    <row r="16" spans="1:17">
      <c r="A16" s="357" t="s">
        <v>34</v>
      </c>
      <c r="B16" s="366" t="s">
        <v>35</v>
      </c>
      <c r="C16" s="359" t="s">
        <v>182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0">
        <v>0</v>
      </c>
      <c r="N16" s="360">
        <v>0</v>
      </c>
      <c r="O16" s="360">
        <v>0</v>
      </c>
      <c r="P16" s="360">
        <v>0</v>
      </c>
      <c r="Q16" s="360">
        <v>0</v>
      </c>
    </row>
    <row r="17" spans="1:17">
      <c r="A17" s="357" t="s">
        <v>36</v>
      </c>
      <c r="B17" s="366" t="s">
        <v>37</v>
      </c>
      <c r="C17" s="359" t="s">
        <v>38</v>
      </c>
      <c r="D17" s="360">
        <v>0</v>
      </c>
      <c r="E17" s="360">
        <v>0</v>
      </c>
      <c r="F17" s="360">
        <v>0</v>
      </c>
      <c r="G17" s="360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v>0</v>
      </c>
      <c r="O17" s="360">
        <v>0</v>
      </c>
      <c r="P17" s="360">
        <v>0</v>
      </c>
      <c r="Q17" s="360">
        <v>0</v>
      </c>
    </row>
    <row r="18" ht="25.5" spans="1:17">
      <c r="A18" s="357"/>
      <c r="B18" s="651" t="s">
        <v>39</v>
      </c>
      <c r="C18" s="363" t="s">
        <v>40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v>0</v>
      </c>
      <c r="O18" s="360">
        <v>0</v>
      </c>
      <c r="P18" s="360">
        <v>0</v>
      </c>
      <c r="Q18" s="360">
        <v>0</v>
      </c>
    </row>
    <row r="19" spans="1:17">
      <c r="A19" s="357" t="s">
        <v>41</v>
      </c>
      <c r="B19" s="358" t="s">
        <v>42</v>
      </c>
      <c r="C19" s="359" t="s">
        <v>43</v>
      </c>
      <c r="D19" s="360">
        <v>0</v>
      </c>
      <c r="E19" s="360">
        <v>0</v>
      </c>
      <c r="F19" s="360">
        <v>0</v>
      </c>
      <c r="G19" s="360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  <c r="M19" s="360">
        <v>0</v>
      </c>
      <c r="N19" s="360">
        <v>0</v>
      </c>
      <c r="O19" s="360">
        <v>0</v>
      </c>
      <c r="P19" s="360">
        <v>0</v>
      </c>
      <c r="Q19" s="360">
        <v>0</v>
      </c>
    </row>
    <row r="20" spans="1:17">
      <c r="A20" s="357" t="s">
        <v>44</v>
      </c>
      <c r="B20" s="358" t="s">
        <v>45</v>
      </c>
      <c r="C20" s="359" t="s">
        <v>46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v>0</v>
      </c>
      <c r="O20" s="360">
        <v>0</v>
      </c>
      <c r="P20" s="360">
        <v>0</v>
      </c>
      <c r="Q20" s="360">
        <v>0</v>
      </c>
    </row>
    <row r="21" spans="1:17">
      <c r="A21" s="357" t="s">
        <v>47</v>
      </c>
      <c r="B21" s="365" t="s">
        <v>48</v>
      </c>
      <c r="C21" s="359" t="s">
        <v>49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0</v>
      </c>
      <c r="O21" s="360">
        <v>0</v>
      </c>
      <c r="P21" s="360">
        <v>0</v>
      </c>
      <c r="Q21" s="360">
        <v>0</v>
      </c>
    </row>
    <row r="22" spans="1:17">
      <c r="A22" s="349">
        <v>2</v>
      </c>
      <c r="B22" s="350" t="s">
        <v>50</v>
      </c>
      <c r="C22" s="351" t="s">
        <v>51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</row>
    <row r="23" spans="1:17">
      <c r="A23" s="367"/>
      <c r="B23" s="354" t="s">
        <v>19</v>
      </c>
      <c r="C23" s="368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</row>
    <row r="24" spans="1:17">
      <c r="A24" s="370" t="s">
        <v>52</v>
      </c>
      <c r="B24" s="371" t="s">
        <v>53</v>
      </c>
      <c r="C24" s="372" t="s">
        <v>54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0</v>
      </c>
      <c r="K24" s="360">
        <v>0</v>
      </c>
      <c r="L24" s="360">
        <v>0</v>
      </c>
      <c r="M24" s="360">
        <v>0</v>
      </c>
      <c r="N24" s="360">
        <v>0</v>
      </c>
      <c r="O24" s="360">
        <v>0</v>
      </c>
      <c r="P24" s="360">
        <v>0</v>
      </c>
      <c r="Q24" s="360">
        <v>0</v>
      </c>
    </row>
    <row r="25" spans="1:17">
      <c r="A25" s="370" t="s">
        <v>55</v>
      </c>
      <c r="B25" s="371" t="s">
        <v>56</v>
      </c>
      <c r="C25" s="372" t="s">
        <v>57</v>
      </c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60">
        <v>0</v>
      </c>
      <c r="J25" s="360">
        <v>0</v>
      </c>
      <c r="K25" s="360">
        <v>0</v>
      </c>
      <c r="L25" s="360">
        <v>0</v>
      </c>
      <c r="M25" s="360">
        <v>0</v>
      </c>
      <c r="N25" s="360">
        <v>0</v>
      </c>
      <c r="O25" s="360">
        <v>0</v>
      </c>
      <c r="P25" s="360">
        <v>0</v>
      </c>
      <c r="Q25" s="360">
        <v>0</v>
      </c>
    </row>
    <row r="26" spans="1:17">
      <c r="A26" s="370" t="s">
        <v>58</v>
      </c>
      <c r="B26" s="373" t="s">
        <v>59</v>
      </c>
      <c r="C26" s="372" t="s">
        <v>60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v>0</v>
      </c>
      <c r="O26" s="360">
        <v>0</v>
      </c>
      <c r="P26" s="360">
        <v>0</v>
      </c>
      <c r="Q26" s="360">
        <v>0</v>
      </c>
    </row>
    <row r="27" spans="1:17">
      <c r="A27" s="370" t="s">
        <v>61</v>
      </c>
      <c r="B27" s="373" t="s">
        <v>62</v>
      </c>
      <c r="C27" s="372" t="s">
        <v>63</v>
      </c>
      <c r="D27" s="360">
        <v>0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v>0</v>
      </c>
      <c r="O27" s="360">
        <v>0</v>
      </c>
      <c r="P27" s="360">
        <v>0</v>
      </c>
      <c r="Q27" s="360">
        <v>0</v>
      </c>
    </row>
    <row r="28" spans="1:17">
      <c r="A28" s="370" t="s">
        <v>64</v>
      </c>
      <c r="B28" s="373" t="s">
        <v>65</v>
      </c>
      <c r="C28" s="372" t="s">
        <v>66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v>0</v>
      </c>
      <c r="O28" s="360">
        <v>0</v>
      </c>
      <c r="P28" s="360">
        <v>0</v>
      </c>
      <c r="Q28" s="360">
        <v>0</v>
      </c>
    </row>
    <row r="29" spans="1:17">
      <c r="A29" s="370" t="s">
        <v>67</v>
      </c>
      <c r="B29" s="373" t="s">
        <v>68</v>
      </c>
      <c r="C29" s="372" t="s">
        <v>69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0</v>
      </c>
      <c r="O29" s="360">
        <v>0</v>
      </c>
      <c r="P29" s="360">
        <v>0</v>
      </c>
      <c r="Q29" s="360">
        <v>0</v>
      </c>
    </row>
    <row r="30" spans="1:17">
      <c r="A30" s="370" t="s">
        <v>70</v>
      </c>
      <c r="B30" s="373" t="s">
        <v>71</v>
      </c>
      <c r="C30" s="372" t="s">
        <v>72</v>
      </c>
      <c r="D30" s="360">
        <v>0</v>
      </c>
      <c r="E30" s="360">
        <v>0</v>
      </c>
      <c r="F30" s="360">
        <v>0</v>
      </c>
      <c r="G30" s="360">
        <v>0</v>
      </c>
      <c r="H30" s="360">
        <v>0</v>
      </c>
      <c r="I30" s="360">
        <v>0</v>
      </c>
      <c r="J30" s="360">
        <v>0</v>
      </c>
      <c r="K30" s="360">
        <v>0</v>
      </c>
      <c r="L30" s="360">
        <v>0</v>
      </c>
      <c r="M30" s="360">
        <v>0</v>
      </c>
      <c r="N30" s="360">
        <v>0</v>
      </c>
      <c r="O30" s="360">
        <v>0</v>
      </c>
      <c r="P30" s="360">
        <v>0</v>
      </c>
      <c r="Q30" s="360">
        <v>0</v>
      </c>
    </row>
    <row r="31" ht="25.5" spans="1:17">
      <c r="A31" s="370" t="s">
        <v>73</v>
      </c>
      <c r="B31" s="373" t="s">
        <v>74</v>
      </c>
      <c r="C31" s="372" t="s">
        <v>75</v>
      </c>
      <c r="D31" s="360">
        <v>0</v>
      </c>
      <c r="E31" s="360">
        <v>0</v>
      </c>
      <c r="F31" s="360">
        <v>0</v>
      </c>
      <c r="G31" s="360">
        <v>0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  <c r="M31" s="360">
        <v>0</v>
      </c>
      <c r="N31" s="360">
        <v>0</v>
      </c>
      <c r="O31" s="360">
        <v>0</v>
      </c>
      <c r="P31" s="360">
        <v>0</v>
      </c>
      <c r="Q31" s="360">
        <v>0</v>
      </c>
    </row>
    <row r="32" spans="1:17">
      <c r="A32" s="370" t="s">
        <v>76</v>
      </c>
      <c r="B32" s="373" t="s">
        <v>183</v>
      </c>
      <c r="C32" s="372" t="s">
        <v>78</v>
      </c>
      <c r="D32" s="360">
        <v>0</v>
      </c>
      <c r="E32" s="360">
        <v>0</v>
      </c>
      <c r="F32" s="360">
        <v>0</v>
      </c>
      <c r="G32" s="360">
        <v>0</v>
      </c>
      <c r="H32" s="360">
        <v>0</v>
      </c>
      <c r="I32" s="360">
        <v>0</v>
      </c>
      <c r="J32" s="360">
        <v>0</v>
      </c>
      <c r="K32" s="360">
        <v>0</v>
      </c>
      <c r="L32" s="360">
        <v>0</v>
      </c>
      <c r="M32" s="360">
        <v>0</v>
      </c>
      <c r="N32" s="360">
        <v>0</v>
      </c>
      <c r="O32" s="360">
        <v>0</v>
      </c>
      <c r="P32" s="360">
        <v>0</v>
      </c>
      <c r="Q32" s="360">
        <v>0</v>
      </c>
    </row>
    <row r="33" spans="1:17">
      <c r="A33" s="374"/>
      <c r="B33" s="375" t="s">
        <v>19</v>
      </c>
      <c r="C33" s="376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</row>
    <row r="34" spans="1:17">
      <c r="A34" s="374" t="s">
        <v>79</v>
      </c>
      <c r="B34" s="375" t="s">
        <v>80</v>
      </c>
      <c r="C34" s="376" t="s">
        <v>81</v>
      </c>
      <c r="D34" s="364">
        <v>0</v>
      </c>
      <c r="E34" s="364">
        <v>0</v>
      </c>
      <c r="F34" s="364">
        <v>0</v>
      </c>
      <c r="G34" s="364">
        <v>0</v>
      </c>
      <c r="H34" s="364">
        <v>0</v>
      </c>
      <c r="I34" s="364">
        <v>0</v>
      </c>
      <c r="J34" s="364">
        <v>0</v>
      </c>
      <c r="K34" s="364">
        <v>0</v>
      </c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</row>
    <row r="35" spans="1:17">
      <c r="A35" s="374" t="s">
        <v>79</v>
      </c>
      <c r="B35" s="375" t="s">
        <v>82</v>
      </c>
      <c r="C35" s="376" t="s">
        <v>83</v>
      </c>
      <c r="D35" s="364">
        <v>0</v>
      </c>
      <c r="E35" s="364">
        <v>0</v>
      </c>
      <c r="F35" s="364">
        <v>0</v>
      </c>
      <c r="G35" s="364">
        <v>0</v>
      </c>
      <c r="H35" s="364">
        <v>0</v>
      </c>
      <c r="I35" s="364">
        <v>0</v>
      </c>
      <c r="J35" s="364">
        <v>0</v>
      </c>
      <c r="K35" s="364">
        <v>0</v>
      </c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</row>
    <row r="36" spans="1:17">
      <c r="A36" s="374" t="s">
        <v>79</v>
      </c>
      <c r="B36" s="375" t="s">
        <v>84</v>
      </c>
      <c r="C36" s="376" t="s">
        <v>85</v>
      </c>
      <c r="D36" s="364">
        <v>0</v>
      </c>
      <c r="E36" s="364">
        <v>0</v>
      </c>
      <c r="F36" s="364">
        <v>0</v>
      </c>
      <c r="G36" s="364">
        <v>0</v>
      </c>
      <c r="H36" s="364">
        <v>0</v>
      </c>
      <c r="I36" s="364">
        <v>0</v>
      </c>
      <c r="J36" s="364">
        <v>0</v>
      </c>
      <c r="K36" s="364">
        <v>0</v>
      </c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</row>
    <row r="37" spans="1:17">
      <c r="A37" s="374" t="s">
        <v>79</v>
      </c>
      <c r="B37" s="375" t="s">
        <v>86</v>
      </c>
      <c r="C37" s="376" t="s">
        <v>87</v>
      </c>
      <c r="D37" s="364">
        <v>0</v>
      </c>
      <c r="E37" s="364">
        <v>0</v>
      </c>
      <c r="F37" s="364">
        <v>0</v>
      </c>
      <c r="G37" s="364">
        <v>0</v>
      </c>
      <c r="H37" s="364">
        <v>0</v>
      </c>
      <c r="I37" s="364">
        <v>0</v>
      </c>
      <c r="J37" s="364">
        <v>0</v>
      </c>
      <c r="K37" s="364">
        <v>0</v>
      </c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</row>
    <row r="38" spans="1:17">
      <c r="A38" s="374" t="s">
        <v>79</v>
      </c>
      <c r="B38" s="375" t="s">
        <v>88</v>
      </c>
      <c r="C38" s="376" t="s">
        <v>89</v>
      </c>
      <c r="D38" s="364">
        <v>0</v>
      </c>
      <c r="E38" s="364">
        <v>0</v>
      </c>
      <c r="F38" s="364">
        <v>0</v>
      </c>
      <c r="G38" s="364">
        <v>0</v>
      </c>
      <c r="H38" s="364">
        <v>0</v>
      </c>
      <c r="I38" s="364">
        <v>0</v>
      </c>
      <c r="J38" s="364">
        <v>0</v>
      </c>
      <c r="K38" s="364">
        <v>0</v>
      </c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</row>
    <row r="39" spans="1:17">
      <c r="A39" s="374" t="s">
        <v>79</v>
      </c>
      <c r="B39" s="375" t="s">
        <v>90</v>
      </c>
      <c r="C39" s="376" t="s">
        <v>91</v>
      </c>
      <c r="D39" s="364">
        <v>0</v>
      </c>
      <c r="E39" s="364">
        <v>0</v>
      </c>
      <c r="F39" s="364">
        <v>0</v>
      </c>
      <c r="G39" s="364">
        <v>0</v>
      </c>
      <c r="H39" s="364">
        <v>0</v>
      </c>
      <c r="I39" s="364">
        <v>0</v>
      </c>
      <c r="J39" s="364">
        <v>0</v>
      </c>
      <c r="K39" s="364">
        <v>0</v>
      </c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</row>
    <row r="40" spans="1:17">
      <c r="A40" s="374" t="s">
        <v>79</v>
      </c>
      <c r="B40" s="375" t="s">
        <v>92</v>
      </c>
      <c r="C40" s="376" t="s">
        <v>93</v>
      </c>
      <c r="D40" s="364">
        <v>0</v>
      </c>
      <c r="E40" s="364">
        <v>0</v>
      </c>
      <c r="F40" s="364">
        <v>0</v>
      </c>
      <c r="G40" s="364">
        <v>0</v>
      </c>
      <c r="H40" s="364">
        <v>0</v>
      </c>
      <c r="I40" s="364">
        <v>0</v>
      </c>
      <c r="J40" s="364">
        <v>0</v>
      </c>
      <c r="K40" s="364">
        <v>0</v>
      </c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</row>
    <row r="41" spans="1:17">
      <c r="A41" s="374" t="s">
        <v>79</v>
      </c>
      <c r="B41" s="375" t="s">
        <v>94</v>
      </c>
      <c r="C41" s="376" t="s">
        <v>95</v>
      </c>
      <c r="D41" s="364">
        <v>0</v>
      </c>
      <c r="E41" s="364">
        <v>0</v>
      </c>
      <c r="F41" s="364">
        <v>0</v>
      </c>
      <c r="G41" s="364">
        <v>0</v>
      </c>
      <c r="H41" s="364">
        <v>0</v>
      </c>
      <c r="I41" s="364">
        <v>0</v>
      </c>
      <c r="J41" s="364">
        <v>0</v>
      </c>
      <c r="K41" s="364">
        <v>0</v>
      </c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</row>
    <row r="42" spans="1:17">
      <c r="A42" s="374" t="s">
        <v>79</v>
      </c>
      <c r="B42" s="375" t="s">
        <v>96</v>
      </c>
      <c r="C42" s="376" t="s">
        <v>97</v>
      </c>
      <c r="D42" s="364">
        <v>0</v>
      </c>
      <c r="E42" s="364">
        <v>0</v>
      </c>
      <c r="F42" s="364">
        <v>0</v>
      </c>
      <c r="G42" s="364">
        <v>0</v>
      </c>
      <c r="H42" s="364">
        <v>0</v>
      </c>
      <c r="I42" s="364">
        <v>0</v>
      </c>
      <c r="J42" s="364">
        <v>0</v>
      </c>
      <c r="K42" s="364">
        <v>0</v>
      </c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</row>
    <row r="43" spans="1:17">
      <c r="A43" s="374" t="s">
        <v>79</v>
      </c>
      <c r="B43" s="375" t="s">
        <v>184</v>
      </c>
      <c r="C43" s="376" t="s">
        <v>99</v>
      </c>
      <c r="D43" s="364">
        <v>0</v>
      </c>
      <c r="E43" s="364">
        <v>0</v>
      </c>
      <c r="F43" s="364">
        <v>0</v>
      </c>
      <c r="G43" s="364">
        <v>0</v>
      </c>
      <c r="H43" s="364">
        <v>0</v>
      </c>
      <c r="I43" s="364">
        <v>0</v>
      </c>
      <c r="J43" s="364">
        <v>0</v>
      </c>
      <c r="K43" s="364">
        <v>0</v>
      </c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</row>
    <row r="44" spans="1:17">
      <c r="A44" s="374" t="s">
        <v>79</v>
      </c>
      <c r="B44" s="375" t="s">
        <v>100</v>
      </c>
      <c r="C44" s="376" t="s">
        <v>101</v>
      </c>
      <c r="D44" s="364">
        <v>0</v>
      </c>
      <c r="E44" s="364">
        <v>0</v>
      </c>
      <c r="F44" s="364">
        <v>0</v>
      </c>
      <c r="G44" s="364">
        <v>0</v>
      </c>
      <c r="H44" s="364">
        <v>0</v>
      </c>
      <c r="I44" s="364">
        <v>0</v>
      </c>
      <c r="J44" s="364">
        <v>0</v>
      </c>
      <c r="K44" s="364">
        <v>0</v>
      </c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</row>
    <row r="45" spans="1:17">
      <c r="A45" s="374" t="s">
        <v>79</v>
      </c>
      <c r="B45" s="375" t="s">
        <v>102</v>
      </c>
      <c r="C45" s="376" t="s">
        <v>103</v>
      </c>
      <c r="D45" s="364">
        <v>0</v>
      </c>
      <c r="E45" s="364">
        <v>0</v>
      </c>
      <c r="F45" s="364">
        <v>0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</row>
    <row r="46" ht="25.5" spans="1:17">
      <c r="A46" s="374" t="s">
        <v>79</v>
      </c>
      <c r="B46" s="375" t="s">
        <v>104</v>
      </c>
      <c r="C46" s="376" t="s">
        <v>105</v>
      </c>
      <c r="D46" s="364">
        <v>0</v>
      </c>
      <c r="E46" s="364">
        <v>0</v>
      </c>
      <c r="F46" s="364">
        <v>0</v>
      </c>
      <c r="G46" s="364">
        <v>0</v>
      </c>
      <c r="H46" s="364">
        <v>0</v>
      </c>
      <c r="I46" s="364">
        <v>0</v>
      </c>
      <c r="J46" s="364">
        <v>0</v>
      </c>
      <c r="K46" s="364">
        <v>0</v>
      </c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</row>
    <row r="47" spans="1:17">
      <c r="A47" s="374" t="s">
        <v>79</v>
      </c>
      <c r="B47" s="375" t="s">
        <v>106</v>
      </c>
      <c r="C47" s="376" t="s">
        <v>107</v>
      </c>
      <c r="D47" s="364">
        <v>0</v>
      </c>
      <c r="E47" s="364">
        <v>0</v>
      </c>
      <c r="F47" s="364">
        <v>0</v>
      </c>
      <c r="G47" s="364">
        <v>0</v>
      </c>
      <c r="H47" s="364">
        <v>0</v>
      </c>
      <c r="I47" s="364">
        <v>0</v>
      </c>
      <c r="J47" s="364">
        <v>0</v>
      </c>
      <c r="K47" s="364">
        <v>0</v>
      </c>
      <c r="L47" s="364">
        <v>0</v>
      </c>
      <c r="M47" s="364">
        <v>0</v>
      </c>
      <c r="N47" s="364">
        <v>0</v>
      </c>
      <c r="O47" s="364">
        <v>0</v>
      </c>
      <c r="P47" s="364">
        <v>0</v>
      </c>
      <c r="Q47" s="364">
        <v>0</v>
      </c>
    </row>
    <row r="48" spans="1:17">
      <c r="A48" s="374" t="s">
        <v>79</v>
      </c>
      <c r="B48" s="377" t="s">
        <v>108</v>
      </c>
      <c r="C48" s="376" t="s">
        <v>109</v>
      </c>
      <c r="D48" s="364">
        <v>0</v>
      </c>
      <c r="E48" s="364">
        <v>0</v>
      </c>
      <c r="F48" s="364">
        <v>0</v>
      </c>
      <c r="G48" s="364">
        <v>0</v>
      </c>
      <c r="H48" s="364">
        <v>0</v>
      </c>
      <c r="I48" s="364">
        <v>0</v>
      </c>
      <c r="J48" s="364">
        <v>0</v>
      </c>
      <c r="K48" s="364">
        <v>0</v>
      </c>
      <c r="L48" s="364">
        <v>0</v>
      </c>
      <c r="M48" s="364">
        <v>0</v>
      </c>
      <c r="N48" s="364">
        <v>0</v>
      </c>
      <c r="O48" s="364">
        <v>0</v>
      </c>
      <c r="P48" s="364">
        <v>0</v>
      </c>
      <c r="Q48" s="364">
        <v>0</v>
      </c>
    </row>
    <row r="49" spans="1:17">
      <c r="A49" s="374" t="s">
        <v>79</v>
      </c>
      <c r="B49" s="377" t="s">
        <v>110</v>
      </c>
      <c r="C49" s="376" t="s">
        <v>111</v>
      </c>
      <c r="D49" s="364">
        <v>0</v>
      </c>
      <c r="E49" s="364">
        <v>0</v>
      </c>
      <c r="F49" s="364">
        <v>0</v>
      </c>
      <c r="G49" s="364">
        <v>0</v>
      </c>
      <c r="H49" s="364">
        <v>0</v>
      </c>
      <c r="I49" s="364">
        <v>0</v>
      </c>
      <c r="J49" s="364">
        <v>0</v>
      </c>
      <c r="K49" s="364">
        <v>0</v>
      </c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</row>
    <row r="50" spans="1:17">
      <c r="A50" s="370" t="s">
        <v>112</v>
      </c>
      <c r="B50" s="373" t="s">
        <v>113</v>
      </c>
      <c r="C50" s="372" t="s">
        <v>114</v>
      </c>
      <c r="D50" s="360">
        <v>0</v>
      </c>
      <c r="E50" s="360">
        <v>0</v>
      </c>
      <c r="F50" s="360">
        <v>0</v>
      </c>
      <c r="G50" s="360">
        <v>0</v>
      </c>
      <c r="H50" s="360">
        <v>0</v>
      </c>
      <c r="I50" s="360">
        <v>0</v>
      </c>
      <c r="J50" s="360">
        <v>0</v>
      </c>
      <c r="K50" s="360">
        <v>0</v>
      </c>
      <c r="L50" s="360">
        <v>0</v>
      </c>
      <c r="M50" s="360">
        <v>0</v>
      </c>
      <c r="N50" s="360">
        <v>0</v>
      </c>
      <c r="O50" s="360">
        <v>0</v>
      </c>
      <c r="P50" s="360">
        <v>0</v>
      </c>
      <c r="Q50" s="360">
        <v>0</v>
      </c>
    </row>
    <row r="51" spans="1:17">
      <c r="A51" s="370" t="s">
        <v>115</v>
      </c>
      <c r="B51" s="373" t="s">
        <v>116</v>
      </c>
      <c r="C51" s="372" t="s">
        <v>117</v>
      </c>
      <c r="D51" s="360">
        <v>0</v>
      </c>
      <c r="E51" s="360">
        <v>0</v>
      </c>
      <c r="F51" s="360">
        <v>0</v>
      </c>
      <c r="G51" s="360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  <c r="M51" s="360">
        <v>0</v>
      </c>
      <c r="N51" s="360">
        <v>0</v>
      </c>
      <c r="O51" s="360">
        <v>0</v>
      </c>
      <c r="P51" s="360">
        <v>0</v>
      </c>
      <c r="Q51" s="360">
        <v>0</v>
      </c>
    </row>
    <row r="52" spans="1:17">
      <c r="A52" s="370" t="s">
        <v>118</v>
      </c>
      <c r="B52" s="373" t="s">
        <v>119</v>
      </c>
      <c r="C52" s="372" t="s">
        <v>120</v>
      </c>
      <c r="D52" s="360">
        <v>0</v>
      </c>
      <c r="E52" s="360">
        <v>0</v>
      </c>
      <c r="F52" s="360">
        <v>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0</v>
      </c>
      <c r="Q52" s="360">
        <v>0</v>
      </c>
    </row>
    <row r="53" spans="1:17">
      <c r="A53" s="370" t="s">
        <v>121</v>
      </c>
      <c r="B53" s="373" t="s">
        <v>122</v>
      </c>
      <c r="C53" s="372" t="s">
        <v>123</v>
      </c>
      <c r="D53" s="360">
        <v>0</v>
      </c>
      <c r="E53" s="360">
        <v>0</v>
      </c>
      <c r="F53" s="360">
        <v>0</v>
      </c>
      <c r="G53" s="360">
        <v>0</v>
      </c>
      <c r="H53" s="360">
        <v>0</v>
      </c>
      <c r="I53" s="360">
        <v>0</v>
      </c>
      <c r="J53" s="360">
        <v>0</v>
      </c>
      <c r="K53" s="360">
        <v>0</v>
      </c>
      <c r="L53" s="360">
        <v>0</v>
      </c>
      <c r="M53" s="360">
        <v>0</v>
      </c>
      <c r="N53" s="360">
        <v>0</v>
      </c>
      <c r="O53" s="360">
        <v>0</v>
      </c>
      <c r="P53" s="360">
        <v>0</v>
      </c>
      <c r="Q53" s="360">
        <v>0</v>
      </c>
    </row>
    <row r="54" spans="1:17">
      <c r="A54" s="370" t="s">
        <v>124</v>
      </c>
      <c r="B54" s="373" t="s">
        <v>125</v>
      </c>
      <c r="C54" s="372" t="s">
        <v>126</v>
      </c>
      <c r="D54" s="360">
        <v>0</v>
      </c>
      <c r="E54" s="360">
        <v>0</v>
      </c>
      <c r="F54" s="360">
        <v>0</v>
      </c>
      <c r="G54" s="360">
        <v>0</v>
      </c>
      <c r="H54" s="360">
        <v>0</v>
      </c>
      <c r="I54" s="360">
        <v>0</v>
      </c>
      <c r="J54" s="360">
        <v>0</v>
      </c>
      <c r="K54" s="360">
        <v>0</v>
      </c>
      <c r="L54" s="360">
        <v>0</v>
      </c>
      <c r="M54" s="360">
        <v>0</v>
      </c>
      <c r="N54" s="360">
        <v>0</v>
      </c>
      <c r="O54" s="360">
        <v>0</v>
      </c>
      <c r="P54" s="360">
        <v>0</v>
      </c>
      <c r="Q54" s="360">
        <v>0</v>
      </c>
    </row>
    <row r="55" spans="1:17">
      <c r="A55" s="370" t="s">
        <v>127</v>
      </c>
      <c r="B55" s="373" t="s">
        <v>128</v>
      </c>
      <c r="C55" s="372" t="s">
        <v>129</v>
      </c>
      <c r="D55" s="360">
        <v>0</v>
      </c>
      <c r="E55" s="360">
        <v>0</v>
      </c>
      <c r="F55" s="360">
        <v>0</v>
      </c>
      <c r="G55" s="360">
        <v>0</v>
      </c>
      <c r="H55" s="360">
        <v>0</v>
      </c>
      <c r="I55" s="360">
        <v>0</v>
      </c>
      <c r="J55" s="360">
        <v>0</v>
      </c>
      <c r="K55" s="360">
        <v>0</v>
      </c>
      <c r="L55" s="360">
        <v>0</v>
      </c>
      <c r="M55" s="360">
        <v>0</v>
      </c>
      <c r="N55" s="360">
        <v>0</v>
      </c>
      <c r="O55" s="360">
        <v>0</v>
      </c>
      <c r="P55" s="360">
        <v>0</v>
      </c>
      <c r="Q55" s="360">
        <v>0</v>
      </c>
    </row>
    <row r="56" ht="25.5" spans="1:17">
      <c r="A56" s="370" t="s">
        <v>130</v>
      </c>
      <c r="B56" s="373" t="s">
        <v>131</v>
      </c>
      <c r="C56" s="372" t="s">
        <v>132</v>
      </c>
      <c r="D56" s="360">
        <v>0</v>
      </c>
      <c r="E56" s="360">
        <v>0</v>
      </c>
      <c r="F56" s="360">
        <v>0</v>
      </c>
      <c r="G56" s="360">
        <v>0</v>
      </c>
      <c r="H56" s="360">
        <v>0</v>
      </c>
      <c r="I56" s="360">
        <v>0</v>
      </c>
      <c r="J56" s="360">
        <v>0</v>
      </c>
      <c r="K56" s="360"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0</v>
      </c>
      <c r="Q56" s="360">
        <v>0</v>
      </c>
    </row>
    <row r="57" spans="1:17">
      <c r="A57" s="370" t="s">
        <v>133</v>
      </c>
      <c r="B57" s="373" t="s">
        <v>134</v>
      </c>
      <c r="C57" s="372" t="s">
        <v>135</v>
      </c>
      <c r="D57" s="360">
        <v>0</v>
      </c>
      <c r="E57" s="360">
        <v>0</v>
      </c>
      <c r="F57" s="360">
        <v>0</v>
      </c>
      <c r="G57" s="360">
        <v>0</v>
      </c>
      <c r="H57" s="360">
        <v>0</v>
      </c>
      <c r="I57" s="360">
        <v>0</v>
      </c>
      <c r="J57" s="360">
        <v>0</v>
      </c>
      <c r="K57" s="360">
        <v>0</v>
      </c>
      <c r="L57" s="360">
        <v>0</v>
      </c>
      <c r="M57" s="360">
        <v>0</v>
      </c>
      <c r="N57" s="360">
        <v>0</v>
      </c>
      <c r="O57" s="360">
        <v>0</v>
      </c>
      <c r="P57" s="360">
        <v>0</v>
      </c>
      <c r="Q57" s="360">
        <v>0</v>
      </c>
    </row>
    <row r="58" spans="1:17">
      <c r="A58" s="370" t="s">
        <v>136</v>
      </c>
      <c r="B58" s="373" t="s">
        <v>185</v>
      </c>
      <c r="C58" s="372" t="s">
        <v>138</v>
      </c>
      <c r="D58" s="360">
        <v>0</v>
      </c>
      <c r="E58" s="360">
        <v>0</v>
      </c>
      <c r="F58" s="360">
        <v>0</v>
      </c>
      <c r="G58" s="360">
        <v>0</v>
      </c>
      <c r="H58" s="360">
        <v>0</v>
      </c>
      <c r="I58" s="360">
        <v>0</v>
      </c>
      <c r="J58" s="360">
        <v>0</v>
      </c>
      <c r="K58" s="360"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</row>
    <row r="59" spans="1:17">
      <c r="A59" s="370" t="s">
        <v>139</v>
      </c>
      <c r="B59" s="378" t="s">
        <v>140</v>
      </c>
      <c r="C59" s="372" t="s">
        <v>141</v>
      </c>
      <c r="D59" s="360">
        <v>0</v>
      </c>
      <c r="E59" s="360">
        <v>0</v>
      </c>
      <c r="F59" s="360">
        <v>0</v>
      </c>
      <c r="G59" s="360">
        <v>0</v>
      </c>
      <c r="H59" s="360">
        <v>0</v>
      </c>
      <c r="I59" s="360">
        <v>0</v>
      </c>
      <c r="J59" s="360">
        <v>0</v>
      </c>
      <c r="K59" s="360">
        <v>0</v>
      </c>
      <c r="L59" s="360">
        <v>0</v>
      </c>
      <c r="M59" s="360">
        <v>0</v>
      </c>
      <c r="N59" s="360">
        <v>0</v>
      </c>
      <c r="O59" s="360">
        <v>0</v>
      </c>
      <c r="P59" s="360">
        <v>0</v>
      </c>
      <c r="Q59" s="360">
        <v>0</v>
      </c>
    </row>
    <row r="60" spans="1:17">
      <c r="A60" s="370" t="s">
        <v>142</v>
      </c>
      <c r="B60" s="378" t="s">
        <v>143</v>
      </c>
      <c r="C60" s="372" t="s">
        <v>144</v>
      </c>
      <c r="D60" s="360">
        <v>0</v>
      </c>
      <c r="E60" s="360">
        <v>0</v>
      </c>
      <c r="F60" s="360">
        <v>0</v>
      </c>
      <c r="G60" s="360">
        <v>0</v>
      </c>
      <c r="H60" s="360">
        <v>0</v>
      </c>
      <c r="I60" s="360">
        <v>0</v>
      </c>
      <c r="J60" s="360">
        <v>0</v>
      </c>
      <c r="K60" s="360">
        <v>0</v>
      </c>
      <c r="L60" s="360">
        <v>0</v>
      </c>
      <c r="M60" s="360">
        <v>0</v>
      </c>
      <c r="N60" s="360">
        <v>0</v>
      </c>
      <c r="O60" s="360">
        <v>0</v>
      </c>
      <c r="P60" s="360">
        <v>0</v>
      </c>
      <c r="Q60" s="360">
        <v>0</v>
      </c>
    </row>
    <row r="61" spans="1:17">
      <c r="A61" s="379" t="s">
        <v>145</v>
      </c>
      <c r="B61" s="380" t="s">
        <v>146</v>
      </c>
      <c r="C61" s="381" t="s">
        <v>147</v>
      </c>
      <c r="D61" s="382">
        <v>0</v>
      </c>
      <c r="E61" s="382">
        <v>0</v>
      </c>
      <c r="F61" s="382">
        <v>0</v>
      </c>
      <c r="G61" s="382">
        <v>0</v>
      </c>
      <c r="H61" s="382">
        <v>0</v>
      </c>
      <c r="I61" s="382">
        <v>0</v>
      </c>
      <c r="J61" s="382">
        <v>0</v>
      </c>
      <c r="K61" s="382">
        <v>0</v>
      </c>
      <c r="L61" s="382">
        <v>0</v>
      </c>
      <c r="M61" s="382">
        <v>0</v>
      </c>
      <c r="N61" s="382">
        <v>0</v>
      </c>
      <c r="O61" s="382">
        <v>0</v>
      </c>
      <c r="P61" s="382">
        <v>0</v>
      </c>
      <c r="Q61" s="382">
        <v>0</v>
      </c>
    </row>
  </sheetData>
  <mergeCells count="9">
    <mergeCell ref="A1:Q1"/>
    <mergeCell ref="A2:Q2"/>
    <mergeCell ref="A3:Q3"/>
    <mergeCell ref="E4:Q4"/>
    <mergeCell ref="E5:Q5"/>
    <mergeCell ref="A5:A6"/>
    <mergeCell ref="B5:B6"/>
    <mergeCell ref="C5:C6"/>
    <mergeCell ref="D5:D6"/>
  </mergeCells>
  <printOptions horizontalCentered="1"/>
  <pageMargins left="0.275590551181102" right="0.275590551181102" top="0.78740157480315" bottom="0.393700787401575" header="0" footer="0"/>
  <pageSetup paperSize="9" scale="8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rgb="FF00B0F0"/>
  </sheetPr>
  <dimension ref="A1:N191"/>
  <sheetViews>
    <sheetView tabSelected="1" topLeftCell="C133" workbookViewId="0">
      <selection activeCell="J134" sqref="J134"/>
    </sheetView>
  </sheetViews>
  <sheetFormatPr defaultColWidth="8.2" defaultRowHeight="12.75"/>
  <cols>
    <col min="1" max="1" width="5.3" style="302" customWidth="1"/>
    <col min="2" max="2" width="40.6" style="303" customWidth="1"/>
    <col min="3" max="3" width="9.9" style="304" customWidth="1"/>
    <col min="4" max="4" width="10.3" style="304" customWidth="1"/>
    <col min="5" max="5" width="8.2" style="304" customWidth="1"/>
    <col min="6" max="6" width="14.1" style="302" customWidth="1"/>
    <col min="7" max="7" width="12.6" style="302" customWidth="1"/>
    <col min="8" max="8" width="17.7" style="303" customWidth="1"/>
    <col min="9" max="9" width="19" style="303" customWidth="1"/>
    <col min="10" max="10" width="32.3" style="303" customWidth="1"/>
    <col min="11" max="256" width="8.2" style="302"/>
    <col min="257" max="257" width="5.8" style="302" customWidth="1"/>
    <col min="258" max="258" width="40.6" style="302" customWidth="1"/>
    <col min="259" max="259" width="9.9" style="302" customWidth="1"/>
    <col min="260" max="260" width="10.3" style="302" customWidth="1"/>
    <col min="261" max="261" width="8.2" style="302"/>
    <col min="262" max="262" width="10.8" style="302" customWidth="1"/>
    <col min="263" max="263" width="12.6" style="302" customWidth="1"/>
    <col min="264" max="264" width="17.7" style="302" customWidth="1"/>
    <col min="265" max="265" width="19" style="302" customWidth="1"/>
    <col min="266" max="266" width="32.3" style="302" customWidth="1"/>
    <col min="267" max="512" width="8.2" style="302"/>
    <col min="513" max="513" width="5.8" style="302" customWidth="1"/>
    <col min="514" max="514" width="40.6" style="302" customWidth="1"/>
    <col min="515" max="515" width="9.9" style="302" customWidth="1"/>
    <col min="516" max="516" width="10.3" style="302" customWidth="1"/>
    <col min="517" max="517" width="8.2" style="302"/>
    <col min="518" max="518" width="10.8" style="302" customWidth="1"/>
    <col min="519" max="519" width="12.6" style="302" customWidth="1"/>
    <col min="520" max="520" width="17.7" style="302" customWidth="1"/>
    <col min="521" max="521" width="19" style="302" customWidth="1"/>
    <col min="522" max="522" width="32.3" style="302" customWidth="1"/>
    <col min="523" max="768" width="8.2" style="302"/>
    <col min="769" max="769" width="5.8" style="302" customWidth="1"/>
    <col min="770" max="770" width="40.6" style="302" customWidth="1"/>
    <col min="771" max="771" width="9.9" style="302" customWidth="1"/>
    <col min="772" max="772" width="10.3" style="302" customWidth="1"/>
    <col min="773" max="773" width="8.2" style="302"/>
    <col min="774" max="774" width="10.8" style="302" customWidth="1"/>
    <col min="775" max="775" width="12.6" style="302" customWidth="1"/>
    <col min="776" max="776" width="17.7" style="302" customWidth="1"/>
    <col min="777" max="777" width="19" style="302" customWidth="1"/>
    <col min="778" max="778" width="32.3" style="302" customWidth="1"/>
    <col min="779" max="1024" width="8.2" style="302"/>
    <col min="1025" max="1025" width="5.8" style="302" customWidth="1"/>
    <col min="1026" max="1026" width="40.6" style="302" customWidth="1"/>
    <col min="1027" max="1027" width="9.9" style="302" customWidth="1"/>
    <col min="1028" max="1028" width="10.3" style="302" customWidth="1"/>
    <col min="1029" max="1029" width="8.2" style="302"/>
    <col min="1030" max="1030" width="10.8" style="302" customWidth="1"/>
    <col min="1031" max="1031" width="12.6" style="302" customWidth="1"/>
    <col min="1032" max="1032" width="17.7" style="302" customWidth="1"/>
    <col min="1033" max="1033" width="19" style="302" customWidth="1"/>
    <col min="1034" max="1034" width="32.3" style="302" customWidth="1"/>
    <col min="1035" max="1280" width="8.2" style="302"/>
    <col min="1281" max="1281" width="5.8" style="302" customWidth="1"/>
    <col min="1282" max="1282" width="40.6" style="302" customWidth="1"/>
    <col min="1283" max="1283" width="9.9" style="302" customWidth="1"/>
    <col min="1284" max="1284" width="10.3" style="302" customWidth="1"/>
    <col min="1285" max="1285" width="8.2" style="302"/>
    <col min="1286" max="1286" width="10.8" style="302" customWidth="1"/>
    <col min="1287" max="1287" width="12.6" style="302" customWidth="1"/>
    <col min="1288" max="1288" width="17.7" style="302" customWidth="1"/>
    <col min="1289" max="1289" width="19" style="302" customWidth="1"/>
    <col min="1290" max="1290" width="32.3" style="302" customWidth="1"/>
    <col min="1291" max="1536" width="8.2" style="302"/>
    <col min="1537" max="1537" width="5.8" style="302" customWidth="1"/>
    <col min="1538" max="1538" width="40.6" style="302" customWidth="1"/>
    <col min="1539" max="1539" width="9.9" style="302" customWidth="1"/>
    <col min="1540" max="1540" width="10.3" style="302" customWidth="1"/>
    <col min="1541" max="1541" width="8.2" style="302"/>
    <col min="1542" max="1542" width="10.8" style="302" customWidth="1"/>
    <col min="1543" max="1543" width="12.6" style="302" customWidth="1"/>
    <col min="1544" max="1544" width="17.7" style="302" customWidth="1"/>
    <col min="1545" max="1545" width="19" style="302" customWidth="1"/>
    <col min="1546" max="1546" width="32.3" style="302" customWidth="1"/>
    <col min="1547" max="1792" width="8.2" style="302"/>
    <col min="1793" max="1793" width="5.8" style="302" customWidth="1"/>
    <col min="1794" max="1794" width="40.6" style="302" customWidth="1"/>
    <col min="1795" max="1795" width="9.9" style="302" customWidth="1"/>
    <col min="1796" max="1796" width="10.3" style="302" customWidth="1"/>
    <col min="1797" max="1797" width="8.2" style="302"/>
    <col min="1798" max="1798" width="10.8" style="302" customWidth="1"/>
    <col min="1799" max="1799" width="12.6" style="302" customWidth="1"/>
    <col min="1800" max="1800" width="17.7" style="302" customWidth="1"/>
    <col min="1801" max="1801" width="19" style="302" customWidth="1"/>
    <col min="1802" max="1802" width="32.3" style="302" customWidth="1"/>
    <col min="1803" max="2048" width="8.2" style="302"/>
    <col min="2049" max="2049" width="5.8" style="302" customWidth="1"/>
    <col min="2050" max="2050" width="40.6" style="302" customWidth="1"/>
    <col min="2051" max="2051" width="9.9" style="302" customWidth="1"/>
    <col min="2052" max="2052" width="10.3" style="302" customWidth="1"/>
    <col min="2053" max="2053" width="8.2" style="302"/>
    <col min="2054" max="2054" width="10.8" style="302" customWidth="1"/>
    <col min="2055" max="2055" width="12.6" style="302" customWidth="1"/>
    <col min="2056" max="2056" width="17.7" style="302" customWidth="1"/>
    <col min="2057" max="2057" width="19" style="302" customWidth="1"/>
    <col min="2058" max="2058" width="32.3" style="302" customWidth="1"/>
    <col min="2059" max="2304" width="8.2" style="302"/>
    <col min="2305" max="2305" width="5.8" style="302" customWidth="1"/>
    <col min="2306" max="2306" width="40.6" style="302" customWidth="1"/>
    <col min="2307" max="2307" width="9.9" style="302" customWidth="1"/>
    <col min="2308" max="2308" width="10.3" style="302" customWidth="1"/>
    <col min="2309" max="2309" width="8.2" style="302"/>
    <col min="2310" max="2310" width="10.8" style="302" customWidth="1"/>
    <col min="2311" max="2311" width="12.6" style="302" customWidth="1"/>
    <col min="2312" max="2312" width="17.7" style="302" customWidth="1"/>
    <col min="2313" max="2313" width="19" style="302" customWidth="1"/>
    <col min="2314" max="2314" width="32.3" style="302" customWidth="1"/>
    <col min="2315" max="2560" width="8.2" style="302"/>
    <col min="2561" max="2561" width="5.8" style="302" customWidth="1"/>
    <col min="2562" max="2562" width="40.6" style="302" customWidth="1"/>
    <col min="2563" max="2563" width="9.9" style="302" customWidth="1"/>
    <col min="2564" max="2564" width="10.3" style="302" customWidth="1"/>
    <col min="2565" max="2565" width="8.2" style="302"/>
    <col min="2566" max="2566" width="10.8" style="302" customWidth="1"/>
    <col min="2567" max="2567" width="12.6" style="302" customWidth="1"/>
    <col min="2568" max="2568" width="17.7" style="302" customWidth="1"/>
    <col min="2569" max="2569" width="19" style="302" customWidth="1"/>
    <col min="2570" max="2570" width="32.3" style="302" customWidth="1"/>
    <col min="2571" max="2816" width="8.2" style="302"/>
    <col min="2817" max="2817" width="5.8" style="302" customWidth="1"/>
    <col min="2818" max="2818" width="40.6" style="302" customWidth="1"/>
    <col min="2819" max="2819" width="9.9" style="302" customWidth="1"/>
    <col min="2820" max="2820" width="10.3" style="302" customWidth="1"/>
    <col min="2821" max="2821" width="8.2" style="302"/>
    <col min="2822" max="2822" width="10.8" style="302" customWidth="1"/>
    <col min="2823" max="2823" width="12.6" style="302" customWidth="1"/>
    <col min="2824" max="2824" width="17.7" style="302" customWidth="1"/>
    <col min="2825" max="2825" width="19" style="302" customWidth="1"/>
    <col min="2826" max="2826" width="32.3" style="302" customWidth="1"/>
    <col min="2827" max="3072" width="8.2" style="302"/>
    <col min="3073" max="3073" width="5.8" style="302" customWidth="1"/>
    <col min="3074" max="3074" width="40.6" style="302" customWidth="1"/>
    <col min="3075" max="3075" width="9.9" style="302" customWidth="1"/>
    <col min="3076" max="3076" width="10.3" style="302" customWidth="1"/>
    <col min="3077" max="3077" width="8.2" style="302"/>
    <col min="3078" max="3078" width="10.8" style="302" customWidth="1"/>
    <col min="3079" max="3079" width="12.6" style="302" customWidth="1"/>
    <col min="3080" max="3080" width="17.7" style="302" customWidth="1"/>
    <col min="3081" max="3081" width="19" style="302" customWidth="1"/>
    <col min="3082" max="3082" width="32.3" style="302" customWidth="1"/>
    <col min="3083" max="3328" width="8.2" style="302"/>
    <col min="3329" max="3329" width="5.8" style="302" customWidth="1"/>
    <col min="3330" max="3330" width="40.6" style="302" customWidth="1"/>
    <col min="3331" max="3331" width="9.9" style="302" customWidth="1"/>
    <col min="3332" max="3332" width="10.3" style="302" customWidth="1"/>
    <col min="3333" max="3333" width="8.2" style="302"/>
    <col min="3334" max="3334" width="10.8" style="302" customWidth="1"/>
    <col min="3335" max="3335" width="12.6" style="302" customWidth="1"/>
    <col min="3336" max="3336" width="17.7" style="302" customWidth="1"/>
    <col min="3337" max="3337" width="19" style="302" customWidth="1"/>
    <col min="3338" max="3338" width="32.3" style="302" customWidth="1"/>
    <col min="3339" max="3584" width="8.2" style="302"/>
    <col min="3585" max="3585" width="5.8" style="302" customWidth="1"/>
    <col min="3586" max="3586" width="40.6" style="302" customWidth="1"/>
    <col min="3587" max="3587" width="9.9" style="302" customWidth="1"/>
    <col min="3588" max="3588" width="10.3" style="302" customWidth="1"/>
    <col min="3589" max="3589" width="8.2" style="302"/>
    <col min="3590" max="3590" width="10.8" style="302" customWidth="1"/>
    <col min="3591" max="3591" width="12.6" style="302" customWidth="1"/>
    <col min="3592" max="3592" width="17.7" style="302" customWidth="1"/>
    <col min="3593" max="3593" width="19" style="302" customWidth="1"/>
    <col min="3594" max="3594" width="32.3" style="302" customWidth="1"/>
    <col min="3595" max="3840" width="8.2" style="302"/>
    <col min="3841" max="3841" width="5.8" style="302" customWidth="1"/>
    <col min="3842" max="3842" width="40.6" style="302" customWidth="1"/>
    <col min="3843" max="3843" width="9.9" style="302" customWidth="1"/>
    <col min="3844" max="3844" width="10.3" style="302" customWidth="1"/>
    <col min="3845" max="3845" width="8.2" style="302"/>
    <col min="3846" max="3846" width="10.8" style="302" customWidth="1"/>
    <col min="3847" max="3847" width="12.6" style="302" customWidth="1"/>
    <col min="3848" max="3848" width="17.7" style="302" customWidth="1"/>
    <col min="3849" max="3849" width="19" style="302" customWidth="1"/>
    <col min="3850" max="3850" width="32.3" style="302" customWidth="1"/>
    <col min="3851" max="4096" width="8.2" style="302"/>
    <col min="4097" max="4097" width="5.8" style="302" customWidth="1"/>
    <col min="4098" max="4098" width="40.6" style="302" customWidth="1"/>
    <col min="4099" max="4099" width="9.9" style="302" customWidth="1"/>
    <col min="4100" max="4100" width="10.3" style="302" customWidth="1"/>
    <col min="4101" max="4101" width="8.2" style="302"/>
    <col min="4102" max="4102" width="10.8" style="302" customWidth="1"/>
    <col min="4103" max="4103" width="12.6" style="302" customWidth="1"/>
    <col min="4104" max="4104" width="17.7" style="302" customWidth="1"/>
    <col min="4105" max="4105" width="19" style="302" customWidth="1"/>
    <col min="4106" max="4106" width="32.3" style="302" customWidth="1"/>
    <col min="4107" max="4352" width="8.2" style="302"/>
    <col min="4353" max="4353" width="5.8" style="302" customWidth="1"/>
    <col min="4354" max="4354" width="40.6" style="302" customWidth="1"/>
    <col min="4355" max="4355" width="9.9" style="302" customWidth="1"/>
    <col min="4356" max="4356" width="10.3" style="302" customWidth="1"/>
    <col min="4357" max="4357" width="8.2" style="302"/>
    <col min="4358" max="4358" width="10.8" style="302" customWidth="1"/>
    <col min="4359" max="4359" width="12.6" style="302" customWidth="1"/>
    <col min="4360" max="4360" width="17.7" style="302" customWidth="1"/>
    <col min="4361" max="4361" width="19" style="302" customWidth="1"/>
    <col min="4362" max="4362" width="32.3" style="302" customWidth="1"/>
    <col min="4363" max="4608" width="8.2" style="302"/>
    <col min="4609" max="4609" width="5.8" style="302" customWidth="1"/>
    <col min="4610" max="4610" width="40.6" style="302" customWidth="1"/>
    <col min="4611" max="4611" width="9.9" style="302" customWidth="1"/>
    <col min="4612" max="4612" width="10.3" style="302" customWidth="1"/>
    <col min="4613" max="4613" width="8.2" style="302"/>
    <col min="4614" max="4614" width="10.8" style="302" customWidth="1"/>
    <col min="4615" max="4615" width="12.6" style="302" customWidth="1"/>
    <col min="4616" max="4616" width="17.7" style="302" customWidth="1"/>
    <col min="4617" max="4617" width="19" style="302" customWidth="1"/>
    <col min="4618" max="4618" width="32.3" style="302" customWidth="1"/>
    <col min="4619" max="4864" width="8.2" style="302"/>
    <col min="4865" max="4865" width="5.8" style="302" customWidth="1"/>
    <col min="4866" max="4866" width="40.6" style="302" customWidth="1"/>
    <col min="4867" max="4867" width="9.9" style="302" customWidth="1"/>
    <col min="4868" max="4868" width="10.3" style="302" customWidth="1"/>
    <col min="4869" max="4869" width="8.2" style="302"/>
    <col min="4870" max="4870" width="10.8" style="302" customWidth="1"/>
    <col min="4871" max="4871" width="12.6" style="302" customWidth="1"/>
    <col min="4872" max="4872" width="17.7" style="302" customWidth="1"/>
    <col min="4873" max="4873" width="19" style="302" customWidth="1"/>
    <col min="4874" max="4874" width="32.3" style="302" customWidth="1"/>
    <col min="4875" max="5120" width="8.2" style="302"/>
    <col min="5121" max="5121" width="5.8" style="302" customWidth="1"/>
    <col min="5122" max="5122" width="40.6" style="302" customWidth="1"/>
    <col min="5123" max="5123" width="9.9" style="302" customWidth="1"/>
    <col min="5124" max="5124" width="10.3" style="302" customWidth="1"/>
    <col min="5125" max="5125" width="8.2" style="302"/>
    <col min="5126" max="5126" width="10.8" style="302" customWidth="1"/>
    <col min="5127" max="5127" width="12.6" style="302" customWidth="1"/>
    <col min="5128" max="5128" width="17.7" style="302" customWidth="1"/>
    <col min="5129" max="5129" width="19" style="302" customWidth="1"/>
    <col min="5130" max="5130" width="32.3" style="302" customWidth="1"/>
    <col min="5131" max="5376" width="8.2" style="302"/>
    <col min="5377" max="5377" width="5.8" style="302" customWidth="1"/>
    <col min="5378" max="5378" width="40.6" style="302" customWidth="1"/>
    <col min="5379" max="5379" width="9.9" style="302" customWidth="1"/>
    <col min="5380" max="5380" width="10.3" style="302" customWidth="1"/>
    <col min="5381" max="5381" width="8.2" style="302"/>
    <col min="5382" max="5382" width="10.8" style="302" customWidth="1"/>
    <col min="5383" max="5383" width="12.6" style="302" customWidth="1"/>
    <col min="5384" max="5384" width="17.7" style="302" customWidth="1"/>
    <col min="5385" max="5385" width="19" style="302" customWidth="1"/>
    <col min="5386" max="5386" width="32.3" style="302" customWidth="1"/>
    <col min="5387" max="5632" width="8.2" style="302"/>
    <col min="5633" max="5633" width="5.8" style="302" customWidth="1"/>
    <col min="5634" max="5634" width="40.6" style="302" customWidth="1"/>
    <col min="5635" max="5635" width="9.9" style="302" customWidth="1"/>
    <col min="5636" max="5636" width="10.3" style="302" customWidth="1"/>
    <col min="5637" max="5637" width="8.2" style="302"/>
    <col min="5638" max="5638" width="10.8" style="302" customWidth="1"/>
    <col min="5639" max="5639" width="12.6" style="302" customWidth="1"/>
    <col min="5640" max="5640" width="17.7" style="302" customWidth="1"/>
    <col min="5641" max="5641" width="19" style="302" customWidth="1"/>
    <col min="5642" max="5642" width="32.3" style="302" customWidth="1"/>
    <col min="5643" max="5888" width="8.2" style="302"/>
    <col min="5889" max="5889" width="5.8" style="302" customWidth="1"/>
    <col min="5890" max="5890" width="40.6" style="302" customWidth="1"/>
    <col min="5891" max="5891" width="9.9" style="302" customWidth="1"/>
    <col min="5892" max="5892" width="10.3" style="302" customWidth="1"/>
    <col min="5893" max="5893" width="8.2" style="302"/>
    <col min="5894" max="5894" width="10.8" style="302" customWidth="1"/>
    <col min="5895" max="5895" width="12.6" style="302" customWidth="1"/>
    <col min="5896" max="5896" width="17.7" style="302" customWidth="1"/>
    <col min="5897" max="5897" width="19" style="302" customWidth="1"/>
    <col min="5898" max="5898" width="32.3" style="302" customWidth="1"/>
    <col min="5899" max="6144" width="8.2" style="302"/>
    <col min="6145" max="6145" width="5.8" style="302" customWidth="1"/>
    <col min="6146" max="6146" width="40.6" style="302" customWidth="1"/>
    <col min="6147" max="6147" width="9.9" style="302" customWidth="1"/>
    <col min="6148" max="6148" width="10.3" style="302" customWidth="1"/>
    <col min="6149" max="6149" width="8.2" style="302"/>
    <col min="6150" max="6150" width="10.8" style="302" customWidth="1"/>
    <col min="6151" max="6151" width="12.6" style="302" customWidth="1"/>
    <col min="6152" max="6152" width="17.7" style="302" customWidth="1"/>
    <col min="6153" max="6153" width="19" style="302" customWidth="1"/>
    <col min="6154" max="6154" width="32.3" style="302" customWidth="1"/>
    <col min="6155" max="6400" width="8.2" style="302"/>
    <col min="6401" max="6401" width="5.8" style="302" customWidth="1"/>
    <col min="6402" max="6402" width="40.6" style="302" customWidth="1"/>
    <col min="6403" max="6403" width="9.9" style="302" customWidth="1"/>
    <col min="6404" max="6404" width="10.3" style="302" customWidth="1"/>
    <col min="6405" max="6405" width="8.2" style="302"/>
    <col min="6406" max="6406" width="10.8" style="302" customWidth="1"/>
    <col min="6407" max="6407" width="12.6" style="302" customWidth="1"/>
    <col min="6408" max="6408" width="17.7" style="302" customWidth="1"/>
    <col min="6409" max="6409" width="19" style="302" customWidth="1"/>
    <col min="6410" max="6410" width="32.3" style="302" customWidth="1"/>
    <col min="6411" max="6656" width="8.2" style="302"/>
    <col min="6657" max="6657" width="5.8" style="302" customWidth="1"/>
    <col min="6658" max="6658" width="40.6" style="302" customWidth="1"/>
    <col min="6659" max="6659" width="9.9" style="302" customWidth="1"/>
    <col min="6660" max="6660" width="10.3" style="302" customWidth="1"/>
    <col min="6661" max="6661" width="8.2" style="302"/>
    <col min="6662" max="6662" width="10.8" style="302" customWidth="1"/>
    <col min="6663" max="6663" width="12.6" style="302" customWidth="1"/>
    <col min="6664" max="6664" width="17.7" style="302" customWidth="1"/>
    <col min="6665" max="6665" width="19" style="302" customWidth="1"/>
    <col min="6666" max="6666" width="32.3" style="302" customWidth="1"/>
    <col min="6667" max="6912" width="8.2" style="302"/>
    <col min="6913" max="6913" width="5.8" style="302" customWidth="1"/>
    <col min="6914" max="6914" width="40.6" style="302" customWidth="1"/>
    <col min="6915" max="6915" width="9.9" style="302" customWidth="1"/>
    <col min="6916" max="6916" width="10.3" style="302" customWidth="1"/>
    <col min="6917" max="6917" width="8.2" style="302"/>
    <col min="6918" max="6918" width="10.8" style="302" customWidth="1"/>
    <col min="6919" max="6919" width="12.6" style="302" customWidth="1"/>
    <col min="6920" max="6920" width="17.7" style="302" customWidth="1"/>
    <col min="6921" max="6921" width="19" style="302" customWidth="1"/>
    <col min="6922" max="6922" width="32.3" style="302" customWidth="1"/>
    <col min="6923" max="7168" width="8.2" style="302"/>
    <col min="7169" max="7169" width="5.8" style="302" customWidth="1"/>
    <col min="7170" max="7170" width="40.6" style="302" customWidth="1"/>
    <col min="7171" max="7171" width="9.9" style="302" customWidth="1"/>
    <col min="7172" max="7172" width="10.3" style="302" customWidth="1"/>
    <col min="7173" max="7173" width="8.2" style="302"/>
    <col min="7174" max="7174" width="10.8" style="302" customWidth="1"/>
    <col min="7175" max="7175" width="12.6" style="302" customWidth="1"/>
    <col min="7176" max="7176" width="17.7" style="302" customWidth="1"/>
    <col min="7177" max="7177" width="19" style="302" customWidth="1"/>
    <col min="7178" max="7178" width="32.3" style="302" customWidth="1"/>
    <col min="7179" max="7424" width="8.2" style="302"/>
    <col min="7425" max="7425" width="5.8" style="302" customWidth="1"/>
    <col min="7426" max="7426" width="40.6" style="302" customWidth="1"/>
    <col min="7427" max="7427" width="9.9" style="302" customWidth="1"/>
    <col min="7428" max="7428" width="10.3" style="302" customWidth="1"/>
    <col min="7429" max="7429" width="8.2" style="302"/>
    <col min="7430" max="7430" width="10.8" style="302" customWidth="1"/>
    <col min="7431" max="7431" width="12.6" style="302" customWidth="1"/>
    <col min="7432" max="7432" width="17.7" style="302" customWidth="1"/>
    <col min="7433" max="7433" width="19" style="302" customWidth="1"/>
    <col min="7434" max="7434" width="32.3" style="302" customWidth="1"/>
    <col min="7435" max="7680" width="8.2" style="302"/>
    <col min="7681" max="7681" width="5.8" style="302" customWidth="1"/>
    <col min="7682" max="7682" width="40.6" style="302" customWidth="1"/>
    <col min="7683" max="7683" width="9.9" style="302" customWidth="1"/>
    <col min="7684" max="7684" width="10.3" style="302" customWidth="1"/>
    <col min="7685" max="7685" width="8.2" style="302"/>
    <col min="7686" max="7686" width="10.8" style="302" customWidth="1"/>
    <col min="7687" max="7687" width="12.6" style="302" customWidth="1"/>
    <col min="7688" max="7688" width="17.7" style="302" customWidth="1"/>
    <col min="7689" max="7689" width="19" style="302" customWidth="1"/>
    <col min="7690" max="7690" width="32.3" style="302" customWidth="1"/>
    <col min="7691" max="7936" width="8.2" style="302"/>
    <col min="7937" max="7937" width="5.8" style="302" customWidth="1"/>
    <col min="7938" max="7938" width="40.6" style="302" customWidth="1"/>
    <col min="7939" max="7939" width="9.9" style="302" customWidth="1"/>
    <col min="7940" max="7940" width="10.3" style="302" customWidth="1"/>
    <col min="7941" max="7941" width="8.2" style="302"/>
    <col min="7942" max="7942" width="10.8" style="302" customWidth="1"/>
    <col min="7943" max="7943" width="12.6" style="302" customWidth="1"/>
    <col min="7944" max="7944" width="17.7" style="302" customWidth="1"/>
    <col min="7945" max="7945" width="19" style="302" customWidth="1"/>
    <col min="7946" max="7946" width="32.3" style="302" customWidth="1"/>
    <col min="7947" max="8192" width="8.2" style="302"/>
    <col min="8193" max="8193" width="5.8" style="302" customWidth="1"/>
    <col min="8194" max="8194" width="40.6" style="302" customWidth="1"/>
    <col min="8195" max="8195" width="9.9" style="302" customWidth="1"/>
    <col min="8196" max="8196" width="10.3" style="302" customWidth="1"/>
    <col min="8197" max="8197" width="8.2" style="302"/>
    <col min="8198" max="8198" width="10.8" style="302" customWidth="1"/>
    <col min="8199" max="8199" width="12.6" style="302" customWidth="1"/>
    <col min="8200" max="8200" width="17.7" style="302" customWidth="1"/>
    <col min="8201" max="8201" width="19" style="302" customWidth="1"/>
    <col min="8202" max="8202" width="32.3" style="302" customWidth="1"/>
    <col min="8203" max="8448" width="8.2" style="302"/>
    <col min="8449" max="8449" width="5.8" style="302" customWidth="1"/>
    <col min="8450" max="8450" width="40.6" style="302" customWidth="1"/>
    <col min="8451" max="8451" width="9.9" style="302" customWidth="1"/>
    <col min="8452" max="8452" width="10.3" style="302" customWidth="1"/>
    <col min="8453" max="8453" width="8.2" style="302"/>
    <col min="8454" max="8454" width="10.8" style="302" customWidth="1"/>
    <col min="8455" max="8455" width="12.6" style="302" customWidth="1"/>
    <col min="8456" max="8456" width="17.7" style="302" customWidth="1"/>
    <col min="8457" max="8457" width="19" style="302" customWidth="1"/>
    <col min="8458" max="8458" width="32.3" style="302" customWidth="1"/>
    <col min="8459" max="8704" width="8.2" style="302"/>
    <col min="8705" max="8705" width="5.8" style="302" customWidth="1"/>
    <col min="8706" max="8706" width="40.6" style="302" customWidth="1"/>
    <col min="8707" max="8707" width="9.9" style="302" customWidth="1"/>
    <col min="8708" max="8708" width="10.3" style="302" customWidth="1"/>
    <col min="8709" max="8709" width="8.2" style="302"/>
    <col min="8710" max="8710" width="10.8" style="302" customWidth="1"/>
    <col min="8711" max="8711" width="12.6" style="302" customWidth="1"/>
    <col min="8712" max="8712" width="17.7" style="302" customWidth="1"/>
    <col min="8713" max="8713" width="19" style="302" customWidth="1"/>
    <col min="8714" max="8714" width="32.3" style="302" customWidth="1"/>
    <col min="8715" max="8960" width="8.2" style="302"/>
    <col min="8961" max="8961" width="5.8" style="302" customWidth="1"/>
    <col min="8962" max="8962" width="40.6" style="302" customWidth="1"/>
    <col min="8963" max="8963" width="9.9" style="302" customWidth="1"/>
    <col min="8964" max="8964" width="10.3" style="302" customWidth="1"/>
    <col min="8965" max="8965" width="8.2" style="302"/>
    <col min="8966" max="8966" width="10.8" style="302" customWidth="1"/>
    <col min="8967" max="8967" width="12.6" style="302" customWidth="1"/>
    <col min="8968" max="8968" width="17.7" style="302" customWidth="1"/>
    <col min="8969" max="8969" width="19" style="302" customWidth="1"/>
    <col min="8970" max="8970" width="32.3" style="302" customWidth="1"/>
    <col min="8971" max="9216" width="8.2" style="302"/>
    <col min="9217" max="9217" width="5.8" style="302" customWidth="1"/>
    <col min="9218" max="9218" width="40.6" style="302" customWidth="1"/>
    <col min="9219" max="9219" width="9.9" style="302" customWidth="1"/>
    <col min="9220" max="9220" width="10.3" style="302" customWidth="1"/>
    <col min="9221" max="9221" width="8.2" style="302"/>
    <col min="9222" max="9222" width="10.8" style="302" customWidth="1"/>
    <col min="9223" max="9223" width="12.6" style="302" customWidth="1"/>
    <col min="9224" max="9224" width="17.7" style="302" customWidth="1"/>
    <col min="9225" max="9225" width="19" style="302" customWidth="1"/>
    <col min="9226" max="9226" width="32.3" style="302" customWidth="1"/>
    <col min="9227" max="9472" width="8.2" style="302"/>
    <col min="9473" max="9473" width="5.8" style="302" customWidth="1"/>
    <col min="9474" max="9474" width="40.6" style="302" customWidth="1"/>
    <col min="9475" max="9475" width="9.9" style="302" customWidth="1"/>
    <col min="9476" max="9476" width="10.3" style="302" customWidth="1"/>
    <col min="9477" max="9477" width="8.2" style="302"/>
    <col min="9478" max="9478" width="10.8" style="302" customWidth="1"/>
    <col min="9479" max="9479" width="12.6" style="302" customWidth="1"/>
    <col min="9480" max="9480" width="17.7" style="302" customWidth="1"/>
    <col min="9481" max="9481" width="19" style="302" customWidth="1"/>
    <col min="9482" max="9482" width="32.3" style="302" customWidth="1"/>
    <col min="9483" max="9728" width="8.2" style="302"/>
    <col min="9729" max="9729" width="5.8" style="302" customWidth="1"/>
    <col min="9730" max="9730" width="40.6" style="302" customWidth="1"/>
    <col min="9731" max="9731" width="9.9" style="302" customWidth="1"/>
    <col min="9732" max="9732" width="10.3" style="302" customWidth="1"/>
    <col min="9733" max="9733" width="8.2" style="302"/>
    <col min="9734" max="9734" width="10.8" style="302" customWidth="1"/>
    <col min="9735" max="9735" width="12.6" style="302" customWidth="1"/>
    <col min="9736" max="9736" width="17.7" style="302" customWidth="1"/>
    <col min="9737" max="9737" width="19" style="302" customWidth="1"/>
    <col min="9738" max="9738" width="32.3" style="302" customWidth="1"/>
    <col min="9739" max="9984" width="8.2" style="302"/>
    <col min="9985" max="9985" width="5.8" style="302" customWidth="1"/>
    <col min="9986" max="9986" width="40.6" style="302" customWidth="1"/>
    <col min="9987" max="9987" width="9.9" style="302" customWidth="1"/>
    <col min="9988" max="9988" width="10.3" style="302" customWidth="1"/>
    <col min="9989" max="9989" width="8.2" style="302"/>
    <col min="9990" max="9990" width="10.8" style="302" customWidth="1"/>
    <col min="9991" max="9991" width="12.6" style="302" customWidth="1"/>
    <col min="9992" max="9992" width="17.7" style="302" customWidth="1"/>
    <col min="9993" max="9993" width="19" style="302" customWidth="1"/>
    <col min="9994" max="9994" width="32.3" style="302" customWidth="1"/>
    <col min="9995" max="10240" width="8.2" style="302"/>
    <col min="10241" max="10241" width="5.8" style="302" customWidth="1"/>
    <col min="10242" max="10242" width="40.6" style="302" customWidth="1"/>
    <col min="10243" max="10243" width="9.9" style="302" customWidth="1"/>
    <col min="10244" max="10244" width="10.3" style="302" customWidth="1"/>
    <col min="10245" max="10245" width="8.2" style="302"/>
    <col min="10246" max="10246" width="10.8" style="302" customWidth="1"/>
    <col min="10247" max="10247" width="12.6" style="302" customWidth="1"/>
    <col min="10248" max="10248" width="17.7" style="302" customWidth="1"/>
    <col min="10249" max="10249" width="19" style="302" customWidth="1"/>
    <col min="10250" max="10250" width="32.3" style="302" customWidth="1"/>
    <col min="10251" max="10496" width="8.2" style="302"/>
    <col min="10497" max="10497" width="5.8" style="302" customWidth="1"/>
    <col min="10498" max="10498" width="40.6" style="302" customWidth="1"/>
    <col min="10499" max="10499" width="9.9" style="302" customWidth="1"/>
    <col min="10500" max="10500" width="10.3" style="302" customWidth="1"/>
    <col min="10501" max="10501" width="8.2" style="302"/>
    <col min="10502" max="10502" width="10.8" style="302" customWidth="1"/>
    <col min="10503" max="10503" width="12.6" style="302" customWidth="1"/>
    <col min="10504" max="10504" width="17.7" style="302" customWidth="1"/>
    <col min="10505" max="10505" width="19" style="302" customWidth="1"/>
    <col min="10506" max="10506" width="32.3" style="302" customWidth="1"/>
    <col min="10507" max="10752" width="8.2" style="302"/>
    <col min="10753" max="10753" width="5.8" style="302" customWidth="1"/>
    <col min="10754" max="10754" width="40.6" style="302" customWidth="1"/>
    <col min="10755" max="10755" width="9.9" style="302" customWidth="1"/>
    <col min="10756" max="10756" width="10.3" style="302" customWidth="1"/>
    <col min="10757" max="10757" width="8.2" style="302"/>
    <col min="10758" max="10758" width="10.8" style="302" customWidth="1"/>
    <col min="10759" max="10759" width="12.6" style="302" customWidth="1"/>
    <col min="10760" max="10760" width="17.7" style="302" customWidth="1"/>
    <col min="10761" max="10761" width="19" style="302" customWidth="1"/>
    <col min="10762" max="10762" width="32.3" style="302" customWidth="1"/>
    <col min="10763" max="11008" width="8.2" style="302"/>
    <col min="11009" max="11009" width="5.8" style="302" customWidth="1"/>
    <col min="11010" max="11010" width="40.6" style="302" customWidth="1"/>
    <col min="11011" max="11011" width="9.9" style="302" customWidth="1"/>
    <col min="11012" max="11012" width="10.3" style="302" customWidth="1"/>
    <col min="11013" max="11013" width="8.2" style="302"/>
    <col min="11014" max="11014" width="10.8" style="302" customWidth="1"/>
    <col min="11015" max="11015" width="12.6" style="302" customWidth="1"/>
    <col min="11016" max="11016" width="17.7" style="302" customWidth="1"/>
    <col min="11017" max="11017" width="19" style="302" customWidth="1"/>
    <col min="11018" max="11018" width="32.3" style="302" customWidth="1"/>
    <col min="11019" max="11264" width="8.2" style="302"/>
    <col min="11265" max="11265" width="5.8" style="302" customWidth="1"/>
    <col min="11266" max="11266" width="40.6" style="302" customWidth="1"/>
    <col min="11267" max="11267" width="9.9" style="302" customWidth="1"/>
    <col min="11268" max="11268" width="10.3" style="302" customWidth="1"/>
    <col min="11269" max="11269" width="8.2" style="302"/>
    <col min="11270" max="11270" width="10.8" style="302" customWidth="1"/>
    <col min="11271" max="11271" width="12.6" style="302" customWidth="1"/>
    <col min="11272" max="11272" width="17.7" style="302" customWidth="1"/>
    <col min="11273" max="11273" width="19" style="302" customWidth="1"/>
    <col min="11274" max="11274" width="32.3" style="302" customWidth="1"/>
    <col min="11275" max="11520" width="8.2" style="302"/>
    <col min="11521" max="11521" width="5.8" style="302" customWidth="1"/>
    <col min="11522" max="11522" width="40.6" style="302" customWidth="1"/>
    <col min="11523" max="11523" width="9.9" style="302" customWidth="1"/>
    <col min="11524" max="11524" width="10.3" style="302" customWidth="1"/>
    <col min="11525" max="11525" width="8.2" style="302"/>
    <col min="11526" max="11526" width="10.8" style="302" customWidth="1"/>
    <col min="11527" max="11527" width="12.6" style="302" customWidth="1"/>
    <col min="11528" max="11528" width="17.7" style="302" customWidth="1"/>
    <col min="11529" max="11529" width="19" style="302" customWidth="1"/>
    <col min="11530" max="11530" width="32.3" style="302" customWidth="1"/>
    <col min="11531" max="11776" width="8.2" style="302"/>
    <col min="11777" max="11777" width="5.8" style="302" customWidth="1"/>
    <col min="11778" max="11778" width="40.6" style="302" customWidth="1"/>
    <col min="11779" max="11779" width="9.9" style="302" customWidth="1"/>
    <col min="11780" max="11780" width="10.3" style="302" customWidth="1"/>
    <col min="11781" max="11781" width="8.2" style="302"/>
    <col min="11782" max="11782" width="10.8" style="302" customWidth="1"/>
    <col min="11783" max="11783" width="12.6" style="302" customWidth="1"/>
    <col min="11784" max="11784" width="17.7" style="302" customWidth="1"/>
    <col min="11785" max="11785" width="19" style="302" customWidth="1"/>
    <col min="11786" max="11786" width="32.3" style="302" customWidth="1"/>
    <col min="11787" max="12032" width="8.2" style="302"/>
    <col min="12033" max="12033" width="5.8" style="302" customWidth="1"/>
    <col min="12034" max="12034" width="40.6" style="302" customWidth="1"/>
    <col min="12035" max="12035" width="9.9" style="302" customWidth="1"/>
    <col min="12036" max="12036" width="10.3" style="302" customWidth="1"/>
    <col min="12037" max="12037" width="8.2" style="302"/>
    <col min="12038" max="12038" width="10.8" style="302" customWidth="1"/>
    <col min="12039" max="12039" width="12.6" style="302" customWidth="1"/>
    <col min="12040" max="12040" width="17.7" style="302" customWidth="1"/>
    <col min="12041" max="12041" width="19" style="302" customWidth="1"/>
    <col min="12042" max="12042" width="32.3" style="302" customWidth="1"/>
    <col min="12043" max="12288" width="8.2" style="302"/>
    <col min="12289" max="12289" width="5.8" style="302" customWidth="1"/>
    <col min="12290" max="12290" width="40.6" style="302" customWidth="1"/>
    <col min="12291" max="12291" width="9.9" style="302" customWidth="1"/>
    <col min="12292" max="12292" width="10.3" style="302" customWidth="1"/>
    <col min="12293" max="12293" width="8.2" style="302"/>
    <col min="12294" max="12294" width="10.8" style="302" customWidth="1"/>
    <col min="12295" max="12295" width="12.6" style="302" customWidth="1"/>
    <col min="12296" max="12296" width="17.7" style="302" customWidth="1"/>
    <col min="12297" max="12297" width="19" style="302" customWidth="1"/>
    <col min="12298" max="12298" width="32.3" style="302" customWidth="1"/>
    <col min="12299" max="12544" width="8.2" style="302"/>
    <col min="12545" max="12545" width="5.8" style="302" customWidth="1"/>
    <col min="12546" max="12546" width="40.6" style="302" customWidth="1"/>
    <col min="12547" max="12547" width="9.9" style="302" customWidth="1"/>
    <col min="12548" max="12548" width="10.3" style="302" customWidth="1"/>
    <col min="12549" max="12549" width="8.2" style="302"/>
    <col min="12550" max="12550" width="10.8" style="302" customWidth="1"/>
    <col min="12551" max="12551" width="12.6" style="302" customWidth="1"/>
    <col min="12552" max="12552" width="17.7" style="302" customWidth="1"/>
    <col min="12553" max="12553" width="19" style="302" customWidth="1"/>
    <col min="12554" max="12554" width="32.3" style="302" customWidth="1"/>
    <col min="12555" max="12800" width="8.2" style="302"/>
    <col min="12801" max="12801" width="5.8" style="302" customWidth="1"/>
    <col min="12802" max="12802" width="40.6" style="302" customWidth="1"/>
    <col min="12803" max="12803" width="9.9" style="302" customWidth="1"/>
    <col min="12804" max="12804" width="10.3" style="302" customWidth="1"/>
    <col min="12805" max="12805" width="8.2" style="302"/>
    <col min="12806" max="12806" width="10.8" style="302" customWidth="1"/>
    <col min="12807" max="12807" width="12.6" style="302" customWidth="1"/>
    <col min="12808" max="12808" width="17.7" style="302" customWidth="1"/>
    <col min="12809" max="12809" width="19" style="302" customWidth="1"/>
    <col min="12810" max="12810" width="32.3" style="302" customWidth="1"/>
    <col min="12811" max="13056" width="8.2" style="302"/>
    <col min="13057" max="13057" width="5.8" style="302" customWidth="1"/>
    <col min="13058" max="13058" width="40.6" style="302" customWidth="1"/>
    <col min="13059" max="13059" width="9.9" style="302" customWidth="1"/>
    <col min="13060" max="13060" width="10.3" style="302" customWidth="1"/>
    <col min="13061" max="13061" width="8.2" style="302"/>
    <col min="13062" max="13062" width="10.8" style="302" customWidth="1"/>
    <col min="13063" max="13063" width="12.6" style="302" customWidth="1"/>
    <col min="13064" max="13064" width="17.7" style="302" customWidth="1"/>
    <col min="13065" max="13065" width="19" style="302" customWidth="1"/>
    <col min="13066" max="13066" width="32.3" style="302" customWidth="1"/>
    <col min="13067" max="13312" width="8.2" style="302"/>
    <col min="13313" max="13313" width="5.8" style="302" customWidth="1"/>
    <col min="13314" max="13314" width="40.6" style="302" customWidth="1"/>
    <col min="13315" max="13315" width="9.9" style="302" customWidth="1"/>
    <col min="13316" max="13316" width="10.3" style="302" customWidth="1"/>
    <col min="13317" max="13317" width="8.2" style="302"/>
    <col min="13318" max="13318" width="10.8" style="302" customWidth="1"/>
    <col min="13319" max="13319" width="12.6" style="302" customWidth="1"/>
    <col min="13320" max="13320" width="17.7" style="302" customWidth="1"/>
    <col min="13321" max="13321" width="19" style="302" customWidth="1"/>
    <col min="13322" max="13322" width="32.3" style="302" customWidth="1"/>
    <col min="13323" max="13568" width="8.2" style="302"/>
    <col min="13569" max="13569" width="5.8" style="302" customWidth="1"/>
    <col min="13570" max="13570" width="40.6" style="302" customWidth="1"/>
    <col min="13571" max="13571" width="9.9" style="302" customWidth="1"/>
    <col min="13572" max="13572" width="10.3" style="302" customWidth="1"/>
    <col min="13573" max="13573" width="8.2" style="302"/>
    <col min="13574" max="13574" width="10.8" style="302" customWidth="1"/>
    <col min="13575" max="13575" width="12.6" style="302" customWidth="1"/>
    <col min="13576" max="13576" width="17.7" style="302" customWidth="1"/>
    <col min="13577" max="13577" width="19" style="302" customWidth="1"/>
    <col min="13578" max="13578" width="32.3" style="302" customWidth="1"/>
    <col min="13579" max="13824" width="8.2" style="302"/>
    <col min="13825" max="13825" width="5.8" style="302" customWidth="1"/>
    <col min="13826" max="13826" width="40.6" style="302" customWidth="1"/>
    <col min="13827" max="13827" width="9.9" style="302" customWidth="1"/>
    <col min="13828" max="13828" width="10.3" style="302" customWidth="1"/>
    <col min="13829" max="13829" width="8.2" style="302"/>
    <col min="13830" max="13830" width="10.8" style="302" customWidth="1"/>
    <col min="13831" max="13831" width="12.6" style="302" customWidth="1"/>
    <col min="13832" max="13832" width="17.7" style="302" customWidth="1"/>
    <col min="13833" max="13833" width="19" style="302" customWidth="1"/>
    <col min="13834" max="13834" width="32.3" style="302" customWidth="1"/>
    <col min="13835" max="14080" width="8.2" style="302"/>
    <col min="14081" max="14081" width="5.8" style="302" customWidth="1"/>
    <col min="14082" max="14082" width="40.6" style="302" customWidth="1"/>
    <col min="14083" max="14083" width="9.9" style="302" customWidth="1"/>
    <col min="14084" max="14084" width="10.3" style="302" customWidth="1"/>
    <col min="14085" max="14085" width="8.2" style="302"/>
    <col min="14086" max="14086" width="10.8" style="302" customWidth="1"/>
    <col min="14087" max="14087" width="12.6" style="302" customWidth="1"/>
    <col min="14088" max="14088" width="17.7" style="302" customWidth="1"/>
    <col min="14089" max="14089" width="19" style="302" customWidth="1"/>
    <col min="14090" max="14090" width="32.3" style="302" customWidth="1"/>
    <col min="14091" max="14336" width="8.2" style="302"/>
    <col min="14337" max="14337" width="5.8" style="302" customWidth="1"/>
    <col min="14338" max="14338" width="40.6" style="302" customWidth="1"/>
    <col min="14339" max="14339" width="9.9" style="302" customWidth="1"/>
    <col min="14340" max="14340" width="10.3" style="302" customWidth="1"/>
    <col min="14341" max="14341" width="8.2" style="302"/>
    <col min="14342" max="14342" width="10.8" style="302" customWidth="1"/>
    <col min="14343" max="14343" width="12.6" style="302" customWidth="1"/>
    <col min="14344" max="14344" width="17.7" style="302" customWidth="1"/>
    <col min="14345" max="14345" width="19" style="302" customWidth="1"/>
    <col min="14346" max="14346" width="32.3" style="302" customWidth="1"/>
    <col min="14347" max="14592" width="8.2" style="302"/>
    <col min="14593" max="14593" width="5.8" style="302" customWidth="1"/>
    <col min="14594" max="14594" width="40.6" style="302" customWidth="1"/>
    <col min="14595" max="14595" width="9.9" style="302" customWidth="1"/>
    <col min="14596" max="14596" width="10.3" style="302" customWidth="1"/>
    <col min="14597" max="14597" width="8.2" style="302"/>
    <col min="14598" max="14598" width="10.8" style="302" customWidth="1"/>
    <col min="14599" max="14599" width="12.6" style="302" customWidth="1"/>
    <col min="14600" max="14600" width="17.7" style="302" customWidth="1"/>
    <col min="14601" max="14601" width="19" style="302" customWidth="1"/>
    <col min="14602" max="14602" width="32.3" style="302" customWidth="1"/>
    <col min="14603" max="14848" width="8.2" style="302"/>
    <col min="14849" max="14849" width="5.8" style="302" customWidth="1"/>
    <col min="14850" max="14850" width="40.6" style="302" customWidth="1"/>
    <col min="14851" max="14851" width="9.9" style="302" customWidth="1"/>
    <col min="14852" max="14852" width="10.3" style="302" customWidth="1"/>
    <col min="14853" max="14853" width="8.2" style="302"/>
    <col min="14854" max="14854" width="10.8" style="302" customWidth="1"/>
    <col min="14855" max="14855" width="12.6" style="302" customWidth="1"/>
    <col min="14856" max="14856" width="17.7" style="302" customWidth="1"/>
    <col min="14857" max="14857" width="19" style="302" customWidth="1"/>
    <col min="14858" max="14858" width="32.3" style="302" customWidth="1"/>
    <col min="14859" max="15104" width="8.2" style="302"/>
    <col min="15105" max="15105" width="5.8" style="302" customWidth="1"/>
    <col min="15106" max="15106" width="40.6" style="302" customWidth="1"/>
    <col min="15107" max="15107" width="9.9" style="302" customWidth="1"/>
    <col min="15108" max="15108" width="10.3" style="302" customWidth="1"/>
    <col min="15109" max="15109" width="8.2" style="302"/>
    <col min="15110" max="15110" width="10.8" style="302" customWidth="1"/>
    <col min="15111" max="15111" width="12.6" style="302" customWidth="1"/>
    <col min="15112" max="15112" width="17.7" style="302" customWidth="1"/>
    <col min="15113" max="15113" width="19" style="302" customWidth="1"/>
    <col min="15114" max="15114" width="32.3" style="302" customWidth="1"/>
    <col min="15115" max="15360" width="8.2" style="302"/>
    <col min="15361" max="15361" width="5.8" style="302" customWidth="1"/>
    <col min="15362" max="15362" width="40.6" style="302" customWidth="1"/>
    <col min="15363" max="15363" width="9.9" style="302" customWidth="1"/>
    <col min="15364" max="15364" width="10.3" style="302" customWidth="1"/>
    <col min="15365" max="15365" width="8.2" style="302"/>
    <col min="15366" max="15366" width="10.8" style="302" customWidth="1"/>
    <col min="15367" max="15367" width="12.6" style="302" customWidth="1"/>
    <col min="15368" max="15368" width="17.7" style="302" customWidth="1"/>
    <col min="15369" max="15369" width="19" style="302" customWidth="1"/>
    <col min="15370" max="15370" width="32.3" style="302" customWidth="1"/>
    <col min="15371" max="15616" width="8.2" style="302"/>
    <col min="15617" max="15617" width="5.8" style="302" customWidth="1"/>
    <col min="15618" max="15618" width="40.6" style="302" customWidth="1"/>
    <col min="15619" max="15619" width="9.9" style="302" customWidth="1"/>
    <col min="15620" max="15620" width="10.3" style="302" customWidth="1"/>
    <col min="15621" max="15621" width="8.2" style="302"/>
    <col min="15622" max="15622" width="10.8" style="302" customWidth="1"/>
    <col min="15623" max="15623" width="12.6" style="302" customWidth="1"/>
    <col min="15624" max="15624" width="17.7" style="302" customWidth="1"/>
    <col min="15625" max="15625" width="19" style="302" customWidth="1"/>
    <col min="15626" max="15626" width="32.3" style="302" customWidth="1"/>
    <col min="15627" max="15872" width="8.2" style="302"/>
    <col min="15873" max="15873" width="5.8" style="302" customWidth="1"/>
    <col min="15874" max="15874" width="40.6" style="302" customWidth="1"/>
    <col min="15875" max="15875" width="9.9" style="302" customWidth="1"/>
    <col min="15876" max="15876" width="10.3" style="302" customWidth="1"/>
    <col min="15877" max="15877" width="8.2" style="302"/>
    <col min="15878" max="15878" width="10.8" style="302" customWidth="1"/>
    <col min="15879" max="15879" width="12.6" style="302" customWidth="1"/>
    <col min="15880" max="15880" width="17.7" style="302" customWidth="1"/>
    <col min="15881" max="15881" width="19" style="302" customWidth="1"/>
    <col min="15882" max="15882" width="32.3" style="302" customWidth="1"/>
    <col min="15883" max="16128" width="8.2" style="302"/>
    <col min="16129" max="16129" width="5.8" style="302" customWidth="1"/>
    <col min="16130" max="16130" width="40.6" style="302" customWidth="1"/>
    <col min="16131" max="16131" width="9.9" style="302" customWidth="1"/>
    <col min="16132" max="16132" width="10.3" style="302" customWidth="1"/>
    <col min="16133" max="16133" width="8.2" style="302"/>
    <col min="16134" max="16134" width="10.8" style="302" customWidth="1"/>
    <col min="16135" max="16135" width="12.6" style="302" customWidth="1"/>
    <col min="16136" max="16136" width="17.7" style="302" customWidth="1"/>
    <col min="16137" max="16137" width="19" style="302" customWidth="1"/>
    <col min="16138" max="16138" width="32.3" style="302" customWidth="1"/>
    <col min="16139" max="16384" width="8.2" style="302"/>
  </cols>
  <sheetData>
    <row r="1" spans="1:9">
      <c r="A1" s="305" t="s">
        <v>288</v>
      </c>
      <c r="B1" s="305"/>
      <c r="C1" s="305"/>
      <c r="D1" s="305"/>
      <c r="E1" s="305"/>
      <c r="F1" s="305"/>
      <c r="G1" s="305"/>
      <c r="H1" s="305"/>
      <c r="I1" s="305"/>
    </row>
    <row r="2" spans="1:9">
      <c r="A2" s="305" t="s">
        <v>289</v>
      </c>
      <c r="B2" s="305"/>
      <c r="C2" s="305"/>
      <c r="D2" s="305"/>
      <c r="E2" s="305"/>
      <c r="F2" s="305"/>
      <c r="G2" s="305"/>
      <c r="H2" s="305"/>
      <c r="I2" s="305"/>
    </row>
    <row r="3" spans="1:9">
      <c r="A3" s="305" t="s">
        <v>290</v>
      </c>
      <c r="B3" s="305"/>
      <c r="C3" s="305"/>
      <c r="D3" s="305"/>
      <c r="E3" s="305"/>
      <c r="F3" s="305"/>
      <c r="G3" s="305"/>
      <c r="H3" s="305"/>
      <c r="I3" s="305"/>
    </row>
    <row r="4" s="297" customFormat="1" spans="1:12">
      <c r="A4" s="306" t="s">
        <v>154</v>
      </c>
      <c r="B4" s="306" t="s">
        <v>291</v>
      </c>
      <c r="C4" s="307" t="s">
        <v>292</v>
      </c>
      <c r="D4" s="307" t="s">
        <v>293</v>
      </c>
      <c r="E4" s="306" t="s">
        <v>294</v>
      </c>
      <c r="F4" s="306"/>
      <c r="G4" s="306" t="s">
        <v>295</v>
      </c>
      <c r="H4" s="306" t="s">
        <v>296</v>
      </c>
      <c r="I4" s="306" t="s">
        <v>297</v>
      </c>
      <c r="J4" s="306" t="s">
        <v>298</v>
      </c>
      <c r="K4" s="306" t="s">
        <v>299</v>
      </c>
      <c r="L4" s="302"/>
    </row>
    <row r="5" s="297" customFormat="1" ht="25.5" spans="1:12">
      <c r="A5" s="306"/>
      <c r="B5" s="306"/>
      <c r="C5" s="307"/>
      <c r="D5" s="307"/>
      <c r="E5" s="307" t="s">
        <v>300</v>
      </c>
      <c r="F5" s="306" t="s">
        <v>301</v>
      </c>
      <c r="G5" s="306"/>
      <c r="H5" s="306"/>
      <c r="I5" s="306"/>
      <c r="J5" s="306"/>
      <c r="K5" s="306"/>
      <c r="L5" s="302"/>
    </row>
    <row r="6" s="298" customFormat="1" spans="1:11">
      <c r="A6" s="308" t="s">
        <v>10</v>
      </c>
      <c r="B6" s="308" t="s">
        <v>11</v>
      </c>
      <c r="C6" s="309" t="s">
        <v>12</v>
      </c>
      <c r="D6" s="309" t="s">
        <v>13</v>
      </c>
      <c r="E6" s="309" t="s">
        <v>14</v>
      </c>
      <c r="F6" s="308" t="s">
        <v>171</v>
      </c>
      <c r="G6" s="308" t="s">
        <v>172</v>
      </c>
      <c r="H6" s="308" t="s">
        <v>173</v>
      </c>
      <c r="I6" s="308" t="s">
        <v>174</v>
      </c>
      <c r="J6" s="308" t="s">
        <v>175</v>
      </c>
      <c r="K6" s="652" t="s">
        <v>176</v>
      </c>
    </row>
    <row r="7" s="297" customFormat="1" ht="25.5" spans="1:12">
      <c r="A7" s="306">
        <v>1</v>
      </c>
      <c r="B7" s="310" t="s">
        <v>302</v>
      </c>
      <c r="C7" s="311">
        <v>782.48</v>
      </c>
      <c r="D7" s="311">
        <v>160</v>
      </c>
      <c r="E7" s="311">
        <v>622.48</v>
      </c>
      <c r="F7" s="307"/>
      <c r="G7" s="306"/>
      <c r="H7" s="310"/>
      <c r="I7" s="310"/>
      <c r="J7" s="310"/>
      <c r="K7" s="315"/>
      <c r="L7" s="302"/>
    </row>
    <row r="8" s="299" customFormat="1" spans="1:12">
      <c r="A8" s="312" t="s">
        <v>20</v>
      </c>
      <c r="B8" s="313" t="s">
        <v>303</v>
      </c>
      <c r="C8" s="314">
        <v>80.53</v>
      </c>
      <c r="D8" s="314">
        <v>0</v>
      </c>
      <c r="E8" s="314">
        <v>80.53</v>
      </c>
      <c r="F8" s="312"/>
      <c r="G8" s="312"/>
      <c r="H8" s="313"/>
      <c r="I8" s="313"/>
      <c r="J8" s="313"/>
      <c r="K8" s="315"/>
      <c r="L8" s="302"/>
    </row>
    <row r="9" ht="63.75" spans="1:11">
      <c r="A9" s="315">
        <v>1</v>
      </c>
      <c r="B9" s="653" t="s">
        <v>304</v>
      </c>
      <c r="C9" s="317">
        <v>30</v>
      </c>
      <c r="D9" s="317"/>
      <c r="E9" s="317">
        <v>30</v>
      </c>
      <c r="F9" s="315" t="s">
        <v>30</v>
      </c>
      <c r="G9" s="315" t="s">
        <v>54</v>
      </c>
      <c r="H9" s="316" t="s">
        <v>166</v>
      </c>
      <c r="I9" s="316"/>
      <c r="J9" s="316" t="s">
        <v>305</v>
      </c>
      <c r="K9" s="315"/>
    </row>
    <row r="10" ht="63.75" spans="1:11">
      <c r="A10" s="315">
        <v>2</v>
      </c>
      <c r="B10" s="653" t="s">
        <v>306</v>
      </c>
      <c r="C10" s="317">
        <v>25.53</v>
      </c>
      <c r="D10" s="317"/>
      <c r="E10" s="317">
        <v>25.53</v>
      </c>
      <c r="F10" s="315" t="s">
        <v>30</v>
      </c>
      <c r="G10" s="315" t="s">
        <v>54</v>
      </c>
      <c r="H10" s="316" t="s">
        <v>164</v>
      </c>
      <c r="I10" s="316"/>
      <c r="J10" s="316" t="s">
        <v>307</v>
      </c>
      <c r="K10" s="315"/>
    </row>
    <row r="11" ht="63.75" spans="1:11">
      <c r="A11" s="315">
        <v>3</v>
      </c>
      <c r="B11" s="653" t="s">
        <v>308</v>
      </c>
      <c r="C11" s="317">
        <v>25</v>
      </c>
      <c r="D11" s="317"/>
      <c r="E11" s="317">
        <v>25</v>
      </c>
      <c r="F11" s="315" t="s">
        <v>30</v>
      </c>
      <c r="G11" s="315" t="s">
        <v>54</v>
      </c>
      <c r="H11" s="316" t="s">
        <v>158</v>
      </c>
      <c r="I11" s="316"/>
      <c r="J11" s="316" t="s">
        <v>309</v>
      </c>
      <c r="K11" s="315"/>
    </row>
    <row r="12" s="299" customFormat="1" ht="25.5" spans="1:12">
      <c r="A12" s="312" t="s">
        <v>25</v>
      </c>
      <c r="B12" s="313" t="s">
        <v>310</v>
      </c>
      <c r="C12" s="314">
        <v>701.95</v>
      </c>
      <c r="D12" s="314">
        <v>160</v>
      </c>
      <c r="E12" s="314">
        <v>541.95</v>
      </c>
      <c r="F12" s="312"/>
      <c r="G12" s="312"/>
      <c r="H12" s="313"/>
      <c r="I12" s="313"/>
      <c r="J12" s="313"/>
      <c r="K12" s="315"/>
      <c r="L12" s="302"/>
    </row>
    <row r="13" ht="25.5" spans="1:11">
      <c r="A13" s="315" t="s">
        <v>311</v>
      </c>
      <c r="B13" s="316" t="s">
        <v>312</v>
      </c>
      <c r="C13" s="317"/>
      <c r="D13" s="317"/>
      <c r="E13" s="317">
        <v>0</v>
      </c>
      <c r="F13" s="315"/>
      <c r="G13" s="315"/>
      <c r="H13" s="316"/>
      <c r="I13" s="316"/>
      <c r="J13" s="316"/>
      <c r="K13" s="315"/>
    </row>
    <row r="14" spans="1:11">
      <c r="A14" s="315"/>
      <c r="B14" s="316"/>
      <c r="C14" s="317"/>
      <c r="D14" s="317"/>
      <c r="E14" s="317">
        <v>0</v>
      </c>
      <c r="F14" s="315"/>
      <c r="G14" s="315"/>
      <c r="H14" s="316"/>
      <c r="I14" s="316"/>
      <c r="J14" s="316"/>
      <c r="K14" s="315"/>
    </row>
    <row r="15" spans="1:11">
      <c r="A15" s="315"/>
      <c r="B15" s="316"/>
      <c r="C15" s="317"/>
      <c r="D15" s="317"/>
      <c r="E15" s="317">
        <v>0</v>
      </c>
      <c r="F15" s="315"/>
      <c r="G15" s="315"/>
      <c r="H15" s="316"/>
      <c r="I15" s="316"/>
      <c r="J15" s="316"/>
      <c r="K15" s="315"/>
    </row>
    <row r="16" ht="25.5" spans="1:11">
      <c r="A16" s="315" t="s">
        <v>313</v>
      </c>
      <c r="B16" s="316" t="s">
        <v>314</v>
      </c>
      <c r="C16" s="317">
        <v>160</v>
      </c>
      <c r="D16" s="317">
        <v>160</v>
      </c>
      <c r="E16" s="317">
        <v>0</v>
      </c>
      <c r="F16" s="315"/>
      <c r="G16" s="315"/>
      <c r="H16" s="316"/>
      <c r="I16" s="316"/>
      <c r="J16" s="316"/>
      <c r="K16" s="315"/>
    </row>
    <row r="17" ht="51" spans="1:11">
      <c r="A17" s="315">
        <v>4</v>
      </c>
      <c r="B17" s="316" t="s">
        <v>315</v>
      </c>
      <c r="C17" s="317">
        <v>160</v>
      </c>
      <c r="D17" s="317">
        <v>160</v>
      </c>
      <c r="E17" s="317">
        <v>0</v>
      </c>
      <c r="F17" s="315"/>
      <c r="G17" s="315" t="s">
        <v>60</v>
      </c>
      <c r="H17" s="316" t="s">
        <v>157</v>
      </c>
      <c r="I17" s="316"/>
      <c r="J17" s="316" t="s">
        <v>316</v>
      </c>
      <c r="K17" s="315"/>
    </row>
    <row r="18" ht="25.5" spans="1:11">
      <c r="A18" s="315" t="s">
        <v>317</v>
      </c>
      <c r="B18" s="316" t="s">
        <v>318</v>
      </c>
      <c r="C18" s="317">
        <v>541.95</v>
      </c>
      <c r="D18" s="317"/>
      <c r="E18" s="317">
        <v>541.95</v>
      </c>
      <c r="F18" s="315"/>
      <c r="G18" s="315"/>
      <c r="H18" s="316"/>
      <c r="I18" s="316"/>
      <c r="J18" s="316"/>
      <c r="K18" s="315"/>
    </row>
    <row r="19" ht="38.25" spans="1:11">
      <c r="A19" s="315">
        <v>5</v>
      </c>
      <c r="B19" s="316" t="s">
        <v>319</v>
      </c>
      <c r="C19" s="317">
        <v>241.95</v>
      </c>
      <c r="D19" s="317">
        <v>0</v>
      </c>
      <c r="E19" s="317">
        <v>241.95</v>
      </c>
      <c r="F19" s="315"/>
      <c r="G19" s="315"/>
      <c r="H19" s="316"/>
      <c r="I19" s="316"/>
      <c r="J19" s="316" t="s">
        <v>320</v>
      </c>
      <c r="K19" s="315"/>
    </row>
    <row r="20" s="300" customFormat="1" spans="1:11">
      <c r="A20" s="318"/>
      <c r="B20" s="319" t="s">
        <v>19</v>
      </c>
      <c r="C20" s="320"/>
      <c r="D20" s="320"/>
      <c r="E20" s="320"/>
      <c r="F20" s="318"/>
      <c r="G20" s="318"/>
      <c r="H20" s="319"/>
      <c r="I20" s="319"/>
      <c r="J20" s="319"/>
      <c r="K20" s="318"/>
    </row>
    <row r="21" s="300" customFormat="1" spans="1:11">
      <c r="A21" s="318"/>
      <c r="B21" s="319" t="s">
        <v>321</v>
      </c>
      <c r="C21" s="320">
        <v>215</v>
      </c>
      <c r="D21" s="320"/>
      <c r="E21" s="320">
        <v>215</v>
      </c>
      <c r="F21" s="318" t="s">
        <v>30</v>
      </c>
      <c r="G21" s="318" t="s">
        <v>63</v>
      </c>
      <c r="H21" s="319" t="s">
        <v>322</v>
      </c>
      <c r="I21" s="319"/>
      <c r="J21" s="319"/>
      <c r="K21" s="318"/>
    </row>
    <row r="22" s="300" customFormat="1" spans="1:11">
      <c r="A22" s="318"/>
      <c r="B22" s="319" t="s">
        <v>323</v>
      </c>
      <c r="C22" s="320">
        <v>26.95</v>
      </c>
      <c r="D22" s="320"/>
      <c r="E22" s="320">
        <v>26.95</v>
      </c>
      <c r="F22" s="318" t="s">
        <v>30</v>
      </c>
      <c r="G22" s="318" t="s">
        <v>147</v>
      </c>
      <c r="H22" s="319" t="s">
        <v>159</v>
      </c>
      <c r="I22" s="319"/>
      <c r="J22" s="319"/>
      <c r="K22" s="318"/>
    </row>
    <row r="23" ht="102" spans="1:11">
      <c r="A23" s="315">
        <v>6</v>
      </c>
      <c r="B23" s="316" t="s">
        <v>324</v>
      </c>
      <c r="C23" s="317">
        <v>300</v>
      </c>
      <c r="D23" s="317">
        <v>0</v>
      </c>
      <c r="E23" s="317">
        <v>300</v>
      </c>
      <c r="F23" s="315" t="s">
        <v>30</v>
      </c>
      <c r="G23" s="315" t="s">
        <v>63</v>
      </c>
      <c r="H23" s="316" t="s">
        <v>325</v>
      </c>
      <c r="I23" s="316"/>
      <c r="J23" s="316" t="s">
        <v>326</v>
      </c>
      <c r="K23" s="315"/>
    </row>
    <row r="24" s="300" customFormat="1" spans="1:12">
      <c r="A24" s="318"/>
      <c r="B24" s="654" t="s">
        <v>327</v>
      </c>
      <c r="C24" s="320">
        <v>75</v>
      </c>
      <c r="D24" s="320"/>
      <c r="E24" s="320">
        <v>75</v>
      </c>
      <c r="F24" s="318"/>
      <c r="G24" s="318"/>
      <c r="H24" s="319"/>
      <c r="I24" s="319"/>
      <c r="J24" s="319"/>
      <c r="K24" s="318"/>
      <c r="L24" s="302"/>
    </row>
    <row r="25" s="300" customFormat="1" spans="1:12">
      <c r="A25" s="318"/>
      <c r="B25" s="654" t="s">
        <v>328</v>
      </c>
      <c r="C25" s="320">
        <v>75</v>
      </c>
      <c r="D25" s="320"/>
      <c r="E25" s="320">
        <v>75</v>
      </c>
      <c r="F25" s="318"/>
      <c r="G25" s="318"/>
      <c r="H25" s="319"/>
      <c r="I25" s="319"/>
      <c r="J25" s="319"/>
      <c r="K25" s="318"/>
      <c r="L25" s="302"/>
    </row>
    <row r="26" s="300" customFormat="1" spans="1:12">
      <c r="A26" s="318"/>
      <c r="B26" s="654" t="s">
        <v>329</v>
      </c>
      <c r="C26" s="320">
        <v>75</v>
      </c>
      <c r="D26" s="320"/>
      <c r="E26" s="320">
        <v>75</v>
      </c>
      <c r="F26" s="318"/>
      <c r="G26" s="318"/>
      <c r="H26" s="319"/>
      <c r="I26" s="319"/>
      <c r="J26" s="319"/>
      <c r="K26" s="318"/>
      <c r="L26" s="302"/>
    </row>
    <row r="27" s="300" customFormat="1" spans="1:12">
      <c r="A27" s="318"/>
      <c r="B27" s="654" t="s">
        <v>330</v>
      </c>
      <c r="C27" s="320">
        <v>75</v>
      </c>
      <c r="D27" s="320"/>
      <c r="E27" s="320">
        <v>75</v>
      </c>
      <c r="F27" s="318"/>
      <c r="G27" s="318"/>
      <c r="H27" s="319"/>
      <c r="I27" s="319"/>
      <c r="J27" s="319"/>
      <c r="K27" s="318"/>
      <c r="L27" s="302"/>
    </row>
    <row r="28" s="297" customFormat="1" spans="1:12">
      <c r="A28" s="306">
        <v>2</v>
      </c>
      <c r="B28" s="310" t="s">
        <v>331</v>
      </c>
      <c r="C28" s="311">
        <v>1699.2076</v>
      </c>
      <c r="D28" s="311">
        <v>122.65712</v>
      </c>
      <c r="E28" s="311">
        <v>1576.55048</v>
      </c>
      <c r="F28" s="306"/>
      <c r="G28" s="306"/>
      <c r="H28" s="310"/>
      <c r="I28" s="310"/>
      <c r="J28" s="310"/>
      <c r="K28" s="315"/>
      <c r="L28" s="302"/>
    </row>
    <row r="29" s="299" customFormat="1" ht="25.5" spans="1:12">
      <c r="A29" s="312" t="s">
        <v>52</v>
      </c>
      <c r="B29" s="313" t="s">
        <v>318</v>
      </c>
      <c r="C29" s="314">
        <v>1131.07</v>
      </c>
      <c r="D29" s="314">
        <v>112.65</v>
      </c>
      <c r="E29" s="314">
        <v>1018.42</v>
      </c>
      <c r="F29" s="312"/>
      <c r="G29" s="312"/>
      <c r="H29" s="313"/>
      <c r="I29" s="313"/>
      <c r="J29" s="313"/>
      <c r="K29" s="315"/>
      <c r="L29" s="302"/>
    </row>
    <row r="30" ht="38.25" spans="1:11">
      <c r="A30" s="315">
        <v>7</v>
      </c>
      <c r="B30" s="316" t="s">
        <v>332</v>
      </c>
      <c r="C30" s="317">
        <v>60</v>
      </c>
      <c r="D30" s="317"/>
      <c r="E30" s="317">
        <v>60</v>
      </c>
      <c r="F30" s="315" t="s">
        <v>30</v>
      </c>
      <c r="G30" s="315" t="s">
        <v>93</v>
      </c>
      <c r="H30" s="316" t="s">
        <v>160</v>
      </c>
      <c r="I30" s="316"/>
      <c r="J30" s="316" t="s">
        <v>333</v>
      </c>
      <c r="K30" s="315"/>
    </row>
    <row r="31" s="299" customFormat="1" ht="63.75" spans="1:12">
      <c r="A31" s="315">
        <v>8</v>
      </c>
      <c r="B31" s="316" t="s">
        <v>334</v>
      </c>
      <c r="C31" s="317">
        <v>0.32</v>
      </c>
      <c r="D31" s="317">
        <v>0</v>
      </c>
      <c r="E31" s="317">
        <v>0.32</v>
      </c>
      <c r="F31" s="315" t="s">
        <v>30</v>
      </c>
      <c r="G31" s="315" t="s">
        <v>93</v>
      </c>
      <c r="H31" s="316" t="s">
        <v>335</v>
      </c>
      <c r="I31" s="316"/>
      <c r="J31" s="316" t="s">
        <v>336</v>
      </c>
      <c r="K31" s="315"/>
      <c r="L31" s="302"/>
    </row>
    <row r="32" s="299" customFormat="1" spans="1:12">
      <c r="A32" s="318"/>
      <c r="B32" s="654" t="s">
        <v>337</v>
      </c>
      <c r="C32" s="320">
        <v>0.11</v>
      </c>
      <c r="D32" s="314"/>
      <c r="E32" s="320">
        <v>0.11</v>
      </c>
      <c r="F32" s="318"/>
      <c r="G32" s="318"/>
      <c r="H32" s="319"/>
      <c r="I32" s="319"/>
      <c r="J32" s="319"/>
      <c r="K32" s="318"/>
      <c r="L32" s="300"/>
    </row>
    <row r="33" s="299" customFormat="1" spans="1:12">
      <c r="A33" s="318"/>
      <c r="B33" s="654" t="s">
        <v>338</v>
      </c>
      <c r="C33" s="320">
        <v>0.11</v>
      </c>
      <c r="D33" s="314"/>
      <c r="E33" s="320">
        <v>0.11</v>
      </c>
      <c r="F33" s="318"/>
      <c r="G33" s="318"/>
      <c r="H33" s="319"/>
      <c r="I33" s="319"/>
      <c r="J33" s="319"/>
      <c r="K33" s="318"/>
      <c r="L33" s="300"/>
    </row>
    <row r="34" s="299" customFormat="1" spans="1:12">
      <c r="A34" s="318"/>
      <c r="B34" s="654" t="s">
        <v>339</v>
      </c>
      <c r="C34" s="320">
        <v>0.1</v>
      </c>
      <c r="D34" s="314"/>
      <c r="E34" s="320">
        <v>0.1</v>
      </c>
      <c r="F34" s="318"/>
      <c r="G34" s="318"/>
      <c r="H34" s="319"/>
      <c r="I34" s="319"/>
      <c r="J34" s="319"/>
      <c r="K34" s="318"/>
      <c r="L34" s="300"/>
    </row>
    <row r="35" s="299" customFormat="1" ht="38.25" spans="1:12">
      <c r="A35" s="315">
        <v>9</v>
      </c>
      <c r="B35" s="316" t="s">
        <v>340</v>
      </c>
      <c r="C35" s="317">
        <v>0.1</v>
      </c>
      <c r="D35" s="314"/>
      <c r="E35" s="317">
        <v>0.1</v>
      </c>
      <c r="F35" s="315" t="s">
        <v>30</v>
      </c>
      <c r="G35" s="315" t="s">
        <v>93</v>
      </c>
      <c r="H35" s="316" t="s">
        <v>169</v>
      </c>
      <c r="I35" s="316"/>
      <c r="J35" s="316" t="s">
        <v>341</v>
      </c>
      <c r="K35" s="315"/>
      <c r="L35" s="302"/>
    </row>
    <row r="36" s="299" customFormat="1" ht="63.75" spans="1:12">
      <c r="A36" s="315">
        <v>10</v>
      </c>
      <c r="B36" s="316" t="s">
        <v>342</v>
      </c>
      <c r="C36" s="317">
        <v>0.24</v>
      </c>
      <c r="D36" s="317">
        <v>0</v>
      </c>
      <c r="E36" s="317">
        <v>0.24</v>
      </c>
      <c r="F36" s="315" t="s">
        <v>30</v>
      </c>
      <c r="G36" s="315" t="s">
        <v>93</v>
      </c>
      <c r="H36" s="316" t="s">
        <v>343</v>
      </c>
      <c r="I36" s="316"/>
      <c r="J36" s="316" t="s">
        <v>344</v>
      </c>
      <c r="K36" s="315"/>
      <c r="L36" s="302"/>
    </row>
    <row r="37" s="299" customFormat="1" spans="1:12">
      <c r="A37" s="318"/>
      <c r="B37" s="654" t="s">
        <v>337</v>
      </c>
      <c r="C37" s="320">
        <v>0.08</v>
      </c>
      <c r="D37" s="314"/>
      <c r="E37" s="320">
        <v>0.08</v>
      </c>
      <c r="F37" s="318"/>
      <c r="G37" s="318"/>
      <c r="H37" s="319"/>
      <c r="I37" s="319"/>
      <c r="J37" s="319"/>
      <c r="K37" s="318"/>
      <c r="L37" s="300"/>
    </row>
    <row r="38" s="299" customFormat="1" spans="1:12">
      <c r="A38" s="318"/>
      <c r="B38" s="654" t="s">
        <v>345</v>
      </c>
      <c r="C38" s="320">
        <v>0.08</v>
      </c>
      <c r="D38" s="314"/>
      <c r="E38" s="320">
        <v>0.08</v>
      </c>
      <c r="F38" s="318"/>
      <c r="G38" s="318"/>
      <c r="H38" s="319"/>
      <c r="I38" s="319"/>
      <c r="J38" s="319"/>
      <c r="K38" s="318"/>
      <c r="L38" s="300"/>
    </row>
    <row r="39" s="299" customFormat="1" spans="1:12">
      <c r="A39" s="318"/>
      <c r="B39" s="654" t="s">
        <v>339</v>
      </c>
      <c r="C39" s="320">
        <v>0.08</v>
      </c>
      <c r="D39" s="314"/>
      <c r="E39" s="320">
        <v>0.08</v>
      </c>
      <c r="F39" s="318"/>
      <c r="G39" s="318"/>
      <c r="H39" s="319"/>
      <c r="I39" s="319"/>
      <c r="J39" s="319"/>
      <c r="K39" s="318"/>
      <c r="L39" s="300"/>
    </row>
    <row r="40" s="299" customFormat="1" ht="38.25" spans="1:12">
      <c r="A40" s="315">
        <v>11</v>
      </c>
      <c r="B40" s="316" t="s">
        <v>346</v>
      </c>
      <c r="C40" s="317">
        <v>1.7</v>
      </c>
      <c r="D40" s="314"/>
      <c r="E40" s="317">
        <v>1.7</v>
      </c>
      <c r="F40" s="315" t="s">
        <v>30</v>
      </c>
      <c r="G40" s="315" t="s">
        <v>93</v>
      </c>
      <c r="H40" s="316" t="s">
        <v>166</v>
      </c>
      <c r="I40" s="316"/>
      <c r="J40" s="316" t="s">
        <v>347</v>
      </c>
      <c r="K40" s="315"/>
      <c r="L40" s="302"/>
    </row>
    <row r="41" s="299" customFormat="1" ht="102" spans="1:12">
      <c r="A41" s="315">
        <v>12</v>
      </c>
      <c r="B41" s="316" t="s">
        <v>348</v>
      </c>
      <c r="C41" s="317">
        <v>360</v>
      </c>
      <c r="D41" s="314"/>
      <c r="E41" s="317">
        <v>360</v>
      </c>
      <c r="F41" s="315" t="s">
        <v>30</v>
      </c>
      <c r="G41" s="315" t="s">
        <v>93</v>
      </c>
      <c r="H41" s="316" t="s">
        <v>163</v>
      </c>
      <c r="I41" s="316"/>
      <c r="J41" s="316" t="s">
        <v>349</v>
      </c>
      <c r="K41" s="315"/>
      <c r="L41" s="302"/>
    </row>
    <row r="42" s="299" customFormat="1" ht="38.25" spans="1:12">
      <c r="A42" s="315">
        <v>13</v>
      </c>
      <c r="B42" s="316" t="s">
        <v>350</v>
      </c>
      <c r="C42" s="317">
        <v>163.8</v>
      </c>
      <c r="D42" s="317"/>
      <c r="E42" s="317">
        <v>163.8</v>
      </c>
      <c r="F42" s="315" t="s">
        <v>351</v>
      </c>
      <c r="G42" s="315" t="s">
        <v>81</v>
      </c>
      <c r="H42" s="316" t="s">
        <v>352</v>
      </c>
      <c r="I42" s="316"/>
      <c r="J42" s="316" t="s">
        <v>353</v>
      </c>
      <c r="K42" s="315"/>
      <c r="L42" s="302"/>
    </row>
    <row r="43" s="299" customFormat="1" spans="1:12">
      <c r="A43" s="318"/>
      <c r="B43" s="654" t="s">
        <v>354</v>
      </c>
      <c r="C43" s="320">
        <v>32.76</v>
      </c>
      <c r="D43" s="314"/>
      <c r="E43" s="320">
        <v>32.76</v>
      </c>
      <c r="F43" s="318"/>
      <c r="G43" s="318"/>
      <c r="H43" s="319"/>
      <c r="I43" s="319"/>
      <c r="J43" s="319"/>
      <c r="K43" s="318"/>
      <c r="L43" s="300"/>
    </row>
    <row r="44" s="299" customFormat="1" spans="1:12">
      <c r="A44" s="318"/>
      <c r="B44" s="654" t="s">
        <v>355</v>
      </c>
      <c r="C44" s="320">
        <v>24.57</v>
      </c>
      <c r="D44" s="314"/>
      <c r="E44" s="320">
        <v>24.57</v>
      </c>
      <c r="F44" s="318"/>
      <c r="G44" s="318"/>
      <c r="H44" s="319"/>
      <c r="I44" s="319"/>
      <c r="J44" s="319"/>
      <c r="K44" s="318"/>
      <c r="L44" s="300"/>
    </row>
    <row r="45" s="299" customFormat="1" spans="1:12">
      <c r="A45" s="318"/>
      <c r="B45" s="654" t="s">
        <v>356</v>
      </c>
      <c r="C45" s="320">
        <v>24.57</v>
      </c>
      <c r="D45" s="314"/>
      <c r="E45" s="320">
        <v>24.57</v>
      </c>
      <c r="F45" s="318"/>
      <c r="G45" s="318"/>
      <c r="H45" s="319"/>
      <c r="I45" s="319"/>
      <c r="J45" s="319"/>
      <c r="K45" s="318"/>
      <c r="L45" s="300"/>
    </row>
    <row r="46" s="299" customFormat="1" spans="1:12">
      <c r="A46" s="318"/>
      <c r="B46" s="654" t="s">
        <v>357</v>
      </c>
      <c r="C46" s="320">
        <v>49.14</v>
      </c>
      <c r="D46" s="314"/>
      <c r="E46" s="320">
        <v>49.14</v>
      </c>
      <c r="F46" s="318"/>
      <c r="G46" s="318"/>
      <c r="H46" s="319"/>
      <c r="I46" s="319"/>
      <c r="J46" s="319"/>
      <c r="K46" s="318"/>
      <c r="L46" s="300"/>
    </row>
    <row r="47" s="299" customFormat="1" spans="1:12">
      <c r="A47" s="318"/>
      <c r="B47" s="654" t="s">
        <v>358</v>
      </c>
      <c r="C47" s="320">
        <v>32.76</v>
      </c>
      <c r="D47" s="314"/>
      <c r="E47" s="320">
        <v>32.76</v>
      </c>
      <c r="F47" s="318"/>
      <c r="G47" s="318"/>
      <c r="H47" s="319"/>
      <c r="I47" s="319"/>
      <c r="J47" s="319"/>
      <c r="K47" s="318"/>
      <c r="L47" s="300"/>
    </row>
    <row r="48" s="299" customFormat="1" ht="76.5" spans="1:12">
      <c r="A48" s="315">
        <v>14</v>
      </c>
      <c r="B48" s="316" t="s">
        <v>359</v>
      </c>
      <c r="C48" s="317">
        <v>16</v>
      </c>
      <c r="D48" s="317">
        <v>0</v>
      </c>
      <c r="E48" s="317">
        <v>16</v>
      </c>
      <c r="F48" s="315" t="s">
        <v>360</v>
      </c>
      <c r="G48" s="315" t="s">
        <v>81</v>
      </c>
      <c r="H48" s="316" t="s">
        <v>361</v>
      </c>
      <c r="I48" s="316"/>
      <c r="J48" s="316" t="s">
        <v>362</v>
      </c>
      <c r="K48" s="315"/>
      <c r="L48" s="302"/>
    </row>
    <row r="49" s="299" customFormat="1" spans="1:12">
      <c r="A49" s="318"/>
      <c r="B49" s="654" t="s">
        <v>363</v>
      </c>
      <c r="C49" s="320">
        <v>5</v>
      </c>
      <c r="D49" s="314"/>
      <c r="E49" s="320">
        <v>5</v>
      </c>
      <c r="F49" s="318"/>
      <c r="G49" s="318"/>
      <c r="H49" s="319"/>
      <c r="I49" s="319"/>
      <c r="J49" s="319"/>
      <c r="K49" s="318"/>
      <c r="L49" s="300"/>
    </row>
    <row r="50" s="299" customFormat="1" spans="1:12">
      <c r="A50" s="318"/>
      <c r="B50" s="654" t="s">
        <v>364</v>
      </c>
      <c r="C50" s="320">
        <v>5</v>
      </c>
      <c r="D50" s="314"/>
      <c r="E50" s="320">
        <v>5</v>
      </c>
      <c r="F50" s="318"/>
      <c r="G50" s="318"/>
      <c r="H50" s="319"/>
      <c r="I50" s="319"/>
      <c r="J50" s="319"/>
      <c r="K50" s="318"/>
      <c r="L50" s="300"/>
    </row>
    <row r="51" s="299" customFormat="1" spans="1:12">
      <c r="A51" s="318"/>
      <c r="B51" s="654" t="s">
        <v>365</v>
      </c>
      <c r="C51" s="320">
        <v>6</v>
      </c>
      <c r="D51" s="314"/>
      <c r="E51" s="320">
        <v>6</v>
      </c>
      <c r="F51" s="318"/>
      <c r="G51" s="318"/>
      <c r="H51" s="319"/>
      <c r="I51" s="319"/>
      <c r="J51" s="319"/>
      <c r="K51" s="318"/>
      <c r="L51" s="300"/>
    </row>
    <row r="52" s="299" customFormat="1" ht="51" spans="1:12">
      <c r="A52" s="315">
        <v>15</v>
      </c>
      <c r="B52" s="316" t="s">
        <v>366</v>
      </c>
      <c r="C52" s="317">
        <v>0.2</v>
      </c>
      <c r="D52" s="314"/>
      <c r="E52" s="317">
        <v>0.2</v>
      </c>
      <c r="F52" s="315" t="s">
        <v>30</v>
      </c>
      <c r="G52" s="315" t="s">
        <v>81</v>
      </c>
      <c r="H52" s="316" t="s">
        <v>157</v>
      </c>
      <c r="I52" s="316"/>
      <c r="J52" s="316" t="s">
        <v>367</v>
      </c>
      <c r="K52" s="315"/>
      <c r="L52" s="302"/>
    </row>
    <row r="53" s="299" customFormat="1" ht="63.75" spans="1:12">
      <c r="A53" s="315">
        <v>16</v>
      </c>
      <c r="B53" s="316" t="s">
        <v>368</v>
      </c>
      <c r="C53" s="317">
        <v>0.13</v>
      </c>
      <c r="D53" s="314"/>
      <c r="E53" s="317">
        <v>0.13</v>
      </c>
      <c r="F53" s="315" t="s">
        <v>30</v>
      </c>
      <c r="G53" s="315" t="s">
        <v>81</v>
      </c>
      <c r="H53" s="316" t="s">
        <v>166</v>
      </c>
      <c r="I53" s="316"/>
      <c r="J53" s="316" t="s">
        <v>369</v>
      </c>
      <c r="K53" s="315"/>
      <c r="L53" s="302"/>
    </row>
    <row r="54" s="299" customFormat="1" ht="38.25" spans="1:12">
      <c r="A54" s="315">
        <v>17</v>
      </c>
      <c r="B54" s="316" t="s">
        <v>370</v>
      </c>
      <c r="C54" s="317">
        <v>10.49</v>
      </c>
      <c r="D54" s="317">
        <v>0</v>
      </c>
      <c r="E54" s="317">
        <v>10.49</v>
      </c>
      <c r="F54" s="315" t="s">
        <v>371</v>
      </c>
      <c r="G54" s="315" t="s">
        <v>81</v>
      </c>
      <c r="H54" s="316" t="s">
        <v>372</v>
      </c>
      <c r="I54" s="316"/>
      <c r="J54" s="316" t="s">
        <v>373</v>
      </c>
      <c r="K54" s="315"/>
      <c r="L54" s="302"/>
    </row>
    <row r="55" s="299" customFormat="1" spans="1:12">
      <c r="A55" s="318"/>
      <c r="B55" s="654" t="s">
        <v>374</v>
      </c>
      <c r="C55" s="320">
        <v>4.72</v>
      </c>
      <c r="D55" s="314"/>
      <c r="E55" s="320">
        <v>4.72</v>
      </c>
      <c r="F55" s="318"/>
      <c r="G55" s="318"/>
      <c r="H55" s="319"/>
      <c r="I55" s="319"/>
      <c r="J55" s="319"/>
      <c r="K55" s="318"/>
      <c r="L55" s="300"/>
    </row>
    <row r="56" s="299" customFormat="1" spans="1:12">
      <c r="A56" s="318"/>
      <c r="B56" s="654" t="s">
        <v>338</v>
      </c>
      <c r="C56" s="320">
        <v>1.05</v>
      </c>
      <c r="D56" s="314"/>
      <c r="E56" s="320">
        <v>1.05</v>
      </c>
      <c r="F56" s="318"/>
      <c r="G56" s="318"/>
      <c r="H56" s="319"/>
      <c r="I56" s="319"/>
      <c r="J56" s="319"/>
      <c r="K56" s="318"/>
      <c r="L56" s="300"/>
    </row>
    <row r="57" s="299" customFormat="1" spans="1:12">
      <c r="A57" s="318"/>
      <c r="B57" s="654" t="s">
        <v>375</v>
      </c>
      <c r="C57" s="320">
        <v>4.72</v>
      </c>
      <c r="D57" s="314"/>
      <c r="E57" s="320">
        <v>4.72</v>
      </c>
      <c r="F57" s="318"/>
      <c r="G57" s="318"/>
      <c r="H57" s="319"/>
      <c r="I57" s="319"/>
      <c r="J57" s="319"/>
      <c r="K57" s="318"/>
      <c r="L57" s="300"/>
    </row>
    <row r="58" s="299" customFormat="1" ht="63.75" spans="1:12">
      <c r="A58" s="315">
        <v>18</v>
      </c>
      <c r="B58" s="316" t="s">
        <v>376</v>
      </c>
      <c r="C58" s="317">
        <v>2.7</v>
      </c>
      <c r="D58" s="317">
        <v>2.51</v>
      </c>
      <c r="E58" s="317">
        <v>0.19</v>
      </c>
      <c r="F58" s="315" t="s">
        <v>377</v>
      </c>
      <c r="G58" s="315" t="s">
        <v>81</v>
      </c>
      <c r="H58" s="316" t="s">
        <v>157</v>
      </c>
      <c r="I58" s="316"/>
      <c r="J58" s="316" t="s">
        <v>378</v>
      </c>
      <c r="K58" s="315"/>
      <c r="L58" s="302"/>
    </row>
    <row r="59" s="299" customFormat="1" ht="38.25" spans="1:12">
      <c r="A59" s="315">
        <v>19</v>
      </c>
      <c r="B59" s="316" t="s">
        <v>379</v>
      </c>
      <c r="C59" s="317">
        <v>2.9</v>
      </c>
      <c r="D59" s="317">
        <v>2.67</v>
      </c>
      <c r="E59" s="317">
        <v>0.23</v>
      </c>
      <c r="F59" s="315" t="s">
        <v>30</v>
      </c>
      <c r="G59" s="315" t="s">
        <v>81</v>
      </c>
      <c r="H59" s="316" t="s">
        <v>157</v>
      </c>
      <c r="I59" s="316"/>
      <c r="J59" s="316" t="s">
        <v>380</v>
      </c>
      <c r="K59" s="315"/>
      <c r="L59" s="302"/>
    </row>
    <row r="60" s="299" customFormat="1" ht="38.25" spans="1:12">
      <c r="A60" s="315">
        <v>20</v>
      </c>
      <c r="B60" s="316" t="s">
        <v>381</v>
      </c>
      <c r="C60" s="317">
        <v>11.7</v>
      </c>
      <c r="D60" s="317">
        <v>11.49</v>
      </c>
      <c r="E60" s="317">
        <v>0.210000000000001</v>
      </c>
      <c r="F60" s="315" t="s">
        <v>377</v>
      </c>
      <c r="G60" s="315" t="s">
        <v>81</v>
      </c>
      <c r="H60" s="316" t="s">
        <v>157</v>
      </c>
      <c r="I60" s="316"/>
      <c r="J60" s="316" t="s">
        <v>380</v>
      </c>
      <c r="K60" s="315"/>
      <c r="L60" s="302"/>
    </row>
    <row r="61" s="299" customFormat="1" ht="38.25" spans="1:12">
      <c r="A61" s="315">
        <v>21</v>
      </c>
      <c r="B61" s="316" t="s">
        <v>382</v>
      </c>
      <c r="C61" s="317">
        <v>0.03</v>
      </c>
      <c r="D61" s="314"/>
      <c r="E61" s="317">
        <v>0.03</v>
      </c>
      <c r="F61" s="315" t="s">
        <v>30</v>
      </c>
      <c r="G61" s="315" t="s">
        <v>81</v>
      </c>
      <c r="H61" s="316" t="s">
        <v>157</v>
      </c>
      <c r="I61" s="316"/>
      <c r="J61" s="316" t="s">
        <v>380</v>
      </c>
      <c r="K61" s="315"/>
      <c r="L61" s="302"/>
    </row>
    <row r="62" s="299" customFormat="1" ht="114.75" spans="1:12">
      <c r="A62" s="315">
        <v>22</v>
      </c>
      <c r="B62" s="316" t="s">
        <v>383</v>
      </c>
      <c r="C62" s="317">
        <v>0.61</v>
      </c>
      <c r="D62" s="317">
        <v>0</v>
      </c>
      <c r="E62" s="317">
        <v>0.61</v>
      </c>
      <c r="F62" s="315" t="s">
        <v>384</v>
      </c>
      <c r="G62" s="315" t="s">
        <v>81</v>
      </c>
      <c r="H62" s="316" t="s">
        <v>385</v>
      </c>
      <c r="I62" s="316"/>
      <c r="J62" s="316" t="s">
        <v>386</v>
      </c>
      <c r="K62" s="315"/>
      <c r="L62" s="302"/>
    </row>
    <row r="63" s="299" customFormat="1" spans="1:12">
      <c r="A63" s="318"/>
      <c r="B63" s="654" t="s">
        <v>387</v>
      </c>
      <c r="C63" s="320">
        <v>0.05</v>
      </c>
      <c r="D63" s="314"/>
      <c r="E63" s="320">
        <v>0.05</v>
      </c>
      <c r="F63" s="318"/>
      <c r="G63" s="318"/>
      <c r="H63" s="319"/>
      <c r="I63" s="319"/>
      <c r="J63" s="319"/>
      <c r="K63" s="318"/>
      <c r="L63" s="302"/>
    </row>
    <row r="64" s="299" customFormat="1" spans="1:12">
      <c r="A64" s="318"/>
      <c r="B64" s="654" t="s">
        <v>388</v>
      </c>
      <c r="C64" s="320">
        <v>0.05</v>
      </c>
      <c r="D64" s="314"/>
      <c r="E64" s="320">
        <v>0.05</v>
      </c>
      <c r="F64" s="318"/>
      <c r="G64" s="318"/>
      <c r="H64" s="319"/>
      <c r="I64" s="319"/>
      <c r="J64" s="319"/>
      <c r="K64" s="318"/>
      <c r="L64" s="302"/>
    </row>
    <row r="65" s="299" customFormat="1" spans="1:12">
      <c r="A65" s="318"/>
      <c r="B65" s="654" t="s">
        <v>338</v>
      </c>
      <c r="C65" s="320">
        <v>0.05</v>
      </c>
      <c r="D65" s="314"/>
      <c r="E65" s="320">
        <v>0.05</v>
      </c>
      <c r="F65" s="318"/>
      <c r="G65" s="318"/>
      <c r="H65" s="319"/>
      <c r="I65" s="319"/>
      <c r="J65" s="319"/>
      <c r="K65" s="318"/>
      <c r="L65" s="302"/>
    </row>
    <row r="66" s="299" customFormat="1" spans="1:12">
      <c r="A66" s="318"/>
      <c r="B66" s="654" t="s">
        <v>389</v>
      </c>
      <c r="C66" s="320">
        <v>0.05</v>
      </c>
      <c r="D66" s="314"/>
      <c r="E66" s="320">
        <v>0.05</v>
      </c>
      <c r="F66" s="318"/>
      <c r="G66" s="318"/>
      <c r="H66" s="319"/>
      <c r="I66" s="319"/>
      <c r="J66" s="319"/>
      <c r="K66" s="318"/>
      <c r="L66" s="302"/>
    </row>
    <row r="67" s="299" customFormat="1" spans="1:12">
      <c r="A67" s="318"/>
      <c r="B67" s="654" t="s">
        <v>345</v>
      </c>
      <c r="C67" s="320">
        <v>0.05</v>
      </c>
      <c r="D67" s="314"/>
      <c r="E67" s="320">
        <v>0.05</v>
      </c>
      <c r="F67" s="318"/>
      <c r="G67" s="318"/>
      <c r="H67" s="319"/>
      <c r="I67" s="319"/>
      <c r="J67" s="319"/>
      <c r="K67" s="318"/>
      <c r="L67" s="302"/>
    </row>
    <row r="68" s="299" customFormat="1" spans="1:12">
      <c r="A68" s="318"/>
      <c r="B68" s="654" t="s">
        <v>337</v>
      </c>
      <c r="C68" s="320">
        <v>0.31</v>
      </c>
      <c r="D68" s="314"/>
      <c r="E68" s="320">
        <v>0.31</v>
      </c>
      <c r="F68" s="318"/>
      <c r="G68" s="318"/>
      <c r="H68" s="319"/>
      <c r="I68" s="319"/>
      <c r="J68" s="319"/>
      <c r="K68" s="318"/>
      <c r="L68" s="302"/>
    </row>
    <row r="69" s="299" customFormat="1" spans="1:12">
      <c r="A69" s="318"/>
      <c r="B69" s="654" t="s">
        <v>390</v>
      </c>
      <c r="C69" s="320">
        <v>0.05</v>
      </c>
      <c r="D69" s="314"/>
      <c r="E69" s="320">
        <v>0.05</v>
      </c>
      <c r="F69" s="318"/>
      <c r="G69" s="318"/>
      <c r="H69" s="319"/>
      <c r="I69" s="319"/>
      <c r="J69" s="319"/>
      <c r="K69" s="318"/>
      <c r="L69" s="302"/>
    </row>
    <row r="70" s="297" customFormat="1" ht="89.25" spans="1:12">
      <c r="A70" s="315">
        <v>23</v>
      </c>
      <c r="B70" s="653" t="s">
        <v>391</v>
      </c>
      <c r="C70" s="317">
        <v>6</v>
      </c>
      <c r="D70" s="317">
        <v>0</v>
      </c>
      <c r="E70" s="317">
        <v>6</v>
      </c>
      <c r="F70" s="315" t="s">
        <v>392</v>
      </c>
      <c r="G70" s="315" t="s">
        <v>81</v>
      </c>
      <c r="H70" s="316" t="s">
        <v>393</v>
      </c>
      <c r="I70" s="316"/>
      <c r="J70" s="316" t="s">
        <v>394</v>
      </c>
      <c r="K70" s="315"/>
      <c r="L70" s="302"/>
    </row>
    <row r="71" s="299" customFormat="1" spans="1:12">
      <c r="A71" s="318"/>
      <c r="B71" s="654" t="s">
        <v>355</v>
      </c>
      <c r="C71" s="320">
        <v>3</v>
      </c>
      <c r="D71" s="314"/>
      <c r="E71" s="320">
        <v>3</v>
      </c>
      <c r="F71" s="318"/>
      <c r="G71" s="318"/>
      <c r="H71" s="319"/>
      <c r="I71" s="319"/>
      <c r="J71" s="319"/>
      <c r="K71" s="318"/>
      <c r="L71" s="302"/>
    </row>
    <row r="72" s="299" customFormat="1" spans="1:12">
      <c r="A72" s="318"/>
      <c r="B72" s="654" t="s">
        <v>356</v>
      </c>
      <c r="C72" s="320">
        <v>3</v>
      </c>
      <c r="D72" s="314"/>
      <c r="E72" s="320">
        <v>3</v>
      </c>
      <c r="F72" s="318"/>
      <c r="G72" s="318"/>
      <c r="H72" s="319"/>
      <c r="I72" s="319"/>
      <c r="J72" s="319"/>
      <c r="K72" s="318"/>
      <c r="L72" s="302"/>
    </row>
    <row r="73" s="297" customFormat="1" ht="102" spans="1:12">
      <c r="A73" s="315">
        <v>24</v>
      </c>
      <c r="B73" s="653" t="s">
        <v>395</v>
      </c>
      <c r="C73" s="317">
        <v>4</v>
      </c>
      <c r="D73" s="317">
        <v>0</v>
      </c>
      <c r="E73" s="317">
        <v>4</v>
      </c>
      <c r="F73" s="315" t="s">
        <v>392</v>
      </c>
      <c r="G73" s="315" t="s">
        <v>81</v>
      </c>
      <c r="H73" s="316" t="s">
        <v>396</v>
      </c>
      <c r="I73" s="316"/>
      <c r="J73" s="316" t="s">
        <v>397</v>
      </c>
      <c r="K73" s="315"/>
      <c r="L73" s="302"/>
    </row>
    <row r="74" s="299" customFormat="1" spans="1:12">
      <c r="A74" s="318"/>
      <c r="B74" s="654" t="s">
        <v>365</v>
      </c>
      <c r="C74" s="320">
        <v>1</v>
      </c>
      <c r="D74" s="314"/>
      <c r="E74" s="320">
        <v>1</v>
      </c>
      <c r="F74" s="318"/>
      <c r="G74" s="318"/>
      <c r="H74" s="319"/>
      <c r="I74" s="319"/>
      <c r="J74" s="319"/>
      <c r="K74" s="318"/>
      <c r="L74" s="302"/>
    </row>
    <row r="75" s="299" customFormat="1" spans="1:12">
      <c r="A75" s="318"/>
      <c r="B75" s="654" t="s">
        <v>363</v>
      </c>
      <c r="C75" s="320">
        <v>1</v>
      </c>
      <c r="D75" s="314"/>
      <c r="E75" s="320">
        <v>1</v>
      </c>
      <c r="F75" s="318"/>
      <c r="G75" s="318"/>
      <c r="H75" s="319"/>
      <c r="I75" s="319"/>
      <c r="J75" s="319"/>
      <c r="K75" s="318"/>
      <c r="L75" s="302"/>
    </row>
    <row r="76" s="299" customFormat="1" spans="1:12">
      <c r="A76" s="318"/>
      <c r="B76" s="654" t="s">
        <v>355</v>
      </c>
      <c r="C76" s="320">
        <v>1</v>
      </c>
      <c r="D76" s="314"/>
      <c r="E76" s="320">
        <v>1</v>
      </c>
      <c r="F76" s="318"/>
      <c r="G76" s="318"/>
      <c r="H76" s="319"/>
      <c r="I76" s="319"/>
      <c r="J76" s="319"/>
      <c r="K76" s="318"/>
      <c r="L76" s="302"/>
    </row>
    <row r="77" s="299" customFormat="1" spans="1:12">
      <c r="A77" s="318"/>
      <c r="B77" s="654" t="s">
        <v>356</v>
      </c>
      <c r="C77" s="320">
        <v>1</v>
      </c>
      <c r="D77" s="314"/>
      <c r="E77" s="320">
        <v>1</v>
      </c>
      <c r="F77" s="318"/>
      <c r="G77" s="318"/>
      <c r="H77" s="319"/>
      <c r="I77" s="319"/>
      <c r="J77" s="319"/>
      <c r="K77" s="318"/>
      <c r="L77" s="302"/>
    </row>
    <row r="78" s="297" customFormat="1" ht="89.25" spans="1:12">
      <c r="A78" s="315">
        <v>25</v>
      </c>
      <c r="B78" s="653" t="s">
        <v>398</v>
      </c>
      <c r="C78" s="317">
        <v>14.5</v>
      </c>
      <c r="D78" s="311"/>
      <c r="E78" s="317">
        <v>14.5</v>
      </c>
      <c r="F78" s="315" t="s">
        <v>399</v>
      </c>
      <c r="G78" s="315" t="s">
        <v>81</v>
      </c>
      <c r="H78" s="316" t="s">
        <v>166</v>
      </c>
      <c r="I78" s="316"/>
      <c r="J78" s="316" t="s">
        <v>400</v>
      </c>
      <c r="K78" s="315"/>
      <c r="L78" s="302"/>
    </row>
    <row r="79" s="297" customFormat="1" ht="89.25" spans="1:12">
      <c r="A79" s="315">
        <v>26</v>
      </c>
      <c r="B79" s="653" t="s">
        <v>401</v>
      </c>
      <c r="C79" s="317">
        <v>25.92</v>
      </c>
      <c r="D79" s="317">
        <v>0</v>
      </c>
      <c r="E79" s="317">
        <v>25.92</v>
      </c>
      <c r="F79" s="315" t="s">
        <v>402</v>
      </c>
      <c r="G79" s="315"/>
      <c r="H79" s="316" t="s">
        <v>403</v>
      </c>
      <c r="I79" s="316"/>
      <c r="J79" s="316" t="s">
        <v>404</v>
      </c>
      <c r="K79" s="315"/>
      <c r="L79" s="302"/>
    </row>
    <row r="80" s="299" customFormat="1" ht="38.25" spans="1:12">
      <c r="A80" s="318"/>
      <c r="B80" s="654" t="s">
        <v>405</v>
      </c>
      <c r="C80" s="320">
        <v>15.5</v>
      </c>
      <c r="D80" s="314"/>
      <c r="E80" s="320">
        <v>15.5</v>
      </c>
      <c r="F80" s="318" t="s">
        <v>406</v>
      </c>
      <c r="G80" s="318" t="s">
        <v>81</v>
      </c>
      <c r="H80" s="319"/>
      <c r="I80" s="319"/>
      <c r="J80" s="319"/>
      <c r="K80" s="318"/>
      <c r="L80" s="300"/>
    </row>
    <row r="81" s="299" customFormat="1" ht="51" spans="1:12">
      <c r="A81" s="318"/>
      <c r="B81" s="654" t="s">
        <v>407</v>
      </c>
      <c r="C81" s="320">
        <v>10.42</v>
      </c>
      <c r="D81" s="314"/>
      <c r="E81" s="320">
        <v>10.42</v>
      </c>
      <c r="F81" s="318" t="s">
        <v>408</v>
      </c>
      <c r="G81" s="318" t="s">
        <v>81</v>
      </c>
      <c r="H81" s="319"/>
      <c r="I81" s="319"/>
      <c r="J81" s="319"/>
      <c r="K81" s="318"/>
      <c r="L81" s="300"/>
    </row>
    <row r="82" s="297" customFormat="1" ht="63.75" spans="1:12">
      <c r="A82" s="315">
        <v>27</v>
      </c>
      <c r="B82" s="653" t="s">
        <v>409</v>
      </c>
      <c r="C82" s="317">
        <v>15</v>
      </c>
      <c r="D82" s="317">
        <v>0</v>
      </c>
      <c r="E82" s="317">
        <v>15</v>
      </c>
      <c r="F82" s="315" t="s">
        <v>410</v>
      </c>
      <c r="G82" s="315" t="s">
        <v>81</v>
      </c>
      <c r="H82" s="316" t="s">
        <v>411</v>
      </c>
      <c r="I82" s="316"/>
      <c r="J82" s="316" t="s">
        <v>412</v>
      </c>
      <c r="K82" s="315"/>
      <c r="L82" s="302"/>
    </row>
    <row r="83" s="299" customFormat="1" ht="25.5" spans="1:12">
      <c r="A83" s="318"/>
      <c r="B83" s="654" t="s">
        <v>413</v>
      </c>
      <c r="C83" s="320">
        <v>7.5</v>
      </c>
      <c r="D83" s="314"/>
      <c r="E83" s="320">
        <v>7.5</v>
      </c>
      <c r="F83" s="300" t="s">
        <v>414</v>
      </c>
      <c r="G83" s="318"/>
      <c r="H83" s="319"/>
      <c r="I83" s="319"/>
      <c r="J83" s="319"/>
      <c r="K83" s="318"/>
      <c r="L83" s="300"/>
    </row>
    <row r="84" s="299" customFormat="1" ht="25.5" spans="1:12">
      <c r="A84" s="318"/>
      <c r="B84" s="654" t="s">
        <v>405</v>
      </c>
      <c r="C84" s="320">
        <v>7.5</v>
      </c>
      <c r="D84" s="314"/>
      <c r="E84" s="320">
        <v>7.5</v>
      </c>
      <c r="F84" s="318" t="s">
        <v>415</v>
      </c>
      <c r="G84" s="318"/>
      <c r="H84" s="319"/>
      <c r="I84" s="319"/>
      <c r="J84" s="319"/>
      <c r="K84" s="318"/>
      <c r="L84" s="300"/>
    </row>
    <row r="85" s="297" customFormat="1" ht="89.25" spans="1:12">
      <c r="A85" s="315">
        <v>28</v>
      </c>
      <c r="B85" s="653" t="s">
        <v>416</v>
      </c>
      <c r="C85" s="317">
        <v>16.1</v>
      </c>
      <c r="D85" s="317">
        <v>0</v>
      </c>
      <c r="E85" s="317">
        <v>16.1</v>
      </c>
      <c r="F85" s="315" t="s">
        <v>417</v>
      </c>
      <c r="G85" s="315"/>
      <c r="H85" s="316" t="s">
        <v>418</v>
      </c>
      <c r="I85" s="316"/>
      <c r="J85" s="316" t="s">
        <v>404</v>
      </c>
      <c r="K85" s="315"/>
      <c r="L85" s="302"/>
    </row>
    <row r="86" s="299" customFormat="1" spans="1:12">
      <c r="A86" s="318"/>
      <c r="B86" s="654" t="s">
        <v>365</v>
      </c>
      <c r="C86" s="320">
        <v>3.23</v>
      </c>
      <c r="D86" s="314"/>
      <c r="E86" s="320">
        <v>3.23</v>
      </c>
      <c r="F86" s="318"/>
      <c r="G86" s="318" t="s">
        <v>81</v>
      </c>
      <c r="H86" s="319"/>
      <c r="I86" s="319"/>
      <c r="J86" s="319"/>
      <c r="K86" s="318"/>
      <c r="L86" s="300"/>
    </row>
    <row r="87" s="299" customFormat="1" spans="1:12">
      <c r="A87" s="318"/>
      <c r="B87" s="654" t="s">
        <v>364</v>
      </c>
      <c r="C87" s="320">
        <v>12.87</v>
      </c>
      <c r="D87" s="314"/>
      <c r="E87" s="320">
        <v>12.87</v>
      </c>
      <c r="F87" s="318"/>
      <c r="G87" s="318" t="s">
        <v>81</v>
      </c>
      <c r="H87" s="319"/>
      <c r="I87" s="319"/>
      <c r="J87" s="319"/>
      <c r="K87" s="318"/>
      <c r="L87" s="300"/>
    </row>
    <row r="88" s="297" customFormat="1" ht="89.25" spans="1:12">
      <c r="A88" s="315">
        <v>29</v>
      </c>
      <c r="B88" s="653" t="s">
        <v>419</v>
      </c>
      <c r="C88" s="317">
        <v>27</v>
      </c>
      <c r="D88" s="311"/>
      <c r="E88" s="317">
        <v>27</v>
      </c>
      <c r="F88" s="315" t="s">
        <v>392</v>
      </c>
      <c r="G88" s="315" t="s">
        <v>81</v>
      </c>
      <c r="H88" s="316" t="s">
        <v>159</v>
      </c>
      <c r="I88" s="316"/>
      <c r="J88" s="316" t="s">
        <v>420</v>
      </c>
      <c r="K88" s="315"/>
      <c r="L88" s="302"/>
    </row>
    <row r="89" s="299" customFormat="1" ht="89.25" spans="1:12">
      <c r="A89" s="315">
        <v>30</v>
      </c>
      <c r="B89" s="316" t="s">
        <v>421</v>
      </c>
      <c r="C89" s="317">
        <v>0.54</v>
      </c>
      <c r="D89" s="314"/>
      <c r="E89" s="317">
        <v>0.54</v>
      </c>
      <c r="F89" s="315" t="s">
        <v>30</v>
      </c>
      <c r="G89" s="315" t="s">
        <v>89</v>
      </c>
      <c r="H89" s="316" t="s">
        <v>164</v>
      </c>
      <c r="I89" s="316"/>
      <c r="J89" s="316" t="s">
        <v>422</v>
      </c>
      <c r="K89" s="315"/>
      <c r="L89" s="302"/>
    </row>
    <row r="90" s="299" customFormat="1" ht="63.75" spans="1:12">
      <c r="A90" s="315">
        <v>31</v>
      </c>
      <c r="B90" s="316" t="s">
        <v>423</v>
      </c>
      <c r="C90" s="317">
        <v>2</v>
      </c>
      <c r="D90" s="314"/>
      <c r="E90" s="317">
        <v>2</v>
      </c>
      <c r="F90" s="315" t="s">
        <v>30</v>
      </c>
      <c r="G90" s="315" t="s">
        <v>89</v>
      </c>
      <c r="H90" s="316" t="s">
        <v>166</v>
      </c>
      <c r="I90" s="316"/>
      <c r="J90" s="316" t="s">
        <v>424</v>
      </c>
      <c r="K90" s="315"/>
      <c r="L90" s="302"/>
    </row>
    <row r="91" s="299" customFormat="1" ht="51" spans="1:12">
      <c r="A91" s="315">
        <v>32</v>
      </c>
      <c r="B91" s="316" t="s">
        <v>425</v>
      </c>
      <c r="C91" s="317">
        <v>0.16</v>
      </c>
      <c r="D91" s="314"/>
      <c r="E91" s="317">
        <v>0.16</v>
      </c>
      <c r="F91" s="315" t="s">
        <v>30</v>
      </c>
      <c r="G91" s="315" t="s">
        <v>89</v>
      </c>
      <c r="H91" s="316" t="s">
        <v>167</v>
      </c>
      <c r="I91" s="316"/>
      <c r="J91" s="316" t="s">
        <v>426</v>
      </c>
      <c r="K91" s="315"/>
      <c r="L91" s="302"/>
    </row>
    <row r="92" s="299" customFormat="1" ht="63.75" spans="1:12">
      <c r="A92" s="315">
        <v>33</v>
      </c>
      <c r="B92" s="316" t="s">
        <v>427</v>
      </c>
      <c r="C92" s="317">
        <v>1</v>
      </c>
      <c r="D92" s="314"/>
      <c r="E92" s="317">
        <v>1</v>
      </c>
      <c r="F92" s="315" t="s">
        <v>30</v>
      </c>
      <c r="G92" s="315" t="s">
        <v>89</v>
      </c>
      <c r="H92" s="316" t="s">
        <v>169</v>
      </c>
      <c r="I92" s="316"/>
      <c r="J92" s="316" t="s">
        <v>424</v>
      </c>
      <c r="K92" s="315"/>
      <c r="L92" s="302"/>
    </row>
    <row r="93" s="299" customFormat="1" ht="63.75" spans="1:12">
      <c r="A93" s="315">
        <v>34</v>
      </c>
      <c r="B93" s="316" t="s">
        <v>428</v>
      </c>
      <c r="C93" s="317">
        <v>198.06</v>
      </c>
      <c r="D93" s="317">
        <v>95.98</v>
      </c>
      <c r="E93" s="317">
        <v>102.08</v>
      </c>
      <c r="F93" s="315" t="s">
        <v>30</v>
      </c>
      <c r="G93" s="315" t="s">
        <v>72</v>
      </c>
      <c r="H93" s="316" t="s">
        <v>429</v>
      </c>
      <c r="I93" s="316"/>
      <c r="J93" s="316" t="s">
        <v>430</v>
      </c>
      <c r="K93" s="315"/>
      <c r="L93" s="321"/>
    </row>
    <row r="94" s="299" customFormat="1" spans="1:12">
      <c r="A94" s="318"/>
      <c r="B94" s="654" t="s">
        <v>390</v>
      </c>
      <c r="C94" s="320">
        <v>171.86</v>
      </c>
      <c r="D94" s="320">
        <v>69.86</v>
      </c>
      <c r="E94" s="320">
        <v>102</v>
      </c>
      <c r="F94" s="318"/>
      <c r="G94" s="318"/>
      <c r="H94" s="319"/>
      <c r="I94" s="319"/>
      <c r="J94" s="319"/>
      <c r="K94" s="318"/>
      <c r="L94" s="302"/>
    </row>
    <row r="95" s="299" customFormat="1" spans="1:12">
      <c r="A95" s="318"/>
      <c r="B95" s="654" t="s">
        <v>389</v>
      </c>
      <c r="C95" s="320">
        <v>26.2</v>
      </c>
      <c r="D95" s="320">
        <v>26.12</v>
      </c>
      <c r="E95" s="320">
        <v>0.0799999999999983</v>
      </c>
      <c r="F95" s="318"/>
      <c r="G95" s="318"/>
      <c r="H95" s="319"/>
      <c r="I95" s="319"/>
      <c r="J95" s="319"/>
      <c r="K95" s="318"/>
      <c r="L95" s="302"/>
    </row>
    <row r="96" s="299" customFormat="1" ht="51" spans="1:12">
      <c r="A96" s="315">
        <v>35</v>
      </c>
      <c r="B96" s="316" t="s">
        <v>431</v>
      </c>
      <c r="C96" s="317">
        <v>1.69</v>
      </c>
      <c r="D96" s="314"/>
      <c r="E96" s="317">
        <v>1.69</v>
      </c>
      <c r="F96" s="315" t="s">
        <v>30</v>
      </c>
      <c r="G96" s="315" t="s">
        <v>111</v>
      </c>
      <c r="H96" s="316" t="s">
        <v>165</v>
      </c>
      <c r="I96" s="316"/>
      <c r="J96" s="316" t="s">
        <v>432</v>
      </c>
      <c r="K96" s="315"/>
      <c r="L96" s="302"/>
    </row>
    <row r="97" s="299" customFormat="1" ht="51" spans="1:12">
      <c r="A97" s="315">
        <v>36</v>
      </c>
      <c r="B97" s="316" t="s">
        <v>433</v>
      </c>
      <c r="C97" s="317">
        <v>1</v>
      </c>
      <c r="D97" s="317"/>
      <c r="E97" s="317">
        <v>1</v>
      </c>
      <c r="F97" s="315" t="s">
        <v>30</v>
      </c>
      <c r="G97" s="315" t="s">
        <v>105</v>
      </c>
      <c r="H97" s="316" t="s">
        <v>158</v>
      </c>
      <c r="I97" s="316"/>
      <c r="J97" s="316" t="s">
        <v>434</v>
      </c>
      <c r="K97" s="315"/>
      <c r="L97" s="302"/>
    </row>
    <row r="98" s="299" customFormat="1" ht="63.75" spans="1:14">
      <c r="A98" s="315">
        <v>37</v>
      </c>
      <c r="B98" s="316" t="s">
        <v>435</v>
      </c>
      <c r="C98" s="317">
        <v>10.07</v>
      </c>
      <c r="D98" s="314"/>
      <c r="E98" s="317">
        <v>10.07</v>
      </c>
      <c r="F98" s="315" t="s">
        <v>30</v>
      </c>
      <c r="G98" s="315" t="s">
        <v>436</v>
      </c>
      <c r="H98" s="316" t="s">
        <v>162</v>
      </c>
      <c r="I98" s="316"/>
      <c r="J98" s="316" t="s">
        <v>437</v>
      </c>
      <c r="K98" s="315"/>
      <c r="L98" s="302"/>
      <c r="N98" s="322"/>
    </row>
    <row r="99" s="299" customFormat="1" ht="63.75" spans="1:12">
      <c r="A99" s="315">
        <v>38</v>
      </c>
      <c r="B99" s="316" t="s">
        <v>435</v>
      </c>
      <c r="C99" s="317">
        <v>13.41</v>
      </c>
      <c r="D99" s="314"/>
      <c r="E99" s="317">
        <v>13.41</v>
      </c>
      <c r="F99" s="315" t="s">
        <v>30</v>
      </c>
      <c r="G99" s="315" t="s">
        <v>123</v>
      </c>
      <c r="H99" s="316" t="s">
        <v>167</v>
      </c>
      <c r="I99" s="316"/>
      <c r="J99" s="316" t="s">
        <v>437</v>
      </c>
      <c r="K99" s="315"/>
      <c r="L99" s="302"/>
    </row>
    <row r="100" s="299" customFormat="1" ht="51" spans="1:12">
      <c r="A100" s="315">
        <v>39</v>
      </c>
      <c r="B100" s="316" t="s">
        <v>438</v>
      </c>
      <c r="C100" s="317">
        <v>91</v>
      </c>
      <c r="D100" s="314"/>
      <c r="E100" s="317">
        <v>91</v>
      </c>
      <c r="F100" s="315" t="s">
        <v>30</v>
      </c>
      <c r="G100" s="315" t="s">
        <v>123</v>
      </c>
      <c r="H100" s="316" t="s">
        <v>159</v>
      </c>
      <c r="I100" s="316"/>
      <c r="J100" s="316" t="s">
        <v>439</v>
      </c>
      <c r="K100" s="315"/>
      <c r="L100" s="302"/>
    </row>
    <row r="101" s="299" customFormat="1" ht="63.75" spans="1:12">
      <c r="A101" s="315">
        <v>40</v>
      </c>
      <c r="B101" s="316" t="s">
        <v>440</v>
      </c>
      <c r="C101" s="317">
        <v>5.6</v>
      </c>
      <c r="D101" s="314"/>
      <c r="E101" s="317">
        <v>5.6</v>
      </c>
      <c r="F101" s="315" t="s">
        <v>30</v>
      </c>
      <c r="G101" s="315" t="s">
        <v>441</v>
      </c>
      <c r="H101" s="316" t="s">
        <v>161</v>
      </c>
      <c r="I101" s="316"/>
      <c r="J101" s="316" t="s">
        <v>442</v>
      </c>
      <c r="K101" s="315"/>
      <c r="L101" s="302"/>
    </row>
    <row r="102" s="299" customFormat="1" ht="51" spans="1:12">
      <c r="A102" s="315">
        <v>41</v>
      </c>
      <c r="B102" s="316" t="s">
        <v>443</v>
      </c>
      <c r="C102" s="317">
        <v>1.62</v>
      </c>
      <c r="D102" s="314"/>
      <c r="E102" s="317">
        <v>1.62</v>
      </c>
      <c r="F102" s="315" t="s">
        <v>30</v>
      </c>
      <c r="G102" s="315" t="s">
        <v>441</v>
      </c>
      <c r="H102" s="316" t="s">
        <v>167</v>
      </c>
      <c r="I102" s="316"/>
      <c r="J102" s="316" t="s">
        <v>444</v>
      </c>
      <c r="K102" s="315"/>
      <c r="L102" s="302"/>
    </row>
    <row r="103" s="299" customFormat="1" ht="25.5" spans="1:12">
      <c r="A103" s="315">
        <v>42</v>
      </c>
      <c r="B103" s="316" t="s">
        <v>445</v>
      </c>
      <c r="C103" s="317">
        <v>2.5</v>
      </c>
      <c r="D103" s="314"/>
      <c r="E103" s="317">
        <v>2.5</v>
      </c>
      <c r="F103" s="315" t="s">
        <v>30</v>
      </c>
      <c r="G103" s="315" t="s">
        <v>441</v>
      </c>
      <c r="H103" s="316" t="s">
        <v>166</v>
      </c>
      <c r="I103" s="316"/>
      <c r="J103" s="316" t="s">
        <v>446</v>
      </c>
      <c r="K103" s="315"/>
      <c r="L103" s="302"/>
    </row>
    <row r="104" s="299" customFormat="1" ht="25.5" spans="1:12">
      <c r="A104" s="315">
        <v>43</v>
      </c>
      <c r="B104" s="316" t="s">
        <v>447</v>
      </c>
      <c r="C104" s="317">
        <v>4.5</v>
      </c>
      <c r="D104" s="314"/>
      <c r="E104" s="317">
        <v>4.5</v>
      </c>
      <c r="F104" s="315" t="s">
        <v>30</v>
      </c>
      <c r="G104" s="315" t="s">
        <v>441</v>
      </c>
      <c r="H104" s="316" t="s">
        <v>166</v>
      </c>
      <c r="I104" s="316"/>
      <c r="J104" s="316" t="s">
        <v>446</v>
      </c>
      <c r="K104" s="315"/>
      <c r="L104" s="302"/>
    </row>
    <row r="105" s="299" customFormat="1" ht="63.75" spans="1:12">
      <c r="A105" s="315">
        <v>44</v>
      </c>
      <c r="B105" s="316" t="s">
        <v>448</v>
      </c>
      <c r="C105" s="317">
        <v>2.91</v>
      </c>
      <c r="D105" s="314"/>
      <c r="E105" s="317">
        <v>2.91</v>
      </c>
      <c r="F105" s="315" t="s">
        <v>30</v>
      </c>
      <c r="G105" s="315" t="s">
        <v>126</v>
      </c>
      <c r="H105" s="316" t="s">
        <v>157</v>
      </c>
      <c r="I105" s="316"/>
      <c r="J105" s="316" t="s">
        <v>449</v>
      </c>
      <c r="K105" s="315"/>
      <c r="L105" s="302"/>
    </row>
    <row r="106" s="299" customFormat="1" ht="63.75" spans="1:12">
      <c r="A106" s="315">
        <v>45</v>
      </c>
      <c r="B106" s="316" t="s">
        <v>450</v>
      </c>
      <c r="C106" s="317">
        <v>5.3</v>
      </c>
      <c r="D106" s="314"/>
      <c r="E106" s="317">
        <v>5.3</v>
      </c>
      <c r="F106" s="315" t="s">
        <v>69</v>
      </c>
      <c r="G106" s="315" t="s">
        <v>126</v>
      </c>
      <c r="H106" s="316" t="s">
        <v>157</v>
      </c>
      <c r="I106" s="316"/>
      <c r="J106" s="316" t="s">
        <v>451</v>
      </c>
      <c r="K106" s="315"/>
      <c r="L106" s="302"/>
    </row>
    <row r="107" s="299" customFormat="1" ht="89.25" spans="1:12">
      <c r="A107" s="315">
        <v>46</v>
      </c>
      <c r="B107" s="316" t="s">
        <v>452</v>
      </c>
      <c r="C107" s="317">
        <v>7</v>
      </c>
      <c r="D107" s="314"/>
      <c r="E107" s="317">
        <v>7</v>
      </c>
      <c r="F107" s="315" t="s">
        <v>30</v>
      </c>
      <c r="G107" s="315" t="s">
        <v>126</v>
      </c>
      <c r="H107" s="316" t="s">
        <v>157</v>
      </c>
      <c r="I107" s="316"/>
      <c r="J107" s="316" t="s">
        <v>453</v>
      </c>
      <c r="K107" s="315"/>
      <c r="L107" s="302"/>
    </row>
    <row r="108" s="299" customFormat="1" ht="76.5" spans="1:12">
      <c r="A108" s="315">
        <v>47</v>
      </c>
      <c r="B108" s="316" t="s">
        <v>454</v>
      </c>
      <c r="C108" s="317">
        <v>2</v>
      </c>
      <c r="D108" s="314"/>
      <c r="E108" s="317">
        <v>2</v>
      </c>
      <c r="F108" s="315" t="s">
        <v>30</v>
      </c>
      <c r="G108" s="315" t="s">
        <v>455</v>
      </c>
      <c r="H108" s="316" t="s">
        <v>163</v>
      </c>
      <c r="I108" s="316"/>
      <c r="J108" s="316" t="s">
        <v>456</v>
      </c>
      <c r="K108" s="315"/>
      <c r="L108" s="302"/>
    </row>
    <row r="109" s="299" customFormat="1" ht="51" spans="1:12">
      <c r="A109" s="315">
        <v>48</v>
      </c>
      <c r="B109" s="316" t="s">
        <v>457</v>
      </c>
      <c r="C109" s="317">
        <v>2.02</v>
      </c>
      <c r="D109" s="314"/>
      <c r="E109" s="317">
        <v>2.02</v>
      </c>
      <c r="F109" s="315" t="s">
        <v>30</v>
      </c>
      <c r="G109" s="315" t="s">
        <v>85</v>
      </c>
      <c r="H109" s="316" t="s">
        <v>161</v>
      </c>
      <c r="I109" s="316"/>
      <c r="J109" s="316" t="s">
        <v>458</v>
      </c>
      <c r="K109" s="315"/>
      <c r="L109" s="302"/>
    </row>
    <row r="110" s="299" customFormat="1" ht="76.5" spans="1:12">
      <c r="A110" s="315">
        <v>49</v>
      </c>
      <c r="B110" s="316" t="s">
        <v>459</v>
      </c>
      <c r="C110" s="317">
        <v>3.58</v>
      </c>
      <c r="D110" s="314"/>
      <c r="E110" s="317">
        <v>3.58</v>
      </c>
      <c r="F110" s="315" t="s">
        <v>460</v>
      </c>
      <c r="G110" s="315" t="s">
        <v>83</v>
      </c>
      <c r="H110" s="316" t="s">
        <v>157</v>
      </c>
      <c r="I110" s="316"/>
      <c r="J110" s="316" t="s">
        <v>461</v>
      </c>
      <c r="K110" s="315"/>
      <c r="L110" s="302"/>
    </row>
    <row r="111" s="299" customFormat="1" ht="89.25" spans="1:12">
      <c r="A111" s="315">
        <v>50</v>
      </c>
      <c r="B111" s="316" t="s">
        <v>462</v>
      </c>
      <c r="C111" s="317">
        <v>1.6</v>
      </c>
      <c r="D111" s="314"/>
      <c r="E111" s="317">
        <v>1.6</v>
      </c>
      <c r="F111" s="315" t="s">
        <v>30</v>
      </c>
      <c r="G111" s="315" t="s">
        <v>83</v>
      </c>
      <c r="H111" s="316" t="s">
        <v>159</v>
      </c>
      <c r="I111" s="316"/>
      <c r="J111" s="316" t="s">
        <v>463</v>
      </c>
      <c r="K111" s="315"/>
      <c r="L111" s="302"/>
    </row>
    <row r="112" ht="63.75" spans="1:11">
      <c r="A112" s="315">
        <v>51</v>
      </c>
      <c r="B112" s="316" t="s">
        <v>464</v>
      </c>
      <c r="C112" s="317">
        <v>6.5</v>
      </c>
      <c r="D112" s="317"/>
      <c r="E112" s="317">
        <v>6.5</v>
      </c>
      <c r="F112" s="315" t="s">
        <v>465</v>
      </c>
      <c r="G112" s="315" t="s">
        <v>83</v>
      </c>
      <c r="H112" s="316" t="s">
        <v>160</v>
      </c>
      <c r="I112" s="316"/>
      <c r="J112" s="316" t="s">
        <v>466</v>
      </c>
      <c r="K112" s="315"/>
    </row>
    <row r="113" ht="89.25" spans="1:11">
      <c r="A113" s="315">
        <v>52</v>
      </c>
      <c r="B113" s="316" t="s">
        <v>467</v>
      </c>
      <c r="C113" s="317">
        <v>15</v>
      </c>
      <c r="D113" s="317"/>
      <c r="E113" s="317">
        <v>15</v>
      </c>
      <c r="F113" s="315" t="s">
        <v>468</v>
      </c>
      <c r="G113" s="315" t="s">
        <v>83</v>
      </c>
      <c r="H113" s="316" t="s">
        <v>160</v>
      </c>
      <c r="I113" s="316"/>
      <c r="J113" s="316" t="s">
        <v>469</v>
      </c>
      <c r="K113" s="315"/>
    </row>
    <row r="114" ht="63.75" spans="1:11">
      <c r="A114" s="315">
        <v>53</v>
      </c>
      <c r="B114" s="316" t="s">
        <v>470</v>
      </c>
      <c r="C114" s="317">
        <v>4.87</v>
      </c>
      <c r="D114" s="317"/>
      <c r="E114" s="317">
        <v>4.87</v>
      </c>
      <c r="F114" s="315" t="s">
        <v>471</v>
      </c>
      <c r="G114" s="315" t="s">
        <v>83</v>
      </c>
      <c r="H114" s="316" t="s">
        <v>158</v>
      </c>
      <c r="I114" s="316"/>
      <c r="J114" s="316" t="s">
        <v>472</v>
      </c>
      <c r="K114" s="315"/>
    </row>
    <row r="115" ht="89.25" spans="1:11">
      <c r="A115" s="315">
        <v>54</v>
      </c>
      <c r="B115" s="653" t="s">
        <v>473</v>
      </c>
      <c r="C115" s="317">
        <v>7.7</v>
      </c>
      <c r="D115" s="317"/>
      <c r="E115" s="317">
        <v>7.7</v>
      </c>
      <c r="F115" s="315" t="s">
        <v>474</v>
      </c>
      <c r="G115" s="315" t="s">
        <v>83</v>
      </c>
      <c r="H115" s="316" t="s">
        <v>165</v>
      </c>
      <c r="I115" s="316"/>
      <c r="J115" s="316" t="s">
        <v>475</v>
      </c>
      <c r="K115" s="315"/>
    </row>
    <row r="116" s="299" customFormat="1" ht="38.25" spans="1:12">
      <c r="A116" s="312" t="s">
        <v>55</v>
      </c>
      <c r="B116" s="313" t="s">
        <v>476</v>
      </c>
      <c r="C116" s="314">
        <v>568.1376</v>
      </c>
      <c r="D116" s="314">
        <v>10.00712</v>
      </c>
      <c r="E116" s="314">
        <v>558.13048</v>
      </c>
      <c r="F116" s="312"/>
      <c r="G116" s="312"/>
      <c r="H116" s="313"/>
      <c r="I116" s="313"/>
      <c r="J116" s="313"/>
      <c r="K116" s="315"/>
      <c r="L116" s="302"/>
    </row>
    <row r="117" spans="1:11">
      <c r="A117" s="315"/>
      <c r="B117" s="316" t="s">
        <v>477</v>
      </c>
      <c r="C117" s="317">
        <v>558.6706</v>
      </c>
      <c r="D117" s="317">
        <v>9.23012</v>
      </c>
      <c r="E117" s="317">
        <v>549.44048</v>
      </c>
      <c r="F117" s="309">
        <v>321.70988</v>
      </c>
      <c r="G117" s="315"/>
      <c r="H117" s="316"/>
      <c r="I117" s="316"/>
      <c r="J117" s="316"/>
      <c r="K117" s="315"/>
    </row>
    <row r="118" ht="25.5" spans="1:11">
      <c r="A118" s="315">
        <v>1</v>
      </c>
      <c r="B118" s="316" t="s">
        <v>478</v>
      </c>
      <c r="C118" s="317">
        <v>22.75</v>
      </c>
      <c r="D118" s="317">
        <v>4.6</v>
      </c>
      <c r="E118" s="317">
        <v>18.15</v>
      </c>
      <c r="F118" s="315" t="s">
        <v>30</v>
      </c>
      <c r="G118" s="315" t="s">
        <v>75</v>
      </c>
      <c r="H118" s="316" t="s">
        <v>160</v>
      </c>
      <c r="I118" s="316"/>
      <c r="J118" s="316" t="s">
        <v>479</v>
      </c>
      <c r="K118" s="315"/>
    </row>
    <row r="119" ht="63.75" spans="1:11">
      <c r="A119" s="315">
        <v>2</v>
      </c>
      <c r="B119" s="316" t="s">
        <v>480</v>
      </c>
      <c r="C119" s="317">
        <v>4.62</v>
      </c>
      <c r="D119" s="317"/>
      <c r="E119" s="317">
        <v>4.62</v>
      </c>
      <c r="F119" s="315" t="s">
        <v>30</v>
      </c>
      <c r="G119" s="315" t="s">
        <v>481</v>
      </c>
      <c r="H119" s="316" t="s">
        <v>160</v>
      </c>
      <c r="I119" s="316"/>
      <c r="J119" s="316" t="s">
        <v>482</v>
      </c>
      <c r="K119" s="315"/>
    </row>
    <row r="120" ht="25.5" spans="1:11">
      <c r="A120" s="315">
        <v>3</v>
      </c>
      <c r="B120" s="316" t="s">
        <v>483</v>
      </c>
      <c r="C120" s="317">
        <v>11.61</v>
      </c>
      <c r="D120" s="317"/>
      <c r="E120" s="317">
        <v>11.61</v>
      </c>
      <c r="F120" s="315" t="s">
        <v>30</v>
      </c>
      <c r="G120" s="315" t="s">
        <v>481</v>
      </c>
      <c r="H120" s="316" t="s">
        <v>166</v>
      </c>
      <c r="I120" s="316"/>
      <c r="J120" s="316" t="s">
        <v>484</v>
      </c>
      <c r="K120" s="315"/>
    </row>
    <row r="121" ht="38.25" spans="1:11">
      <c r="A121" s="315">
        <v>4</v>
      </c>
      <c r="B121" s="316" t="s">
        <v>485</v>
      </c>
      <c r="C121" s="317">
        <v>32.2</v>
      </c>
      <c r="D121" s="317">
        <v>3</v>
      </c>
      <c r="E121" s="317">
        <v>29.2</v>
      </c>
      <c r="F121" s="315" t="s">
        <v>30</v>
      </c>
      <c r="G121" s="315" t="s">
        <v>481</v>
      </c>
      <c r="H121" s="316" t="s">
        <v>169</v>
      </c>
      <c r="I121" s="316"/>
      <c r="J121" s="316" t="s">
        <v>486</v>
      </c>
      <c r="K121" s="315"/>
    </row>
    <row r="122" ht="25.5" spans="1:11">
      <c r="A122" s="315">
        <v>5</v>
      </c>
      <c r="B122" s="316" t="s">
        <v>487</v>
      </c>
      <c r="C122" s="317">
        <v>18.5</v>
      </c>
      <c r="D122" s="317">
        <v>1.51012</v>
      </c>
      <c r="E122" s="317">
        <v>16.98988</v>
      </c>
      <c r="F122" s="315" t="s">
        <v>30</v>
      </c>
      <c r="G122" s="315" t="s">
        <v>481</v>
      </c>
      <c r="H122" s="316" t="s">
        <v>169</v>
      </c>
      <c r="I122" s="316"/>
      <c r="J122" s="316" t="s">
        <v>488</v>
      </c>
      <c r="K122" s="315"/>
    </row>
    <row r="123" ht="25.5" spans="1:11">
      <c r="A123" s="315">
        <v>6</v>
      </c>
      <c r="B123" s="316" t="s">
        <v>489</v>
      </c>
      <c r="C123" s="317">
        <v>7.48</v>
      </c>
      <c r="D123" s="317"/>
      <c r="E123" s="317">
        <v>7.48</v>
      </c>
      <c r="F123" s="315" t="s">
        <v>30</v>
      </c>
      <c r="G123" s="315" t="s">
        <v>481</v>
      </c>
      <c r="H123" s="316" t="s">
        <v>169</v>
      </c>
      <c r="I123" s="316"/>
      <c r="J123" s="316" t="s">
        <v>490</v>
      </c>
      <c r="K123" s="315"/>
    </row>
    <row r="124" ht="25.5" spans="1:11">
      <c r="A124" s="315">
        <v>7</v>
      </c>
      <c r="B124" s="316" t="s">
        <v>491</v>
      </c>
      <c r="C124" s="317">
        <v>31.31</v>
      </c>
      <c r="D124" s="317"/>
      <c r="E124" s="317">
        <v>31.31</v>
      </c>
      <c r="F124" s="315" t="s">
        <v>30</v>
      </c>
      <c r="G124" s="315" t="s">
        <v>481</v>
      </c>
      <c r="H124" s="316" t="s">
        <v>166</v>
      </c>
      <c r="I124" s="316"/>
      <c r="J124" s="316" t="s">
        <v>492</v>
      </c>
      <c r="K124" s="315"/>
    </row>
    <row r="125" ht="25.5" spans="1:11">
      <c r="A125" s="315">
        <v>8</v>
      </c>
      <c r="B125" s="316" t="s">
        <v>493</v>
      </c>
      <c r="C125" s="317">
        <v>10.5</v>
      </c>
      <c r="D125" s="317"/>
      <c r="E125" s="317">
        <v>10.5</v>
      </c>
      <c r="F125" s="315" t="s">
        <v>30</v>
      </c>
      <c r="G125" s="315" t="s">
        <v>481</v>
      </c>
      <c r="H125" s="316" t="s">
        <v>166</v>
      </c>
      <c r="I125" s="316"/>
      <c r="J125" s="316" t="s">
        <v>494</v>
      </c>
      <c r="K125" s="315"/>
    </row>
    <row r="126" ht="25.5" spans="1:11">
      <c r="A126" s="315">
        <v>9</v>
      </c>
      <c r="B126" s="316" t="s">
        <v>495</v>
      </c>
      <c r="C126" s="317">
        <v>12.3</v>
      </c>
      <c r="D126" s="317"/>
      <c r="E126" s="317">
        <v>12.3</v>
      </c>
      <c r="F126" s="315" t="s">
        <v>30</v>
      </c>
      <c r="G126" s="315" t="s">
        <v>481</v>
      </c>
      <c r="H126" s="316" t="s">
        <v>169</v>
      </c>
      <c r="I126" s="316"/>
      <c r="J126" s="316" t="s">
        <v>496</v>
      </c>
      <c r="K126" s="315"/>
    </row>
    <row r="127" ht="25.5" spans="1:11">
      <c r="A127" s="315">
        <v>10</v>
      </c>
      <c r="B127" s="316" t="s">
        <v>497</v>
      </c>
      <c r="C127" s="317">
        <v>6</v>
      </c>
      <c r="D127" s="317">
        <v>0.12</v>
      </c>
      <c r="E127" s="317">
        <v>5.88</v>
      </c>
      <c r="F127" s="315" t="s">
        <v>30</v>
      </c>
      <c r="G127" s="315" t="s">
        <v>481</v>
      </c>
      <c r="H127" s="316" t="s">
        <v>164</v>
      </c>
      <c r="I127" s="316"/>
      <c r="J127" s="316" t="s">
        <v>498</v>
      </c>
      <c r="K127" s="315"/>
    </row>
    <row r="128" ht="25.5" spans="1:11">
      <c r="A128" s="315">
        <v>11</v>
      </c>
      <c r="B128" s="316" t="s">
        <v>499</v>
      </c>
      <c r="C128" s="317">
        <v>3.53</v>
      </c>
      <c r="D128" s="317"/>
      <c r="E128" s="317">
        <v>3.53</v>
      </c>
      <c r="F128" s="315" t="s">
        <v>30</v>
      </c>
      <c r="G128" s="315" t="s">
        <v>481</v>
      </c>
      <c r="H128" s="316" t="s">
        <v>161</v>
      </c>
      <c r="I128" s="316"/>
      <c r="J128" s="316" t="s">
        <v>500</v>
      </c>
      <c r="K128" s="315"/>
    </row>
    <row r="129" ht="25.5" spans="1:11">
      <c r="A129" s="315">
        <v>12</v>
      </c>
      <c r="B129" s="316" t="s">
        <v>501</v>
      </c>
      <c r="C129" s="317">
        <v>9.28</v>
      </c>
      <c r="D129" s="317"/>
      <c r="E129" s="317">
        <v>9.28</v>
      </c>
      <c r="F129" s="315" t="s">
        <v>30</v>
      </c>
      <c r="G129" s="315" t="s">
        <v>481</v>
      </c>
      <c r="H129" s="316" t="s">
        <v>161</v>
      </c>
      <c r="I129" s="316"/>
      <c r="J129" s="316" t="s">
        <v>502</v>
      </c>
      <c r="K129" s="315"/>
    </row>
    <row r="130" ht="25.5" spans="1:11">
      <c r="A130" s="315">
        <v>13</v>
      </c>
      <c r="B130" s="316" t="s">
        <v>503</v>
      </c>
      <c r="C130" s="317">
        <v>27</v>
      </c>
      <c r="D130" s="317"/>
      <c r="E130" s="317">
        <v>27</v>
      </c>
      <c r="F130" s="315" t="s">
        <v>30</v>
      </c>
      <c r="G130" s="315" t="s">
        <v>481</v>
      </c>
      <c r="H130" s="316" t="s">
        <v>161</v>
      </c>
      <c r="I130" s="316"/>
      <c r="J130" s="316" t="s">
        <v>504</v>
      </c>
      <c r="K130" s="315"/>
    </row>
    <row r="131" ht="25.5" spans="1:11">
      <c r="A131" s="315">
        <v>14</v>
      </c>
      <c r="B131" s="316" t="s">
        <v>505</v>
      </c>
      <c r="C131" s="317">
        <v>0.54</v>
      </c>
      <c r="D131" s="317"/>
      <c r="E131" s="317">
        <v>0.54</v>
      </c>
      <c r="F131" s="315" t="s">
        <v>506</v>
      </c>
      <c r="G131" s="315" t="s">
        <v>66</v>
      </c>
      <c r="H131" s="316" t="s">
        <v>161</v>
      </c>
      <c r="I131" s="316"/>
      <c r="J131" s="316" t="s">
        <v>507</v>
      </c>
      <c r="K131" s="315"/>
    </row>
    <row r="132" ht="25.5" spans="1:11">
      <c r="A132" s="315">
        <v>15</v>
      </c>
      <c r="B132" s="316" t="s">
        <v>508</v>
      </c>
      <c r="C132" s="317">
        <v>0.08</v>
      </c>
      <c r="D132" s="317"/>
      <c r="E132" s="317">
        <v>0.08</v>
      </c>
      <c r="F132" s="315" t="s">
        <v>30</v>
      </c>
      <c r="G132" s="315" t="s">
        <v>66</v>
      </c>
      <c r="H132" s="316" t="s">
        <v>166</v>
      </c>
      <c r="I132" s="316"/>
      <c r="J132" s="316" t="s">
        <v>509</v>
      </c>
      <c r="K132" s="315"/>
    </row>
    <row r="133" ht="25.5" spans="1:11">
      <c r="A133" s="315">
        <v>16</v>
      </c>
      <c r="B133" s="316" t="s">
        <v>510</v>
      </c>
      <c r="C133" s="317">
        <v>0.08</v>
      </c>
      <c r="D133" s="317"/>
      <c r="E133" s="317">
        <v>0.08</v>
      </c>
      <c r="F133" s="315" t="s">
        <v>30</v>
      </c>
      <c r="G133" s="315" t="s">
        <v>66</v>
      </c>
      <c r="H133" s="316" t="s">
        <v>157</v>
      </c>
      <c r="I133" s="316"/>
      <c r="J133" s="316" t="s">
        <v>511</v>
      </c>
      <c r="K133" s="315"/>
    </row>
    <row r="134" s="301" customFormat="1" ht="25.5" spans="1:11">
      <c r="A134" s="323">
        <v>17</v>
      </c>
      <c r="B134" s="324" t="s">
        <v>512</v>
      </c>
      <c r="C134" s="325">
        <v>0.08</v>
      </c>
      <c r="D134" s="325"/>
      <c r="E134" s="325">
        <v>0.08</v>
      </c>
      <c r="F134" s="323" t="s">
        <v>30</v>
      </c>
      <c r="G134" s="323" t="s">
        <v>66</v>
      </c>
      <c r="H134" s="324" t="s">
        <v>168</v>
      </c>
      <c r="I134" s="324"/>
      <c r="J134" s="324" t="s">
        <v>513</v>
      </c>
      <c r="K134" s="323"/>
    </row>
    <row r="135" ht="25.5" spans="1:11">
      <c r="A135" s="315">
        <v>18</v>
      </c>
      <c r="B135" s="316" t="s">
        <v>514</v>
      </c>
      <c r="C135" s="317">
        <v>0.1</v>
      </c>
      <c r="D135" s="317"/>
      <c r="E135" s="317">
        <v>0.1</v>
      </c>
      <c r="F135" s="315" t="s">
        <v>30</v>
      </c>
      <c r="G135" s="315" t="s">
        <v>66</v>
      </c>
      <c r="H135" s="316" t="s">
        <v>166</v>
      </c>
      <c r="I135" s="316"/>
      <c r="J135" s="316" t="s">
        <v>515</v>
      </c>
      <c r="K135" s="315"/>
    </row>
    <row r="136" ht="25.5" spans="1:11">
      <c r="A136" s="315">
        <v>19</v>
      </c>
      <c r="B136" s="316" t="s">
        <v>516</v>
      </c>
      <c r="C136" s="317">
        <v>2.07</v>
      </c>
      <c r="D136" s="317"/>
      <c r="E136" s="317">
        <v>2.07</v>
      </c>
      <c r="F136" s="315" t="s">
        <v>30</v>
      </c>
      <c r="G136" s="315" t="s">
        <v>66</v>
      </c>
      <c r="H136" s="316" t="s">
        <v>157</v>
      </c>
      <c r="I136" s="316"/>
      <c r="J136" s="316" t="s">
        <v>517</v>
      </c>
      <c r="K136" s="315"/>
    </row>
    <row r="137" ht="25.5" spans="1:11">
      <c r="A137" s="315">
        <v>20</v>
      </c>
      <c r="B137" s="316" t="s">
        <v>518</v>
      </c>
      <c r="C137" s="317">
        <v>0.13</v>
      </c>
      <c r="D137" s="317"/>
      <c r="E137" s="317">
        <v>0.13</v>
      </c>
      <c r="F137" s="315" t="s">
        <v>30</v>
      </c>
      <c r="G137" s="315" t="s">
        <v>66</v>
      </c>
      <c r="H137" s="316" t="s">
        <v>159</v>
      </c>
      <c r="I137" s="316"/>
      <c r="J137" s="316" t="s">
        <v>519</v>
      </c>
      <c r="K137" s="315"/>
    </row>
    <row r="138" ht="25.5" spans="1:11">
      <c r="A138" s="315">
        <v>21</v>
      </c>
      <c r="B138" s="316" t="s">
        <v>520</v>
      </c>
      <c r="C138" s="317">
        <v>2.05</v>
      </c>
      <c r="D138" s="317"/>
      <c r="E138" s="317">
        <v>2.05</v>
      </c>
      <c r="F138" s="315" t="s">
        <v>30</v>
      </c>
      <c r="G138" s="315" t="s">
        <v>69</v>
      </c>
      <c r="H138" s="316" t="s">
        <v>162</v>
      </c>
      <c r="I138" s="316"/>
      <c r="J138" s="316" t="s">
        <v>521</v>
      </c>
      <c r="K138" s="315"/>
    </row>
    <row r="139" ht="25.5" spans="1:11">
      <c r="A139" s="315">
        <v>22</v>
      </c>
      <c r="B139" s="316" t="s">
        <v>522</v>
      </c>
      <c r="C139" s="317">
        <v>5</v>
      </c>
      <c r="D139" s="317"/>
      <c r="E139" s="317">
        <v>5</v>
      </c>
      <c r="F139" s="315" t="s">
        <v>30</v>
      </c>
      <c r="G139" s="315" t="s">
        <v>69</v>
      </c>
      <c r="H139" s="316" t="s">
        <v>162</v>
      </c>
      <c r="I139" s="316"/>
      <c r="J139" s="316" t="s">
        <v>523</v>
      </c>
      <c r="K139" s="315"/>
    </row>
    <row r="140" ht="25.5" spans="1:11">
      <c r="A140" s="315">
        <v>23</v>
      </c>
      <c r="B140" s="316" t="s">
        <v>524</v>
      </c>
      <c r="C140" s="317">
        <v>1.6</v>
      </c>
      <c r="D140" s="317"/>
      <c r="E140" s="317">
        <v>1.6</v>
      </c>
      <c r="F140" s="315" t="s">
        <v>30</v>
      </c>
      <c r="G140" s="315" t="s">
        <v>69</v>
      </c>
      <c r="H140" s="316" t="s">
        <v>169</v>
      </c>
      <c r="I140" s="316"/>
      <c r="J140" s="316" t="s">
        <v>525</v>
      </c>
      <c r="K140" s="315"/>
    </row>
    <row r="141" spans="1:11">
      <c r="A141" s="315">
        <v>24</v>
      </c>
      <c r="B141" s="316" t="s">
        <v>526</v>
      </c>
      <c r="C141" s="317">
        <v>8</v>
      </c>
      <c r="D141" s="317"/>
      <c r="E141" s="317">
        <v>8</v>
      </c>
      <c r="F141" s="315" t="s">
        <v>30</v>
      </c>
      <c r="G141" s="315" t="s">
        <v>481</v>
      </c>
      <c r="H141" s="316" t="s">
        <v>163</v>
      </c>
      <c r="I141" s="316"/>
      <c r="J141" s="316" t="s">
        <v>527</v>
      </c>
      <c r="K141" s="315"/>
    </row>
    <row r="142" ht="25.5" spans="1:11">
      <c r="A142" s="315">
        <v>25</v>
      </c>
      <c r="B142" s="316" t="s">
        <v>528</v>
      </c>
      <c r="C142" s="317">
        <v>8.73</v>
      </c>
      <c r="D142" s="317"/>
      <c r="E142" s="317">
        <v>8.73</v>
      </c>
      <c r="F142" s="315" t="s">
        <v>529</v>
      </c>
      <c r="G142" s="315" t="s">
        <v>530</v>
      </c>
      <c r="H142" s="316" t="s">
        <v>157</v>
      </c>
      <c r="I142" s="316"/>
      <c r="J142" s="316" t="s">
        <v>531</v>
      </c>
      <c r="K142" s="315"/>
    </row>
    <row r="143" ht="25.5" spans="1:11">
      <c r="A143" s="315">
        <v>26</v>
      </c>
      <c r="B143" s="316" t="s">
        <v>532</v>
      </c>
      <c r="C143" s="317">
        <v>61.47</v>
      </c>
      <c r="D143" s="317"/>
      <c r="E143" s="317">
        <v>61.47</v>
      </c>
      <c r="F143" s="315" t="s">
        <v>30</v>
      </c>
      <c r="G143" s="315" t="s">
        <v>441</v>
      </c>
      <c r="H143" s="316" t="s">
        <v>160</v>
      </c>
      <c r="I143" s="316"/>
      <c r="J143" s="316" t="s">
        <v>533</v>
      </c>
      <c r="K143" s="315"/>
    </row>
    <row r="144" ht="25.5" spans="1:11">
      <c r="A144" s="315">
        <v>27</v>
      </c>
      <c r="B144" s="316" t="s">
        <v>534</v>
      </c>
      <c r="C144" s="317">
        <v>25.93</v>
      </c>
      <c r="D144" s="317"/>
      <c r="E144" s="317">
        <v>25.93</v>
      </c>
      <c r="F144" s="315" t="s">
        <v>30</v>
      </c>
      <c r="G144" s="315" t="s">
        <v>441</v>
      </c>
      <c r="H144" s="316" t="s">
        <v>160</v>
      </c>
      <c r="I144" s="316"/>
      <c r="J144" s="316" t="s">
        <v>535</v>
      </c>
      <c r="K144" s="315"/>
    </row>
    <row r="145" ht="25.5" spans="1:11">
      <c r="A145" s="315">
        <v>28</v>
      </c>
      <c r="B145" s="316" t="s">
        <v>536</v>
      </c>
      <c r="C145" s="317">
        <v>18</v>
      </c>
      <c r="D145" s="317"/>
      <c r="E145" s="317">
        <v>18</v>
      </c>
      <c r="F145" s="315" t="s">
        <v>30</v>
      </c>
      <c r="G145" s="315" t="s">
        <v>441</v>
      </c>
      <c r="H145" s="316" t="s">
        <v>166</v>
      </c>
      <c r="I145" s="316"/>
      <c r="J145" s="316" t="s">
        <v>537</v>
      </c>
      <c r="K145" s="315"/>
    </row>
    <row r="146" spans="1:11">
      <c r="A146" s="315">
        <v>29</v>
      </c>
      <c r="B146" s="316" t="s">
        <v>538</v>
      </c>
      <c r="C146" s="317">
        <v>207.54579</v>
      </c>
      <c r="D146" s="317"/>
      <c r="E146" s="317">
        <v>207.54579</v>
      </c>
      <c r="F146" s="315"/>
      <c r="G146" s="315"/>
      <c r="H146" s="316"/>
      <c r="I146" s="316"/>
      <c r="J146" s="316"/>
      <c r="K146" s="315"/>
    </row>
    <row r="147" s="300" customFormat="1" spans="1:12">
      <c r="A147" s="318" t="s">
        <v>79</v>
      </c>
      <c r="B147" s="319" t="s">
        <v>539</v>
      </c>
      <c r="C147" s="320">
        <v>23.8962</v>
      </c>
      <c r="D147" s="320"/>
      <c r="E147" s="320">
        <v>23.8962</v>
      </c>
      <c r="F147" s="318" t="s">
        <v>540</v>
      </c>
      <c r="G147" s="318"/>
      <c r="H147" s="319"/>
      <c r="I147" s="319"/>
      <c r="J147" s="319"/>
      <c r="K147" s="315"/>
      <c r="L147" s="302"/>
    </row>
    <row r="148" s="300" customFormat="1" spans="1:12">
      <c r="A148" s="318" t="s">
        <v>79</v>
      </c>
      <c r="B148" s="319" t="s">
        <v>541</v>
      </c>
      <c r="C148" s="320">
        <v>13.449</v>
      </c>
      <c r="D148" s="320"/>
      <c r="E148" s="320">
        <v>13.449</v>
      </c>
      <c r="F148" s="318" t="s">
        <v>30</v>
      </c>
      <c r="G148" s="318"/>
      <c r="H148" s="319"/>
      <c r="I148" s="319"/>
      <c r="J148" s="319"/>
      <c r="K148" s="315"/>
      <c r="L148" s="302"/>
    </row>
    <row r="149" s="300" customFormat="1" spans="1:12">
      <c r="A149" s="318" t="s">
        <v>79</v>
      </c>
      <c r="B149" s="319" t="s">
        <v>542</v>
      </c>
      <c r="C149" s="320">
        <v>11.021</v>
      </c>
      <c r="D149" s="320"/>
      <c r="E149" s="320">
        <v>11.021</v>
      </c>
      <c r="F149" s="318" t="s">
        <v>30</v>
      </c>
      <c r="G149" s="318"/>
      <c r="H149" s="319"/>
      <c r="I149" s="319"/>
      <c r="J149" s="319"/>
      <c r="K149" s="315"/>
      <c r="L149" s="302"/>
    </row>
    <row r="150" s="300" customFormat="1" spans="1:12">
      <c r="A150" s="318" t="s">
        <v>79</v>
      </c>
      <c r="B150" s="319" t="s">
        <v>543</v>
      </c>
      <c r="C150" s="320">
        <v>6.31999999999999</v>
      </c>
      <c r="D150" s="320"/>
      <c r="E150" s="320">
        <v>6.31999999999999</v>
      </c>
      <c r="F150" s="318" t="s">
        <v>30</v>
      </c>
      <c r="G150" s="318"/>
      <c r="H150" s="319"/>
      <c r="I150" s="319"/>
      <c r="J150" s="319"/>
      <c r="K150" s="315"/>
      <c r="L150" s="302"/>
    </row>
    <row r="151" s="300" customFormat="1" spans="1:12">
      <c r="A151" s="318" t="s">
        <v>79</v>
      </c>
      <c r="B151" s="319" t="s">
        <v>544</v>
      </c>
      <c r="C151" s="320">
        <v>17.705</v>
      </c>
      <c r="D151" s="320"/>
      <c r="E151" s="320">
        <v>17.705</v>
      </c>
      <c r="F151" s="318" t="s">
        <v>540</v>
      </c>
      <c r="G151" s="318"/>
      <c r="H151" s="319"/>
      <c r="I151" s="319"/>
      <c r="J151" s="319"/>
      <c r="K151" s="315"/>
      <c r="L151" s="302"/>
    </row>
    <row r="152" s="300" customFormat="1" spans="1:12">
      <c r="A152" s="318" t="s">
        <v>79</v>
      </c>
      <c r="B152" s="319" t="s">
        <v>545</v>
      </c>
      <c r="C152" s="320">
        <v>12.315</v>
      </c>
      <c r="D152" s="320"/>
      <c r="E152" s="320">
        <v>12.315</v>
      </c>
      <c r="F152" s="318" t="s">
        <v>540</v>
      </c>
      <c r="G152" s="318"/>
      <c r="H152" s="319"/>
      <c r="I152" s="319"/>
      <c r="J152" s="319"/>
      <c r="K152" s="315"/>
      <c r="L152" s="302"/>
    </row>
    <row r="153" s="300" customFormat="1" spans="1:12">
      <c r="A153" s="318" t="s">
        <v>79</v>
      </c>
      <c r="B153" s="319" t="s">
        <v>546</v>
      </c>
      <c r="C153" s="320">
        <v>5.54999999999999</v>
      </c>
      <c r="D153" s="320"/>
      <c r="E153" s="320">
        <v>5.54999999999999</v>
      </c>
      <c r="F153" s="318" t="s">
        <v>30</v>
      </c>
      <c r="G153" s="318"/>
      <c r="H153" s="319"/>
      <c r="I153" s="319"/>
      <c r="J153" s="319"/>
      <c r="K153" s="315"/>
      <c r="L153" s="302"/>
    </row>
    <row r="154" s="300" customFormat="1" spans="1:12">
      <c r="A154" s="318" t="s">
        <v>79</v>
      </c>
      <c r="B154" s="319" t="s">
        <v>547</v>
      </c>
      <c r="C154" s="320">
        <v>12.605</v>
      </c>
      <c r="D154" s="320"/>
      <c r="E154" s="320">
        <v>12.605</v>
      </c>
      <c r="F154" s="318" t="s">
        <v>30</v>
      </c>
      <c r="G154" s="318"/>
      <c r="H154" s="319"/>
      <c r="I154" s="319"/>
      <c r="J154" s="319"/>
      <c r="K154" s="315"/>
      <c r="L154" s="302"/>
    </row>
    <row r="155" s="300" customFormat="1" spans="1:12">
      <c r="A155" s="318" t="s">
        <v>79</v>
      </c>
      <c r="B155" s="319" t="s">
        <v>548</v>
      </c>
      <c r="C155" s="320">
        <v>33.548</v>
      </c>
      <c r="D155" s="320"/>
      <c r="E155" s="320">
        <v>33.548</v>
      </c>
      <c r="F155" s="318" t="s">
        <v>540</v>
      </c>
      <c r="G155" s="318"/>
      <c r="H155" s="319"/>
      <c r="I155" s="319"/>
      <c r="J155" s="319"/>
      <c r="K155" s="315"/>
      <c r="L155" s="302"/>
    </row>
    <row r="156" s="300" customFormat="1" spans="1:12">
      <c r="A156" s="318" t="s">
        <v>79</v>
      </c>
      <c r="B156" s="319" t="s">
        <v>549</v>
      </c>
      <c r="C156" s="320">
        <v>13.7949999999999</v>
      </c>
      <c r="D156" s="320"/>
      <c r="E156" s="320">
        <v>13.7949999999999</v>
      </c>
      <c r="F156" s="318" t="s">
        <v>30</v>
      </c>
      <c r="G156" s="318"/>
      <c r="H156" s="319"/>
      <c r="I156" s="319"/>
      <c r="J156" s="319"/>
      <c r="K156" s="315"/>
      <c r="L156" s="302"/>
    </row>
    <row r="157" s="300" customFormat="1" spans="1:12">
      <c r="A157" s="318" t="s">
        <v>79</v>
      </c>
      <c r="B157" s="319" t="s">
        <v>550</v>
      </c>
      <c r="C157" s="320">
        <v>22.0925</v>
      </c>
      <c r="D157" s="320"/>
      <c r="E157" s="320">
        <v>22.0925</v>
      </c>
      <c r="F157" s="318" t="s">
        <v>30</v>
      </c>
      <c r="G157" s="318"/>
      <c r="H157" s="319"/>
      <c r="I157" s="319"/>
      <c r="J157" s="319"/>
      <c r="K157" s="315"/>
      <c r="L157" s="302"/>
    </row>
    <row r="158" s="300" customFormat="1" spans="1:12">
      <c r="A158" s="318" t="s">
        <v>79</v>
      </c>
      <c r="B158" s="319" t="s">
        <v>551</v>
      </c>
      <c r="C158" s="320">
        <v>28.61</v>
      </c>
      <c r="D158" s="320"/>
      <c r="E158" s="320">
        <v>28.61</v>
      </c>
      <c r="F158" s="318" t="s">
        <v>540</v>
      </c>
      <c r="G158" s="318"/>
      <c r="H158" s="319"/>
      <c r="I158" s="319"/>
      <c r="J158" s="319"/>
      <c r="K158" s="315"/>
      <c r="L158" s="302"/>
    </row>
    <row r="159" s="300" customFormat="1" spans="1:12">
      <c r="A159" s="318" t="s">
        <v>79</v>
      </c>
      <c r="B159" s="319" t="s">
        <v>552</v>
      </c>
      <c r="C159" s="320">
        <v>6.63908999999999</v>
      </c>
      <c r="D159" s="320"/>
      <c r="E159" s="320">
        <v>6.63908999999999</v>
      </c>
      <c r="F159" s="318" t="s">
        <v>30</v>
      </c>
      <c r="G159" s="318"/>
      <c r="H159" s="319"/>
      <c r="I159" s="319"/>
      <c r="J159" s="319"/>
      <c r="K159" s="315"/>
      <c r="L159" s="302"/>
    </row>
    <row r="160" spans="1:11">
      <c r="A160" s="315">
        <v>30</v>
      </c>
      <c r="B160" s="316" t="s">
        <v>553</v>
      </c>
      <c r="C160" s="317">
        <v>11.823</v>
      </c>
      <c r="D160" s="317"/>
      <c r="E160" s="317">
        <v>11.823</v>
      </c>
      <c r="F160" s="315"/>
      <c r="G160" s="315"/>
      <c r="H160" s="316"/>
      <c r="I160" s="316"/>
      <c r="J160" s="316"/>
      <c r="K160" s="315"/>
    </row>
    <row r="161" s="300" customFormat="1" spans="1:12">
      <c r="A161" s="318" t="s">
        <v>79</v>
      </c>
      <c r="B161" s="319" t="s">
        <v>541</v>
      </c>
      <c r="C161" s="320">
        <v>0.1</v>
      </c>
      <c r="D161" s="320"/>
      <c r="E161" s="320">
        <v>0.1</v>
      </c>
      <c r="F161" s="318" t="s">
        <v>30</v>
      </c>
      <c r="G161" s="318"/>
      <c r="H161" s="319"/>
      <c r="I161" s="319"/>
      <c r="J161" s="319"/>
      <c r="K161" s="315"/>
      <c r="L161" s="302"/>
    </row>
    <row r="162" s="300" customFormat="1" spans="1:12">
      <c r="A162" s="318" t="s">
        <v>79</v>
      </c>
      <c r="B162" s="319" t="s">
        <v>546</v>
      </c>
      <c r="C162" s="320">
        <v>1.8</v>
      </c>
      <c r="D162" s="320"/>
      <c r="E162" s="320">
        <v>1.8</v>
      </c>
      <c r="F162" s="318" t="s">
        <v>30</v>
      </c>
      <c r="G162" s="318"/>
      <c r="H162" s="319"/>
      <c r="I162" s="319"/>
      <c r="J162" s="319"/>
      <c r="K162" s="315"/>
      <c r="L162" s="302"/>
    </row>
    <row r="163" s="300" customFormat="1" spans="1:12">
      <c r="A163" s="318" t="s">
        <v>79</v>
      </c>
      <c r="B163" s="319" t="s">
        <v>547</v>
      </c>
      <c r="C163" s="320">
        <v>0.22</v>
      </c>
      <c r="D163" s="320"/>
      <c r="E163" s="320">
        <v>0.22</v>
      </c>
      <c r="F163" s="318" t="s">
        <v>30</v>
      </c>
      <c r="G163" s="318"/>
      <c r="H163" s="319"/>
      <c r="I163" s="319"/>
      <c r="J163" s="319"/>
      <c r="K163" s="315"/>
      <c r="L163" s="302"/>
    </row>
    <row r="164" s="300" customFormat="1" spans="1:12">
      <c r="A164" s="318" t="s">
        <v>79</v>
      </c>
      <c r="B164" s="319" t="s">
        <v>548</v>
      </c>
      <c r="C164" s="320">
        <v>4.993</v>
      </c>
      <c r="D164" s="320"/>
      <c r="E164" s="320">
        <v>4.993</v>
      </c>
      <c r="F164" s="318" t="s">
        <v>30</v>
      </c>
      <c r="G164" s="318"/>
      <c r="H164" s="319"/>
      <c r="I164" s="319"/>
      <c r="J164" s="319"/>
      <c r="K164" s="315"/>
      <c r="L164" s="302"/>
    </row>
    <row r="165" s="300" customFormat="1" spans="1:12">
      <c r="A165" s="318" t="s">
        <v>79</v>
      </c>
      <c r="B165" s="319" t="s">
        <v>550</v>
      </c>
      <c r="C165" s="320">
        <v>3</v>
      </c>
      <c r="D165" s="320"/>
      <c r="E165" s="320">
        <v>3</v>
      </c>
      <c r="F165" s="318" t="s">
        <v>30</v>
      </c>
      <c r="G165" s="318"/>
      <c r="H165" s="319"/>
      <c r="I165" s="319"/>
      <c r="J165" s="319"/>
      <c r="K165" s="315"/>
      <c r="L165" s="302"/>
    </row>
    <row r="166" s="300" customFormat="1" spans="1:12">
      <c r="A166" s="318" t="s">
        <v>79</v>
      </c>
      <c r="B166" s="319" t="s">
        <v>551</v>
      </c>
      <c r="C166" s="320">
        <v>1.71</v>
      </c>
      <c r="D166" s="320"/>
      <c r="E166" s="320">
        <v>1.71</v>
      </c>
      <c r="F166" s="318" t="s">
        <v>30</v>
      </c>
      <c r="G166" s="318"/>
      <c r="H166" s="319"/>
      <c r="I166" s="319"/>
      <c r="J166" s="319"/>
      <c r="K166" s="315"/>
      <c r="L166" s="302"/>
    </row>
    <row r="167" spans="1:11">
      <c r="A167" s="315">
        <v>31</v>
      </c>
      <c r="B167" s="316" t="s">
        <v>554</v>
      </c>
      <c r="C167" s="317">
        <v>0.64472</v>
      </c>
      <c r="D167" s="317"/>
      <c r="E167" s="317">
        <v>0.64472</v>
      </c>
      <c r="F167" s="315"/>
      <c r="G167" s="315"/>
      <c r="H167" s="316"/>
      <c r="I167" s="316"/>
      <c r="J167" s="316"/>
      <c r="K167" s="315"/>
    </row>
    <row r="168" s="300" customFormat="1" spans="1:11">
      <c r="A168" s="318" t="s">
        <v>79</v>
      </c>
      <c r="B168" s="319" t="s">
        <v>547</v>
      </c>
      <c r="C168" s="320">
        <v>0.11</v>
      </c>
      <c r="D168" s="320"/>
      <c r="E168" s="320">
        <v>0.11</v>
      </c>
      <c r="F168" s="318" t="s">
        <v>30</v>
      </c>
      <c r="G168" s="318"/>
      <c r="H168" s="319"/>
      <c r="I168" s="319"/>
      <c r="J168" s="319"/>
      <c r="K168" s="318"/>
    </row>
    <row r="169" s="300" customFormat="1" spans="1:12">
      <c r="A169" s="318" t="s">
        <v>79</v>
      </c>
      <c r="B169" s="319" t="s">
        <v>548</v>
      </c>
      <c r="C169" s="320">
        <v>0.53472</v>
      </c>
      <c r="D169" s="320"/>
      <c r="E169" s="320">
        <v>0.53472</v>
      </c>
      <c r="F169" s="318" t="s">
        <v>30</v>
      </c>
      <c r="G169" s="318"/>
      <c r="H169" s="319"/>
      <c r="I169" s="319"/>
      <c r="J169" s="319"/>
      <c r="K169" s="315"/>
      <c r="L169" s="302"/>
    </row>
    <row r="170" spans="1:11">
      <c r="A170" s="315">
        <v>32</v>
      </c>
      <c r="B170" s="316" t="s">
        <v>555</v>
      </c>
      <c r="C170" s="317">
        <v>5.27709</v>
      </c>
      <c r="D170" s="317"/>
      <c r="E170" s="317">
        <v>5.27709</v>
      </c>
      <c r="F170" s="315"/>
      <c r="G170" s="315"/>
      <c r="H170" s="316"/>
      <c r="I170" s="316"/>
      <c r="J170" s="316"/>
      <c r="K170" s="315"/>
    </row>
    <row r="171" s="300" customFormat="1" spans="1:12">
      <c r="A171" s="318" t="s">
        <v>79</v>
      </c>
      <c r="B171" s="319" t="s">
        <v>551</v>
      </c>
      <c r="C171" s="320">
        <v>2.28189</v>
      </c>
      <c r="D171" s="320"/>
      <c r="E171" s="320">
        <v>2.28189</v>
      </c>
      <c r="F171" s="318" t="s">
        <v>556</v>
      </c>
      <c r="G171" s="318"/>
      <c r="H171" s="319"/>
      <c r="I171" s="319"/>
      <c r="J171" s="319"/>
      <c r="K171" s="315"/>
      <c r="L171" s="302"/>
    </row>
    <row r="172" s="300" customFormat="1" spans="1:12">
      <c r="A172" s="318" t="s">
        <v>79</v>
      </c>
      <c r="B172" s="319" t="s">
        <v>541</v>
      </c>
      <c r="C172" s="320">
        <v>0.05</v>
      </c>
      <c r="D172" s="320"/>
      <c r="E172" s="320">
        <v>0.05</v>
      </c>
      <c r="F172" s="318" t="s">
        <v>43</v>
      </c>
      <c r="G172" s="318"/>
      <c r="H172" s="319"/>
      <c r="I172" s="319"/>
      <c r="J172" s="319"/>
      <c r="K172" s="315"/>
      <c r="L172" s="302"/>
    </row>
    <row r="173" s="300" customFormat="1" spans="1:12">
      <c r="A173" s="318" t="s">
        <v>79</v>
      </c>
      <c r="B173" s="319" t="s">
        <v>548</v>
      </c>
      <c r="C173" s="320">
        <v>2.9452</v>
      </c>
      <c r="D173" s="320"/>
      <c r="E173" s="320">
        <v>2.9452</v>
      </c>
      <c r="F173" s="318" t="s">
        <v>557</v>
      </c>
      <c r="G173" s="318"/>
      <c r="H173" s="319"/>
      <c r="I173" s="319"/>
      <c r="J173" s="319"/>
      <c r="K173" s="315"/>
      <c r="L173" s="302"/>
    </row>
    <row r="174" spans="1:11">
      <c r="A174" s="315">
        <v>33</v>
      </c>
      <c r="B174" s="316" t="s">
        <v>558</v>
      </c>
      <c r="C174" s="317">
        <v>1.74</v>
      </c>
      <c r="D174" s="317"/>
      <c r="E174" s="317">
        <v>1.74</v>
      </c>
      <c r="F174" s="315"/>
      <c r="G174" s="315"/>
      <c r="H174" s="316"/>
      <c r="I174" s="316"/>
      <c r="J174" s="316"/>
      <c r="K174" s="315"/>
    </row>
    <row r="175" s="300" customFormat="1" spans="1:12">
      <c r="A175" s="318" t="s">
        <v>79</v>
      </c>
      <c r="B175" s="319" t="s">
        <v>548</v>
      </c>
      <c r="C175" s="320">
        <v>0.37</v>
      </c>
      <c r="D175" s="320"/>
      <c r="E175" s="320">
        <v>0.37</v>
      </c>
      <c r="F175" s="318" t="s">
        <v>30</v>
      </c>
      <c r="G175" s="318"/>
      <c r="H175" s="319"/>
      <c r="I175" s="319"/>
      <c r="J175" s="319"/>
      <c r="K175" s="315"/>
      <c r="L175" s="302"/>
    </row>
    <row r="176" s="300" customFormat="1" spans="1:12">
      <c r="A176" s="318" t="s">
        <v>79</v>
      </c>
      <c r="B176" s="319" t="s">
        <v>539</v>
      </c>
      <c r="C176" s="320">
        <v>0.1</v>
      </c>
      <c r="D176" s="320"/>
      <c r="E176" s="320">
        <v>0.1</v>
      </c>
      <c r="F176" s="318" t="s">
        <v>30</v>
      </c>
      <c r="G176" s="318"/>
      <c r="H176" s="319"/>
      <c r="I176" s="319"/>
      <c r="J176" s="319"/>
      <c r="K176" s="315"/>
      <c r="L176" s="302"/>
    </row>
    <row r="177" s="300" customFormat="1" spans="1:12">
      <c r="A177" s="318" t="s">
        <v>79</v>
      </c>
      <c r="B177" s="319" t="s">
        <v>541</v>
      </c>
      <c r="C177" s="320">
        <v>1</v>
      </c>
      <c r="D177" s="320"/>
      <c r="E177" s="320">
        <v>1</v>
      </c>
      <c r="F177" s="318" t="s">
        <v>30</v>
      </c>
      <c r="G177" s="318"/>
      <c r="H177" s="319"/>
      <c r="I177" s="319"/>
      <c r="J177" s="319"/>
      <c r="K177" s="315"/>
      <c r="L177" s="302"/>
    </row>
    <row r="178" s="300" customFormat="1" spans="1:12">
      <c r="A178" s="318" t="s">
        <v>79</v>
      </c>
      <c r="B178" s="319" t="s">
        <v>547</v>
      </c>
      <c r="C178" s="320">
        <v>0.22</v>
      </c>
      <c r="D178" s="320"/>
      <c r="E178" s="320">
        <v>0.22</v>
      </c>
      <c r="F178" s="318" t="s">
        <v>30</v>
      </c>
      <c r="G178" s="318"/>
      <c r="H178" s="319"/>
      <c r="I178" s="319"/>
      <c r="J178" s="319"/>
      <c r="K178" s="315"/>
      <c r="L178" s="302"/>
    </row>
    <row r="179" s="300" customFormat="1" spans="1:12">
      <c r="A179" s="318" t="s">
        <v>79</v>
      </c>
      <c r="B179" s="319" t="s">
        <v>550</v>
      </c>
      <c r="C179" s="320">
        <v>0.05</v>
      </c>
      <c r="D179" s="320"/>
      <c r="E179" s="320">
        <v>0.05</v>
      </c>
      <c r="F179" s="318" t="s">
        <v>30</v>
      </c>
      <c r="G179" s="318"/>
      <c r="H179" s="319"/>
      <c r="I179" s="319"/>
      <c r="J179" s="319"/>
      <c r="K179" s="315"/>
      <c r="L179" s="302"/>
    </row>
    <row r="180" s="300" customFormat="1" spans="1:12">
      <c r="A180" s="318">
        <v>34</v>
      </c>
      <c r="B180" s="319" t="s">
        <v>559</v>
      </c>
      <c r="C180" s="320">
        <v>0.7</v>
      </c>
      <c r="D180" s="320"/>
      <c r="E180" s="320">
        <v>0.7</v>
      </c>
      <c r="F180" s="318"/>
      <c r="G180" s="318"/>
      <c r="H180" s="319"/>
      <c r="I180" s="319"/>
      <c r="J180" s="319"/>
      <c r="K180" s="315"/>
      <c r="L180" s="302"/>
    </row>
    <row r="181" s="300" customFormat="1" spans="1:12">
      <c r="A181" s="318" t="s">
        <v>79</v>
      </c>
      <c r="B181" s="319" t="s">
        <v>539</v>
      </c>
      <c r="C181" s="320">
        <v>0.1</v>
      </c>
      <c r="D181" s="320"/>
      <c r="E181" s="320">
        <v>0.1</v>
      </c>
      <c r="F181" s="318" t="s">
        <v>30</v>
      </c>
      <c r="G181" s="318"/>
      <c r="H181" s="319"/>
      <c r="I181" s="319"/>
      <c r="J181" s="319"/>
      <c r="K181" s="315"/>
      <c r="L181" s="302"/>
    </row>
    <row r="182" s="300" customFormat="1" spans="1:12">
      <c r="A182" s="318" t="s">
        <v>79</v>
      </c>
      <c r="B182" s="319" t="s">
        <v>548</v>
      </c>
      <c r="C182" s="320">
        <v>0.3</v>
      </c>
      <c r="D182" s="320"/>
      <c r="E182" s="320">
        <v>0.3</v>
      </c>
      <c r="F182" s="318" t="s">
        <v>30</v>
      </c>
      <c r="G182" s="318"/>
      <c r="H182" s="319"/>
      <c r="I182" s="319"/>
      <c r="J182" s="319"/>
      <c r="K182" s="315"/>
      <c r="L182" s="302"/>
    </row>
    <row r="183" s="300" customFormat="1" spans="1:12">
      <c r="A183" s="318" t="s">
        <v>79</v>
      </c>
      <c r="B183" s="319" t="s">
        <v>550</v>
      </c>
      <c r="C183" s="320">
        <v>0.3</v>
      </c>
      <c r="D183" s="320"/>
      <c r="E183" s="320">
        <v>0.3</v>
      </c>
      <c r="F183" s="318" t="s">
        <v>30</v>
      </c>
      <c r="G183" s="318"/>
      <c r="H183" s="319"/>
      <c r="I183" s="319"/>
      <c r="J183" s="319"/>
      <c r="K183" s="315"/>
      <c r="L183" s="302"/>
    </row>
    <row r="184" spans="1:11">
      <c r="A184" s="315"/>
      <c r="B184" s="316" t="s">
        <v>560</v>
      </c>
      <c r="C184" s="317">
        <v>0.777</v>
      </c>
      <c r="D184" s="317">
        <v>0.777</v>
      </c>
      <c r="E184" s="317">
        <v>0</v>
      </c>
      <c r="F184" s="315"/>
      <c r="G184" s="315"/>
      <c r="H184" s="316"/>
      <c r="I184" s="316"/>
      <c r="J184" s="316"/>
      <c r="K184" s="315"/>
    </row>
    <row r="185" ht="25.5" spans="1:11">
      <c r="A185" s="315">
        <v>1</v>
      </c>
      <c r="B185" s="316" t="s">
        <v>561</v>
      </c>
      <c r="C185" s="317">
        <v>0.3</v>
      </c>
      <c r="D185" s="317">
        <v>0.3</v>
      </c>
      <c r="E185" s="317"/>
      <c r="F185" s="315"/>
      <c r="G185" s="315" t="s">
        <v>103</v>
      </c>
      <c r="H185" s="316" t="s">
        <v>160</v>
      </c>
      <c r="I185" s="316"/>
      <c r="J185" s="316" t="s">
        <v>562</v>
      </c>
      <c r="K185" s="315"/>
    </row>
    <row r="186" ht="25.5" spans="1:11">
      <c r="A186" s="315">
        <v>2</v>
      </c>
      <c r="B186" s="316" t="s">
        <v>563</v>
      </c>
      <c r="C186" s="317">
        <v>0.477</v>
      </c>
      <c r="D186" s="317">
        <v>0.477</v>
      </c>
      <c r="E186" s="317"/>
      <c r="F186" s="315"/>
      <c r="G186" s="315" t="s">
        <v>103</v>
      </c>
      <c r="H186" s="316" t="s">
        <v>164</v>
      </c>
      <c r="I186" s="316"/>
      <c r="J186" s="316" t="s">
        <v>564</v>
      </c>
      <c r="K186" s="315"/>
    </row>
    <row r="187" spans="1:11">
      <c r="A187" s="315"/>
      <c r="B187" s="316" t="s">
        <v>565</v>
      </c>
      <c r="C187" s="317">
        <v>8.69</v>
      </c>
      <c r="D187" s="317">
        <v>0</v>
      </c>
      <c r="E187" s="317">
        <v>8.69</v>
      </c>
      <c r="F187" s="315"/>
      <c r="G187" s="315"/>
      <c r="H187" s="316"/>
      <c r="I187" s="316"/>
      <c r="J187" s="316"/>
      <c r="K187" s="315"/>
    </row>
    <row r="188" ht="25.5" spans="1:11">
      <c r="A188" s="315">
        <v>1</v>
      </c>
      <c r="B188" s="316" t="s">
        <v>566</v>
      </c>
      <c r="C188" s="317">
        <v>1.36</v>
      </c>
      <c r="D188" s="317"/>
      <c r="E188" s="317">
        <v>1.36</v>
      </c>
      <c r="F188" s="315" t="s">
        <v>126</v>
      </c>
      <c r="G188" s="315" t="s">
        <v>126</v>
      </c>
      <c r="H188" s="316" t="s">
        <v>157</v>
      </c>
      <c r="I188" s="316"/>
      <c r="J188" s="316" t="s">
        <v>567</v>
      </c>
      <c r="K188" s="315"/>
    </row>
    <row r="189" ht="51" spans="1:11">
      <c r="A189" s="315">
        <v>2</v>
      </c>
      <c r="B189" s="316" t="s">
        <v>568</v>
      </c>
      <c r="C189" s="317">
        <v>0.09</v>
      </c>
      <c r="D189" s="317"/>
      <c r="E189" s="317">
        <v>0.09</v>
      </c>
      <c r="F189" s="315" t="s">
        <v>123</v>
      </c>
      <c r="G189" s="315" t="s">
        <v>123</v>
      </c>
      <c r="H189" s="316" t="s">
        <v>169</v>
      </c>
      <c r="I189" s="316"/>
      <c r="J189" s="316" t="s">
        <v>569</v>
      </c>
      <c r="K189" s="315"/>
    </row>
    <row r="190" ht="63.75" spans="1:11">
      <c r="A190" s="315">
        <v>3</v>
      </c>
      <c r="B190" s="316" t="s">
        <v>570</v>
      </c>
      <c r="C190" s="317">
        <v>7</v>
      </c>
      <c r="D190" s="317"/>
      <c r="E190" s="317">
        <v>7</v>
      </c>
      <c r="F190" s="315" t="s">
        <v>30</v>
      </c>
      <c r="G190" s="315" t="s">
        <v>126</v>
      </c>
      <c r="H190" s="316" t="s">
        <v>157</v>
      </c>
      <c r="I190" s="316"/>
      <c r="J190" s="316" t="s">
        <v>571</v>
      </c>
      <c r="K190" s="315"/>
    </row>
    <row r="191" ht="25.5" spans="1:11">
      <c r="A191" s="315">
        <v>4</v>
      </c>
      <c r="B191" s="316" t="s">
        <v>572</v>
      </c>
      <c r="C191" s="317">
        <v>0.24</v>
      </c>
      <c r="D191" s="317"/>
      <c r="E191" s="317">
        <v>0.24</v>
      </c>
      <c r="F191" s="315" t="s">
        <v>129</v>
      </c>
      <c r="G191" s="315" t="s">
        <v>66</v>
      </c>
      <c r="H191" s="316" t="s">
        <v>157</v>
      </c>
      <c r="I191" s="316"/>
      <c r="J191" s="316" t="s">
        <v>573</v>
      </c>
      <c r="K191" s="315"/>
    </row>
  </sheetData>
  <mergeCells count="13">
    <mergeCell ref="A1:I1"/>
    <mergeCell ref="A2:I2"/>
    <mergeCell ref="A3:I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511811023622047" bottom="0.393700787401575" header="0.511811023622047" footer="0.393700787401575"/>
  <pageSetup paperSize="9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59"/>
  <sheetViews>
    <sheetView workbookViewId="0">
      <selection activeCell="P5" sqref="P$1:Q$1048576"/>
    </sheetView>
  </sheetViews>
  <sheetFormatPr defaultColWidth="9" defaultRowHeight="12.75"/>
  <cols>
    <col min="1" max="1" width="3.9" style="274" customWidth="1"/>
    <col min="2" max="2" width="34.1" style="274" customWidth="1"/>
    <col min="3" max="3" width="4.7" style="274" customWidth="1"/>
    <col min="4" max="4" width="7.5" style="274" hidden="1" customWidth="1"/>
    <col min="5" max="5" width="8.6" style="274" hidden="1" customWidth="1"/>
    <col min="6" max="6" width="7.1" style="274" hidden="1" customWidth="1"/>
    <col min="7" max="7" width="8.6" style="274" hidden="1" customWidth="1"/>
    <col min="8" max="8" width="7.6" style="274" customWidth="1"/>
    <col min="9" max="9" width="8.6" style="274" customWidth="1"/>
    <col min="10" max="10" width="8.7" style="274" customWidth="1"/>
    <col min="11" max="11" width="8.6" style="274" customWidth="1"/>
    <col min="12" max="12" width="8.1" style="274" customWidth="1"/>
    <col min="13" max="13" width="8.6" style="274" customWidth="1"/>
    <col min="14" max="14" width="7.4" style="274" customWidth="1"/>
    <col min="15" max="15" width="8.6" style="274" customWidth="1"/>
    <col min="16" max="16" width="8.1" style="274" customWidth="1"/>
    <col min="17" max="17" width="8.6" style="274" customWidth="1"/>
    <col min="18" max="18" width="7.5" style="274" customWidth="1"/>
    <col min="19" max="19" width="8.6" style="274" customWidth="1"/>
    <col min="20" max="20" width="7.4" style="274" customWidth="1"/>
    <col min="21" max="21" width="8.6" style="274" customWidth="1"/>
    <col min="22" max="22" width="7.9" style="274" customWidth="1"/>
    <col min="23" max="23" width="8.6" style="274" customWidth="1"/>
    <col min="24" max="16384" width="9" style="274"/>
  </cols>
  <sheetData>
    <row r="1" ht="16.5" customHeight="1" spans="1:23">
      <c r="A1" s="275" t="s">
        <v>574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96"/>
      <c r="U1" s="296"/>
      <c r="V1" s="296"/>
      <c r="W1" s="296"/>
    </row>
    <row r="2" ht="16.5" customHeight="1" spans="1:23">
      <c r="A2" s="276" t="s">
        <v>575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ht="16.5" customHeight="1" spans="1:23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ht="64.2" customHeight="1" spans="1:23">
      <c r="A4" s="278" t="s">
        <v>154</v>
      </c>
      <c r="B4" s="279" t="s">
        <v>576</v>
      </c>
      <c r="C4" s="279" t="s">
        <v>4</v>
      </c>
      <c r="D4" s="279" t="s">
        <v>206</v>
      </c>
      <c r="E4" s="279"/>
      <c r="F4" s="279" t="s">
        <v>209</v>
      </c>
      <c r="G4" s="279"/>
      <c r="H4" s="279" t="s">
        <v>211</v>
      </c>
      <c r="I4" s="279"/>
      <c r="J4" s="279" t="s">
        <v>214</v>
      </c>
      <c r="K4" s="279"/>
      <c r="L4" s="279" t="s">
        <v>217</v>
      </c>
      <c r="M4" s="279"/>
      <c r="N4" s="279" t="s">
        <v>220</v>
      </c>
      <c r="O4" s="279"/>
      <c r="P4" s="279" t="s">
        <v>226</v>
      </c>
      <c r="Q4" s="279"/>
      <c r="R4" s="279" t="s">
        <v>229</v>
      </c>
      <c r="S4" s="279"/>
      <c r="T4" s="279" t="s">
        <v>238</v>
      </c>
      <c r="U4" s="279"/>
      <c r="V4" s="279" t="s">
        <v>241</v>
      </c>
      <c r="W4" s="279"/>
    </row>
    <row r="5" ht="24" spans="1:23">
      <c r="A5" s="278"/>
      <c r="B5" s="279"/>
      <c r="C5" s="279"/>
      <c r="D5" s="280" t="s">
        <v>300</v>
      </c>
      <c r="E5" s="280" t="s">
        <v>577</v>
      </c>
      <c r="F5" s="280" t="s">
        <v>300</v>
      </c>
      <c r="G5" s="280" t="s">
        <v>577</v>
      </c>
      <c r="H5" s="280" t="s">
        <v>300</v>
      </c>
      <c r="I5" s="280" t="s">
        <v>577</v>
      </c>
      <c r="J5" s="280" t="s">
        <v>300</v>
      </c>
      <c r="K5" s="280" t="s">
        <v>577</v>
      </c>
      <c r="L5" s="280" t="s">
        <v>300</v>
      </c>
      <c r="M5" s="280" t="s">
        <v>577</v>
      </c>
      <c r="N5" s="280" t="s">
        <v>300</v>
      </c>
      <c r="O5" s="280" t="s">
        <v>577</v>
      </c>
      <c r="P5" s="280" t="s">
        <v>300</v>
      </c>
      <c r="Q5" s="280" t="s">
        <v>577</v>
      </c>
      <c r="R5" s="280" t="s">
        <v>300</v>
      </c>
      <c r="S5" s="280" t="s">
        <v>577</v>
      </c>
      <c r="T5" s="280" t="s">
        <v>300</v>
      </c>
      <c r="U5" s="280" t="s">
        <v>577</v>
      </c>
      <c r="V5" s="280" t="s">
        <v>300</v>
      </c>
      <c r="W5" s="280" t="s">
        <v>577</v>
      </c>
    </row>
    <row r="6" spans="1:23">
      <c r="A6" s="278"/>
      <c r="B6" s="281" t="s">
        <v>578</v>
      </c>
      <c r="C6" s="279"/>
      <c r="D6" s="282">
        <v>0</v>
      </c>
      <c r="E6" s="282" t="e">
        <v>#DIV/0!</v>
      </c>
      <c r="F6" s="282">
        <v>0</v>
      </c>
      <c r="G6" s="282" t="e">
        <v>#DIV/0!</v>
      </c>
      <c r="H6" s="282">
        <v>4273.089882</v>
      </c>
      <c r="I6" s="282">
        <v>100</v>
      </c>
      <c r="J6" s="282">
        <v>38664.6934950586</v>
      </c>
      <c r="K6" s="282">
        <v>100</v>
      </c>
      <c r="L6" s="282">
        <v>6377.0711</v>
      </c>
      <c r="M6" s="282">
        <v>100</v>
      </c>
      <c r="N6" s="282">
        <v>2.07</v>
      </c>
      <c r="O6" s="282">
        <v>100</v>
      </c>
      <c r="P6" s="282">
        <v>1378.088499</v>
      </c>
      <c r="Q6" s="282">
        <v>100</v>
      </c>
      <c r="R6" s="282">
        <v>91</v>
      </c>
      <c r="S6" s="282">
        <v>100</v>
      </c>
      <c r="T6" s="282">
        <v>9797.89059886464</v>
      </c>
      <c r="U6" s="282">
        <v>100</v>
      </c>
      <c r="V6" s="282">
        <v>816.7548744</v>
      </c>
      <c r="W6" s="282">
        <v>100</v>
      </c>
    </row>
    <row r="7" spans="1:23">
      <c r="A7" s="278">
        <v>1</v>
      </c>
      <c r="B7" s="281" t="s">
        <v>17</v>
      </c>
      <c r="C7" s="279" t="s">
        <v>18</v>
      </c>
      <c r="D7" s="282">
        <v>0</v>
      </c>
      <c r="E7" s="282" t="e">
        <v>#DIV/0!</v>
      </c>
      <c r="F7" s="282">
        <v>0</v>
      </c>
      <c r="G7" s="282" t="e">
        <v>#DIV/0!</v>
      </c>
      <c r="H7" s="282">
        <v>3332.578245</v>
      </c>
      <c r="I7" s="282">
        <v>77.9898934267257</v>
      </c>
      <c r="J7" s="282">
        <v>38664.6934950586</v>
      </c>
      <c r="K7" s="282">
        <v>100</v>
      </c>
      <c r="L7" s="282">
        <v>6377.0711</v>
      </c>
      <c r="M7" s="282">
        <v>100</v>
      </c>
      <c r="N7" s="282">
        <v>0</v>
      </c>
      <c r="O7" s="282">
        <v>0</v>
      </c>
      <c r="P7" s="282">
        <v>0</v>
      </c>
      <c r="Q7" s="282">
        <v>0</v>
      </c>
      <c r="R7" s="282">
        <v>0</v>
      </c>
      <c r="S7" s="282">
        <v>0</v>
      </c>
      <c r="T7" s="282">
        <v>8998.10466526464</v>
      </c>
      <c r="U7" s="282">
        <v>91.8371620347274</v>
      </c>
      <c r="V7" s="282">
        <v>166.170436</v>
      </c>
      <c r="W7" s="282">
        <v>20.345202851966</v>
      </c>
    </row>
    <row r="8" spans="1:23">
      <c r="A8" s="283" t="s">
        <v>20</v>
      </c>
      <c r="B8" s="284" t="s">
        <v>21</v>
      </c>
      <c r="C8" s="285" t="s">
        <v>22</v>
      </c>
      <c r="D8" s="286"/>
      <c r="E8" s="286" t="e">
        <v>#DIV/0!</v>
      </c>
      <c r="F8" s="286"/>
      <c r="G8" s="286" t="e">
        <v>#DIV/0!</v>
      </c>
      <c r="H8" s="286">
        <v>11.445351</v>
      </c>
      <c r="I8" s="286">
        <v>0.267847185901998</v>
      </c>
      <c r="J8" s="286">
        <v>74.08723</v>
      </c>
      <c r="K8" s="286">
        <v>0.191614683327229</v>
      </c>
      <c r="L8" s="286"/>
      <c r="M8" s="286">
        <v>0</v>
      </c>
      <c r="N8" s="286"/>
      <c r="O8" s="286">
        <v>0</v>
      </c>
      <c r="P8" s="286"/>
      <c r="Q8" s="286">
        <v>0</v>
      </c>
      <c r="R8" s="286"/>
      <c r="S8" s="286">
        <v>0</v>
      </c>
      <c r="T8" s="286"/>
      <c r="U8" s="286">
        <v>0</v>
      </c>
      <c r="V8" s="286"/>
      <c r="W8" s="286">
        <v>0</v>
      </c>
    </row>
    <row r="9" spans="1:23">
      <c r="A9" s="287"/>
      <c r="B9" s="655" t="s">
        <v>23</v>
      </c>
      <c r="C9" s="289" t="s">
        <v>24</v>
      </c>
      <c r="D9" s="290"/>
      <c r="E9" s="290" t="e">
        <v>#DIV/0!</v>
      </c>
      <c r="F9" s="290"/>
      <c r="G9" s="290" t="e">
        <v>#DIV/0!</v>
      </c>
      <c r="H9" s="290">
        <v>0</v>
      </c>
      <c r="I9" s="290">
        <v>0</v>
      </c>
      <c r="J9" s="290">
        <v>74.08723</v>
      </c>
      <c r="K9" s="290">
        <v>0.191614683327229</v>
      </c>
      <c r="L9" s="290"/>
      <c r="M9" s="290">
        <v>0</v>
      </c>
      <c r="N9" s="290"/>
      <c r="O9" s="290">
        <v>0</v>
      </c>
      <c r="P9" s="290"/>
      <c r="Q9" s="290">
        <v>0</v>
      </c>
      <c r="R9" s="290"/>
      <c r="S9" s="290">
        <v>0</v>
      </c>
      <c r="T9" s="290"/>
      <c r="U9" s="290">
        <v>0</v>
      </c>
      <c r="V9" s="290"/>
      <c r="W9" s="290">
        <v>0</v>
      </c>
    </row>
    <row r="10" spans="1:23">
      <c r="A10" s="283" t="s">
        <v>25</v>
      </c>
      <c r="B10" s="291" t="s">
        <v>26</v>
      </c>
      <c r="C10" s="285" t="s">
        <v>27</v>
      </c>
      <c r="D10" s="286"/>
      <c r="E10" s="286" t="e">
        <v>#DIV/0!</v>
      </c>
      <c r="F10" s="286"/>
      <c r="G10" s="286" t="e">
        <v>#DIV/0!</v>
      </c>
      <c r="H10" s="286">
        <v>65.088681</v>
      </c>
      <c r="I10" s="286">
        <v>1.52322283868121</v>
      </c>
      <c r="J10" s="286"/>
      <c r="K10" s="286">
        <v>0</v>
      </c>
      <c r="L10" s="286"/>
      <c r="M10" s="286">
        <v>0</v>
      </c>
      <c r="N10" s="286"/>
      <c r="O10" s="286">
        <v>0</v>
      </c>
      <c r="P10" s="286"/>
      <c r="Q10" s="286">
        <v>0</v>
      </c>
      <c r="R10" s="286"/>
      <c r="S10" s="286">
        <v>0</v>
      </c>
      <c r="T10" s="286"/>
      <c r="U10" s="286">
        <v>0</v>
      </c>
      <c r="V10" s="286">
        <v>166.170436</v>
      </c>
      <c r="W10" s="286">
        <v>20.345202851966</v>
      </c>
    </row>
    <row r="11" spans="1:23">
      <c r="A11" s="283" t="s">
        <v>28</v>
      </c>
      <c r="B11" s="284" t="s">
        <v>29</v>
      </c>
      <c r="C11" s="285" t="s">
        <v>30</v>
      </c>
      <c r="D11" s="286"/>
      <c r="E11" s="286" t="e">
        <v>#DIV/0!</v>
      </c>
      <c r="F11" s="286"/>
      <c r="G11" s="286" t="e">
        <v>#DIV/0!</v>
      </c>
      <c r="H11" s="286">
        <v>3247.734505</v>
      </c>
      <c r="I11" s="286">
        <v>76.0043573780366</v>
      </c>
      <c r="J11" s="286">
        <v>38590.6062650586</v>
      </c>
      <c r="K11" s="286">
        <v>99.8083853166728</v>
      </c>
      <c r="L11" s="286"/>
      <c r="M11" s="286">
        <v>0</v>
      </c>
      <c r="N11" s="286"/>
      <c r="O11" s="286">
        <v>0</v>
      </c>
      <c r="P11" s="286"/>
      <c r="Q11" s="286">
        <v>0</v>
      </c>
      <c r="R11" s="286"/>
      <c r="S11" s="286">
        <v>0</v>
      </c>
      <c r="T11" s="286">
        <v>8998.10466526464</v>
      </c>
      <c r="U11" s="286">
        <v>91.8371620347274</v>
      </c>
      <c r="V11" s="286"/>
      <c r="W11" s="286">
        <v>0</v>
      </c>
    </row>
    <row r="12" spans="1:23">
      <c r="A12" s="283" t="s">
        <v>31</v>
      </c>
      <c r="B12" s="292" t="s">
        <v>32</v>
      </c>
      <c r="C12" s="285" t="s">
        <v>33</v>
      </c>
      <c r="D12" s="286"/>
      <c r="E12" s="286" t="e">
        <v>#DIV/0!</v>
      </c>
      <c r="F12" s="286"/>
      <c r="G12" s="286" t="e">
        <v>#DIV/0!</v>
      </c>
      <c r="H12" s="286">
        <v>0</v>
      </c>
      <c r="I12" s="286">
        <v>0</v>
      </c>
      <c r="J12" s="286"/>
      <c r="K12" s="286">
        <v>0</v>
      </c>
      <c r="L12" s="286">
        <v>512.886725</v>
      </c>
      <c r="M12" s="286">
        <v>8.04266907107246</v>
      </c>
      <c r="N12" s="286"/>
      <c r="O12" s="286">
        <v>0</v>
      </c>
      <c r="P12" s="286"/>
      <c r="Q12" s="286">
        <v>0</v>
      </c>
      <c r="R12" s="286"/>
      <c r="S12" s="286">
        <v>0</v>
      </c>
      <c r="T12" s="286"/>
      <c r="U12" s="286">
        <v>0</v>
      </c>
      <c r="V12" s="286"/>
      <c r="W12" s="286">
        <v>0</v>
      </c>
    </row>
    <row r="13" spans="1:23">
      <c r="A13" s="283" t="s">
        <v>34</v>
      </c>
      <c r="B13" s="292" t="s">
        <v>35</v>
      </c>
      <c r="C13" s="285" t="s">
        <v>182</v>
      </c>
      <c r="D13" s="286"/>
      <c r="E13" s="286" t="e">
        <v>#DIV/0!</v>
      </c>
      <c r="F13" s="286"/>
      <c r="G13" s="286" t="e">
        <v>#DIV/0!</v>
      </c>
      <c r="H13" s="286">
        <v>0</v>
      </c>
      <c r="I13" s="286">
        <v>0</v>
      </c>
      <c r="J13" s="286"/>
      <c r="K13" s="286">
        <v>0</v>
      </c>
      <c r="L13" s="286">
        <v>0</v>
      </c>
      <c r="M13" s="286">
        <v>0</v>
      </c>
      <c r="N13" s="286"/>
      <c r="O13" s="286">
        <v>0</v>
      </c>
      <c r="P13" s="286"/>
      <c r="Q13" s="286">
        <v>0</v>
      </c>
      <c r="R13" s="286"/>
      <c r="S13" s="286">
        <v>0</v>
      </c>
      <c r="T13" s="286"/>
      <c r="U13" s="286">
        <v>0</v>
      </c>
      <c r="V13" s="286"/>
      <c r="W13" s="286">
        <v>0</v>
      </c>
    </row>
    <row r="14" spans="1:23">
      <c r="A14" s="283" t="s">
        <v>36</v>
      </c>
      <c r="B14" s="292" t="s">
        <v>37</v>
      </c>
      <c r="C14" s="285" t="s">
        <v>38</v>
      </c>
      <c r="D14" s="286"/>
      <c r="E14" s="286" t="e">
        <v>#DIV/0!</v>
      </c>
      <c r="F14" s="286"/>
      <c r="G14" s="286" t="e">
        <v>#DIV/0!</v>
      </c>
      <c r="H14" s="286">
        <v>0</v>
      </c>
      <c r="I14" s="286">
        <v>0</v>
      </c>
      <c r="J14" s="286"/>
      <c r="K14" s="286">
        <v>0</v>
      </c>
      <c r="L14" s="286">
        <v>5864.184375</v>
      </c>
      <c r="M14" s="286">
        <v>91.9573309289275</v>
      </c>
      <c r="N14" s="286"/>
      <c r="O14" s="286">
        <v>0</v>
      </c>
      <c r="P14" s="286"/>
      <c r="Q14" s="286">
        <v>0</v>
      </c>
      <c r="R14" s="286"/>
      <c r="S14" s="286">
        <v>0</v>
      </c>
      <c r="T14" s="286"/>
      <c r="U14" s="286">
        <v>0</v>
      </c>
      <c r="V14" s="286"/>
      <c r="W14" s="286">
        <v>0</v>
      </c>
    </row>
    <row r="15" s="273" customFormat="1" spans="1:23">
      <c r="A15" s="287"/>
      <c r="B15" s="293" t="s">
        <v>255</v>
      </c>
      <c r="C15" s="289" t="s">
        <v>40</v>
      </c>
      <c r="D15" s="290"/>
      <c r="E15" s="290" t="e">
        <v>#DIV/0!</v>
      </c>
      <c r="F15" s="290"/>
      <c r="G15" s="290" t="e">
        <v>#DIV/0!</v>
      </c>
      <c r="H15" s="290">
        <v>0</v>
      </c>
      <c r="I15" s="290">
        <v>0</v>
      </c>
      <c r="J15" s="290"/>
      <c r="K15" s="290">
        <v>0</v>
      </c>
      <c r="L15" s="290">
        <v>0</v>
      </c>
      <c r="M15" s="290">
        <v>0</v>
      </c>
      <c r="N15" s="290"/>
      <c r="O15" s="290">
        <v>0</v>
      </c>
      <c r="P15" s="290"/>
      <c r="Q15" s="290">
        <v>0</v>
      </c>
      <c r="R15" s="290"/>
      <c r="S15" s="290">
        <v>0</v>
      </c>
      <c r="T15" s="290"/>
      <c r="U15" s="290">
        <v>0</v>
      </c>
      <c r="V15" s="290"/>
      <c r="W15" s="290">
        <v>0</v>
      </c>
    </row>
    <row r="16" spans="1:23">
      <c r="A16" s="283" t="s">
        <v>41</v>
      </c>
      <c r="B16" s="284" t="s">
        <v>42</v>
      </c>
      <c r="C16" s="285" t="s">
        <v>43</v>
      </c>
      <c r="D16" s="286"/>
      <c r="E16" s="286" t="e">
        <v>#DIV/0!</v>
      </c>
      <c r="F16" s="286"/>
      <c r="G16" s="286" t="e">
        <v>#DIV/0!</v>
      </c>
      <c r="H16" s="286">
        <v>7.709758</v>
      </c>
      <c r="I16" s="286">
        <v>0.180425832662136</v>
      </c>
      <c r="J16" s="286"/>
      <c r="K16" s="286">
        <v>0</v>
      </c>
      <c r="L16" s="286"/>
      <c r="M16" s="286">
        <v>0</v>
      </c>
      <c r="N16" s="286"/>
      <c r="O16" s="286">
        <v>0</v>
      </c>
      <c r="P16" s="286"/>
      <c r="Q16" s="286">
        <v>0</v>
      </c>
      <c r="R16" s="286"/>
      <c r="S16" s="286">
        <v>0</v>
      </c>
      <c r="T16" s="286"/>
      <c r="U16" s="286">
        <v>0</v>
      </c>
      <c r="V16" s="286"/>
      <c r="W16" s="286">
        <v>0</v>
      </c>
    </row>
    <row r="17" spans="1:23">
      <c r="A17" s="283" t="s">
        <v>44</v>
      </c>
      <c r="B17" s="284" t="s">
        <v>45</v>
      </c>
      <c r="C17" s="285" t="s">
        <v>46</v>
      </c>
      <c r="D17" s="286"/>
      <c r="E17" s="286" t="e">
        <v>#DIV/0!</v>
      </c>
      <c r="F17" s="286"/>
      <c r="G17" s="286" t="e">
        <v>#DIV/0!</v>
      </c>
      <c r="H17" s="286">
        <v>0</v>
      </c>
      <c r="I17" s="286">
        <v>0</v>
      </c>
      <c r="J17" s="286"/>
      <c r="K17" s="286">
        <v>0</v>
      </c>
      <c r="L17" s="286"/>
      <c r="M17" s="286">
        <v>0</v>
      </c>
      <c r="N17" s="286"/>
      <c r="O17" s="286">
        <v>0</v>
      </c>
      <c r="P17" s="286"/>
      <c r="Q17" s="286">
        <v>0</v>
      </c>
      <c r="R17" s="286"/>
      <c r="S17" s="286">
        <v>0</v>
      </c>
      <c r="T17" s="286"/>
      <c r="U17" s="286">
        <v>0</v>
      </c>
      <c r="V17" s="286"/>
      <c r="W17" s="286">
        <v>0</v>
      </c>
    </row>
    <row r="18" spans="1:23">
      <c r="A18" s="283" t="s">
        <v>47</v>
      </c>
      <c r="B18" s="291" t="s">
        <v>48</v>
      </c>
      <c r="C18" s="285" t="s">
        <v>49</v>
      </c>
      <c r="D18" s="286"/>
      <c r="E18" s="286" t="e">
        <v>#DIV/0!</v>
      </c>
      <c r="F18" s="286"/>
      <c r="G18" s="286" t="e">
        <v>#DIV/0!</v>
      </c>
      <c r="H18" s="286">
        <v>0.59995</v>
      </c>
      <c r="I18" s="286">
        <v>0.0140401914438363</v>
      </c>
      <c r="J18" s="286"/>
      <c r="K18" s="286">
        <v>0</v>
      </c>
      <c r="L18" s="286"/>
      <c r="M18" s="286">
        <v>0</v>
      </c>
      <c r="N18" s="286"/>
      <c r="O18" s="286">
        <v>0</v>
      </c>
      <c r="P18" s="286"/>
      <c r="Q18" s="286">
        <v>0</v>
      </c>
      <c r="R18" s="286"/>
      <c r="S18" s="286">
        <v>0</v>
      </c>
      <c r="T18" s="286"/>
      <c r="U18" s="286">
        <v>0</v>
      </c>
      <c r="V18" s="286"/>
      <c r="W18" s="286">
        <v>0</v>
      </c>
    </row>
    <row r="19" spans="1:23">
      <c r="A19" s="278">
        <v>2</v>
      </c>
      <c r="B19" s="281" t="s">
        <v>50</v>
      </c>
      <c r="C19" s="279" t="s">
        <v>51</v>
      </c>
      <c r="D19" s="282">
        <v>0</v>
      </c>
      <c r="E19" s="282" t="e">
        <v>#DIV/0!</v>
      </c>
      <c r="F19" s="282">
        <v>0</v>
      </c>
      <c r="G19" s="282" t="e">
        <v>#DIV/0!</v>
      </c>
      <c r="H19" s="282">
        <v>940.511637</v>
      </c>
      <c r="I19" s="282">
        <v>22.0101065732743</v>
      </c>
      <c r="J19" s="282">
        <v>0</v>
      </c>
      <c r="K19" s="282">
        <v>0</v>
      </c>
      <c r="L19" s="282">
        <v>0</v>
      </c>
      <c r="M19" s="282">
        <v>0</v>
      </c>
      <c r="N19" s="282">
        <v>2.07</v>
      </c>
      <c r="O19" s="282">
        <v>100</v>
      </c>
      <c r="P19" s="282">
        <v>1378.088499</v>
      </c>
      <c r="Q19" s="282">
        <v>100</v>
      </c>
      <c r="R19" s="282">
        <v>91</v>
      </c>
      <c r="S19" s="282">
        <v>100</v>
      </c>
      <c r="T19" s="282">
        <v>799.7859336</v>
      </c>
      <c r="U19" s="282">
        <v>8.16283796527262</v>
      </c>
      <c r="V19" s="282">
        <v>650.5844384</v>
      </c>
      <c r="W19" s="282">
        <v>79.654797148034</v>
      </c>
    </row>
    <row r="20" spans="1:23">
      <c r="A20" s="283" t="s">
        <v>52</v>
      </c>
      <c r="B20" s="294" t="s">
        <v>53</v>
      </c>
      <c r="C20" s="285" t="s">
        <v>54</v>
      </c>
      <c r="D20" s="286"/>
      <c r="E20" s="286" t="e">
        <v>#DIV/0!</v>
      </c>
      <c r="F20" s="286"/>
      <c r="G20" s="286" t="e">
        <v>#DIV/0!</v>
      </c>
      <c r="H20" s="286">
        <v>3.787657</v>
      </c>
      <c r="I20" s="286">
        <v>0.0886397689867269</v>
      </c>
      <c r="J20" s="286"/>
      <c r="K20" s="286">
        <v>0</v>
      </c>
      <c r="L20" s="286"/>
      <c r="M20" s="286">
        <v>0</v>
      </c>
      <c r="N20" s="286"/>
      <c r="O20" s="286">
        <v>0</v>
      </c>
      <c r="P20" s="286"/>
      <c r="Q20" s="286">
        <v>0</v>
      </c>
      <c r="R20" s="286"/>
      <c r="S20" s="286">
        <v>0</v>
      </c>
      <c r="T20" s="286"/>
      <c r="U20" s="286">
        <v>0</v>
      </c>
      <c r="V20" s="286"/>
      <c r="W20" s="286">
        <v>0</v>
      </c>
    </row>
    <row r="21" spans="1:23">
      <c r="A21" s="283" t="s">
        <v>55</v>
      </c>
      <c r="B21" s="284" t="s">
        <v>56</v>
      </c>
      <c r="C21" s="285" t="s">
        <v>57</v>
      </c>
      <c r="D21" s="286"/>
      <c r="E21" s="286" t="e">
        <v>#DIV/0!</v>
      </c>
      <c r="F21" s="286"/>
      <c r="G21" s="286" t="e">
        <v>#DIV/0!</v>
      </c>
      <c r="H21" s="286">
        <v>4.507001</v>
      </c>
      <c r="I21" s="286">
        <v>0.10547405096685</v>
      </c>
      <c r="J21" s="286"/>
      <c r="K21" s="286">
        <v>0</v>
      </c>
      <c r="L21" s="286"/>
      <c r="M21" s="286">
        <v>0</v>
      </c>
      <c r="N21" s="286"/>
      <c r="O21" s="286">
        <v>0</v>
      </c>
      <c r="P21" s="286"/>
      <c r="Q21" s="286">
        <v>0</v>
      </c>
      <c r="R21" s="286"/>
      <c r="S21" s="286">
        <v>0</v>
      </c>
      <c r="T21" s="286"/>
      <c r="U21" s="286">
        <v>0</v>
      </c>
      <c r="V21" s="286"/>
      <c r="W21" s="286">
        <v>0</v>
      </c>
    </row>
    <row r="22" spans="1:23">
      <c r="A22" s="283" t="s">
        <v>58</v>
      </c>
      <c r="B22" s="284" t="s">
        <v>59</v>
      </c>
      <c r="C22" s="285" t="s">
        <v>60</v>
      </c>
      <c r="D22" s="286"/>
      <c r="E22" s="286" t="e">
        <v>#DIV/0!</v>
      </c>
      <c r="F22" s="286"/>
      <c r="G22" s="286" t="e">
        <v>#DIV/0!</v>
      </c>
      <c r="H22" s="286">
        <v>160.005899</v>
      </c>
      <c r="I22" s="286">
        <v>3.7445011319329</v>
      </c>
      <c r="J22" s="286"/>
      <c r="K22" s="286">
        <v>0</v>
      </c>
      <c r="L22" s="286"/>
      <c r="M22" s="286">
        <v>0</v>
      </c>
      <c r="N22" s="286"/>
      <c r="O22" s="286">
        <v>0</v>
      </c>
      <c r="P22" s="286">
        <v>863.088499</v>
      </c>
      <c r="Q22" s="286">
        <v>62.629395690211</v>
      </c>
      <c r="R22" s="286"/>
      <c r="S22" s="286">
        <v>0</v>
      </c>
      <c r="T22" s="286"/>
      <c r="U22" s="286">
        <v>0</v>
      </c>
      <c r="V22" s="286"/>
      <c r="W22" s="286">
        <v>0</v>
      </c>
    </row>
    <row r="23" spans="1:23">
      <c r="A23" s="283" t="s">
        <v>61</v>
      </c>
      <c r="B23" s="284" t="s">
        <v>62</v>
      </c>
      <c r="C23" s="285" t="s">
        <v>63</v>
      </c>
      <c r="D23" s="286"/>
      <c r="E23" s="286" t="e">
        <v>#DIV/0!</v>
      </c>
      <c r="F23" s="286"/>
      <c r="G23" s="286" t="e">
        <v>#DIV/0!</v>
      </c>
      <c r="H23" s="286">
        <v>60</v>
      </c>
      <c r="I23" s="286">
        <v>1.40413615572994</v>
      </c>
      <c r="J23" s="286"/>
      <c r="K23" s="286">
        <v>0</v>
      </c>
      <c r="L23" s="286"/>
      <c r="M23" s="286">
        <v>0</v>
      </c>
      <c r="N23" s="286"/>
      <c r="O23" s="286">
        <v>0</v>
      </c>
      <c r="P23" s="286">
        <v>515</v>
      </c>
      <c r="Q23" s="286">
        <v>37.370604309789</v>
      </c>
      <c r="R23" s="286"/>
      <c r="S23" s="286">
        <v>0</v>
      </c>
      <c r="T23" s="286"/>
      <c r="U23" s="286">
        <v>0</v>
      </c>
      <c r="V23" s="286"/>
      <c r="W23" s="286">
        <v>0</v>
      </c>
    </row>
    <row r="24" s="273" customFormat="1" spans="1:23">
      <c r="A24" s="283" t="s">
        <v>64</v>
      </c>
      <c r="B24" s="284" t="s">
        <v>65</v>
      </c>
      <c r="C24" s="285" t="s">
        <v>66</v>
      </c>
      <c r="D24" s="286"/>
      <c r="E24" s="286" t="e">
        <v>#DIV/0!</v>
      </c>
      <c r="F24" s="286"/>
      <c r="G24" s="286" t="e">
        <v>#DIV/0!</v>
      </c>
      <c r="H24" s="286">
        <v>6.277075</v>
      </c>
      <c r="I24" s="286">
        <v>0.146897799328809</v>
      </c>
      <c r="J24" s="286"/>
      <c r="K24" s="286">
        <v>0</v>
      </c>
      <c r="L24" s="286"/>
      <c r="M24" s="286">
        <v>0</v>
      </c>
      <c r="N24" s="286">
        <v>2.07</v>
      </c>
      <c r="O24" s="286">
        <v>100</v>
      </c>
      <c r="P24" s="286"/>
      <c r="Q24" s="286">
        <v>0</v>
      </c>
      <c r="R24" s="286"/>
      <c r="S24" s="286">
        <v>0</v>
      </c>
      <c r="T24" s="286"/>
      <c r="U24" s="286">
        <v>0</v>
      </c>
      <c r="V24" s="286"/>
      <c r="W24" s="286">
        <v>0</v>
      </c>
    </row>
    <row r="25" s="273" customFormat="1" spans="1:23">
      <c r="A25" s="283" t="s">
        <v>67</v>
      </c>
      <c r="B25" s="284" t="s">
        <v>68</v>
      </c>
      <c r="C25" s="285" t="s">
        <v>69</v>
      </c>
      <c r="D25" s="286"/>
      <c r="E25" s="286" t="e">
        <v>#DIV/0!</v>
      </c>
      <c r="F25" s="286"/>
      <c r="G25" s="286" t="e">
        <v>#DIV/0!</v>
      </c>
      <c r="H25" s="286">
        <v>81.691016</v>
      </c>
      <c r="I25" s="286">
        <v>1.91175515273189</v>
      </c>
      <c r="J25" s="286"/>
      <c r="K25" s="286">
        <v>0</v>
      </c>
      <c r="L25" s="286"/>
      <c r="M25" s="286">
        <v>0</v>
      </c>
      <c r="N25" s="286"/>
      <c r="O25" s="286">
        <v>0</v>
      </c>
      <c r="P25" s="286"/>
      <c r="Q25" s="286">
        <v>0</v>
      </c>
      <c r="R25" s="286"/>
      <c r="S25" s="286">
        <v>0</v>
      </c>
      <c r="T25" s="286"/>
      <c r="U25" s="286">
        <v>0</v>
      </c>
      <c r="V25" s="286">
        <v>390.449777</v>
      </c>
      <c r="W25" s="286">
        <v>47.8050133813808</v>
      </c>
    </row>
    <row r="26" s="273" customFormat="1" spans="1:23">
      <c r="A26" s="283" t="s">
        <v>70</v>
      </c>
      <c r="B26" s="284" t="s">
        <v>71</v>
      </c>
      <c r="C26" s="285" t="s">
        <v>72</v>
      </c>
      <c r="D26" s="286"/>
      <c r="E26" s="286" t="e">
        <v>#DIV/0!</v>
      </c>
      <c r="F26" s="286"/>
      <c r="G26" s="286" t="e">
        <v>#DIV/0!</v>
      </c>
      <c r="H26" s="286">
        <v>0</v>
      </c>
      <c r="I26" s="286">
        <v>0</v>
      </c>
      <c r="J26" s="286"/>
      <c r="K26" s="286">
        <v>0</v>
      </c>
      <c r="L26" s="286"/>
      <c r="M26" s="286">
        <v>0</v>
      </c>
      <c r="N26" s="286"/>
      <c r="O26" s="286">
        <v>0</v>
      </c>
      <c r="P26" s="286"/>
      <c r="Q26" s="286">
        <v>0</v>
      </c>
      <c r="R26" s="286"/>
      <c r="S26" s="286">
        <v>0</v>
      </c>
      <c r="T26" s="286"/>
      <c r="U26" s="286">
        <v>0</v>
      </c>
      <c r="V26" s="286"/>
      <c r="W26" s="286">
        <v>0</v>
      </c>
    </row>
    <row r="27" s="273" customFormat="1" spans="1:23">
      <c r="A27" s="283" t="s">
        <v>73</v>
      </c>
      <c r="B27" s="284" t="s">
        <v>74</v>
      </c>
      <c r="C27" s="285" t="s">
        <v>75</v>
      </c>
      <c r="D27" s="286"/>
      <c r="E27" s="286" t="e">
        <v>#DIV/0!</v>
      </c>
      <c r="F27" s="286"/>
      <c r="G27" s="286" t="e">
        <v>#DIV/0!</v>
      </c>
      <c r="H27" s="286">
        <v>10.075805</v>
      </c>
      <c r="I27" s="286">
        <v>0.235796701643076</v>
      </c>
      <c r="J27" s="286"/>
      <c r="K27" s="286">
        <v>0</v>
      </c>
      <c r="L27" s="286"/>
      <c r="M27" s="286">
        <v>0</v>
      </c>
      <c r="N27" s="286"/>
      <c r="O27" s="286">
        <v>0</v>
      </c>
      <c r="P27" s="286"/>
      <c r="Q27" s="286">
        <v>0</v>
      </c>
      <c r="R27" s="286"/>
      <c r="S27" s="286">
        <v>0</v>
      </c>
      <c r="T27" s="286"/>
      <c r="U27" s="286">
        <v>0</v>
      </c>
      <c r="V27" s="286">
        <v>60.188178</v>
      </c>
      <c r="W27" s="286">
        <v>7.36918503782608</v>
      </c>
    </row>
    <row r="28" s="273" customFormat="1" spans="1:23">
      <c r="A28" s="283" t="s">
        <v>76</v>
      </c>
      <c r="B28" s="284" t="s">
        <v>183</v>
      </c>
      <c r="C28" s="285" t="s">
        <v>78</v>
      </c>
      <c r="D28" s="286">
        <v>0</v>
      </c>
      <c r="E28" s="286" t="e">
        <v>#DIV/0!</v>
      </c>
      <c r="F28" s="286">
        <v>0</v>
      </c>
      <c r="G28" s="286" t="e">
        <v>#DIV/0!</v>
      </c>
      <c r="H28" s="286">
        <v>332.739687</v>
      </c>
      <c r="I28" s="286">
        <v>7.78686374938275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/>
      <c r="S28" s="286">
        <v>0</v>
      </c>
      <c r="T28" s="286">
        <v>0</v>
      </c>
      <c r="U28" s="286">
        <v>0</v>
      </c>
      <c r="V28" s="286">
        <v>0</v>
      </c>
      <c r="W28" s="286">
        <v>0</v>
      </c>
    </row>
    <row r="29" s="273" customFormat="1" spans="1:23">
      <c r="A29" s="287"/>
      <c r="B29" s="288" t="s">
        <v>19</v>
      </c>
      <c r="C29" s="289"/>
      <c r="D29" s="290"/>
      <c r="E29" s="290" t="e">
        <v>#DIV/0!</v>
      </c>
      <c r="F29" s="290"/>
      <c r="G29" s="290" t="e">
        <v>#DIV/0!</v>
      </c>
      <c r="H29" s="290"/>
      <c r="I29" s="290">
        <v>0</v>
      </c>
      <c r="J29" s="290"/>
      <c r="K29" s="290">
        <v>0</v>
      </c>
      <c r="L29" s="290"/>
      <c r="M29" s="290">
        <v>0</v>
      </c>
      <c r="N29" s="290"/>
      <c r="O29" s="290">
        <v>0</v>
      </c>
      <c r="P29" s="290"/>
      <c r="Q29" s="290">
        <v>0</v>
      </c>
      <c r="R29" s="290"/>
      <c r="S29" s="290">
        <v>0</v>
      </c>
      <c r="T29" s="290"/>
      <c r="U29" s="290">
        <v>0</v>
      </c>
      <c r="V29" s="290"/>
      <c r="W29" s="290">
        <v>0</v>
      </c>
    </row>
    <row r="30" s="273" customFormat="1" spans="1:23">
      <c r="A30" s="287" t="s">
        <v>79</v>
      </c>
      <c r="B30" s="288" t="s">
        <v>80</v>
      </c>
      <c r="C30" s="289" t="s">
        <v>81</v>
      </c>
      <c r="D30" s="290"/>
      <c r="E30" s="290" t="e">
        <v>#DIV/0!</v>
      </c>
      <c r="F30" s="290"/>
      <c r="G30" s="290" t="e">
        <v>#DIV/0!</v>
      </c>
      <c r="H30" s="290">
        <v>229.939789</v>
      </c>
      <c r="I30" s="290">
        <v>5.38111285626357</v>
      </c>
      <c r="J30" s="290"/>
      <c r="K30" s="290">
        <v>0</v>
      </c>
      <c r="L30" s="290"/>
      <c r="M30" s="290">
        <v>0</v>
      </c>
      <c r="N30" s="290"/>
      <c r="O30" s="290">
        <v>0</v>
      </c>
      <c r="P30" s="290"/>
      <c r="Q30" s="290">
        <v>0</v>
      </c>
      <c r="R30" s="290"/>
      <c r="S30" s="290">
        <v>0</v>
      </c>
      <c r="T30" s="290"/>
      <c r="U30" s="290">
        <v>0</v>
      </c>
      <c r="V30" s="290"/>
      <c r="W30" s="290">
        <v>0</v>
      </c>
    </row>
    <row r="31" s="273" customFormat="1" spans="1:23">
      <c r="A31" s="287" t="s">
        <v>79</v>
      </c>
      <c r="B31" s="288" t="s">
        <v>82</v>
      </c>
      <c r="C31" s="289" t="s">
        <v>83</v>
      </c>
      <c r="D31" s="290"/>
      <c r="E31" s="290" t="e">
        <v>#DIV/0!</v>
      </c>
      <c r="F31" s="290"/>
      <c r="G31" s="290" t="e">
        <v>#DIV/0!</v>
      </c>
      <c r="H31" s="290">
        <v>62.51225</v>
      </c>
      <c r="I31" s="290">
        <v>1.46292850668382</v>
      </c>
      <c r="J31" s="290"/>
      <c r="K31" s="290">
        <v>0</v>
      </c>
      <c r="L31" s="290"/>
      <c r="M31" s="290">
        <v>0</v>
      </c>
      <c r="N31" s="290"/>
      <c r="O31" s="290">
        <v>0</v>
      </c>
      <c r="P31" s="290"/>
      <c r="Q31" s="290">
        <v>0</v>
      </c>
      <c r="R31" s="290"/>
      <c r="S31" s="290">
        <v>0</v>
      </c>
      <c r="T31" s="290"/>
      <c r="U31" s="290">
        <v>0</v>
      </c>
      <c r="V31" s="290"/>
      <c r="W31" s="290">
        <v>0</v>
      </c>
    </row>
    <row r="32" s="273" customFormat="1" spans="1:23">
      <c r="A32" s="287" t="s">
        <v>79</v>
      </c>
      <c r="B32" s="288" t="s">
        <v>84</v>
      </c>
      <c r="C32" s="289" t="s">
        <v>85</v>
      </c>
      <c r="D32" s="290"/>
      <c r="E32" s="290" t="e">
        <v>#DIV/0!</v>
      </c>
      <c r="F32" s="290"/>
      <c r="G32" s="290" t="e">
        <v>#DIV/0!</v>
      </c>
      <c r="H32" s="290">
        <v>3.736268</v>
      </c>
      <c r="I32" s="290">
        <v>0.0874371497716135</v>
      </c>
      <c r="J32" s="290"/>
      <c r="K32" s="290">
        <v>0</v>
      </c>
      <c r="L32" s="290"/>
      <c r="M32" s="290">
        <v>0</v>
      </c>
      <c r="N32" s="290"/>
      <c r="O32" s="290">
        <v>0</v>
      </c>
      <c r="P32" s="290"/>
      <c r="Q32" s="290">
        <v>0</v>
      </c>
      <c r="R32" s="290"/>
      <c r="S32" s="290">
        <v>0</v>
      </c>
      <c r="T32" s="290"/>
      <c r="U32" s="290">
        <v>0</v>
      </c>
      <c r="V32" s="290"/>
      <c r="W32" s="290">
        <v>0</v>
      </c>
    </row>
    <row r="33" s="273" customFormat="1" spans="1:23">
      <c r="A33" s="287" t="s">
        <v>79</v>
      </c>
      <c r="B33" s="288" t="s">
        <v>86</v>
      </c>
      <c r="C33" s="289" t="s">
        <v>87</v>
      </c>
      <c r="D33" s="290"/>
      <c r="E33" s="290" t="e">
        <v>#DIV/0!</v>
      </c>
      <c r="F33" s="290"/>
      <c r="G33" s="290" t="e">
        <v>#DIV/0!</v>
      </c>
      <c r="H33" s="290">
        <v>4.697652</v>
      </c>
      <c r="I33" s="290">
        <v>0.109935717003951</v>
      </c>
      <c r="J33" s="290"/>
      <c r="K33" s="290">
        <v>0</v>
      </c>
      <c r="L33" s="290"/>
      <c r="M33" s="290">
        <v>0</v>
      </c>
      <c r="N33" s="290"/>
      <c r="O33" s="290">
        <v>0</v>
      </c>
      <c r="P33" s="290"/>
      <c r="Q33" s="290">
        <v>0</v>
      </c>
      <c r="R33" s="290"/>
      <c r="S33" s="290">
        <v>0</v>
      </c>
      <c r="T33" s="290"/>
      <c r="U33" s="290">
        <v>0</v>
      </c>
      <c r="V33" s="290"/>
      <c r="W33" s="290">
        <v>0</v>
      </c>
    </row>
    <row r="34" s="273" customFormat="1" spans="1:23">
      <c r="A34" s="287" t="s">
        <v>79</v>
      </c>
      <c r="B34" s="288" t="s">
        <v>88</v>
      </c>
      <c r="C34" s="289" t="s">
        <v>89</v>
      </c>
      <c r="D34" s="290"/>
      <c r="E34" s="290" t="e">
        <v>#DIV/0!</v>
      </c>
      <c r="F34" s="290"/>
      <c r="G34" s="290" t="e">
        <v>#DIV/0!</v>
      </c>
      <c r="H34" s="290">
        <v>10.518236</v>
      </c>
      <c r="I34" s="290">
        <v>0.246150591035005</v>
      </c>
      <c r="J34" s="290"/>
      <c r="K34" s="290">
        <v>0</v>
      </c>
      <c r="L34" s="290"/>
      <c r="M34" s="290">
        <v>0</v>
      </c>
      <c r="N34" s="290"/>
      <c r="O34" s="290">
        <v>0</v>
      </c>
      <c r="P34" s="290"/>
      <c r="Q34" s="290">
        <v>0</v>
      </c>
      <c r="R34" s="290"/>
      <c r="S34" s="290">
        <v>0</v>
      </c>
      <c r="T34" s="290"/>
      <c r="U34" s="290">
        <v>0</v>
      </c>
      <c r="V34" s="290"/>
      <c r="W34" s="290">
        <v>0</v>
      </c>
    </row>
    <row r="35" s="273" customFormat="1" spans="1:23">
      <c r="A35" s="287" t="s">
        <v>79</v>
      </c>
      <c r="B35" s="288" t="s">
        <v>90</v>
      </c>
      <c r="C35" s="289" t="s">
        <v>91</v>
      </c>
      <c r="D35" s="290"/>
      <c r="E35" s="290" t="e">
        <v>#DIV/0!</v>
      </c>
      <c r="F35" s="290"/>
      <c r="G35" s="290" t="e">
        <v>#DIV/0!</v>
      </c>
      <c r="H35" s="290">
        <v>0.728407</v>
      </c>
      <c r="I35" s="290">
        <v>0.0170463767464464</v>
      </c>
      <c r="J35" s="290"/>
      <c r="K35" s="290">
        <v>0</v>
      </c>
      <c r="L35" s="290"/>
      <c r="M35" s="290">
        <v>0</v>
      </c>
      <c r="N35" s="290"/>
      <c r="O35" s="290">
        <v>0</v>
      </c>
      <c r="P35" s="290"/>
      <c r="Q35" s="290">
        <v>0</v>
      </c>
      <c r="R35" s="290"/>
      <c r="S35" s="290">
        <v>0</v>
      </c>
      <c r="T35" s="290"/>
      <c r="U35" s="290">
        <v>0</v>
      </c>
      <c r="V35" s="290"/>
      <c r="W35" s="290">
        <v>0</v>
      </c>
    </row>
    <row r="36" s="273" customFormat="1" spans="1:23">
      <c r="A36" s="287" t="s">
        <v>79</v>
      </c>
      <c r="B36" s="288" t="s">
        <v>92</v>
      </c>
      <c r="C36" s="289" t="s">
        <v>93</v>
      </c>
      <c r="D36" s="290"/>
      <c r="E36" s="290" t="e">
        <v>#DIV/0!</v>
      </c>
      <c r="F36" s="290"/>
      <c r="G36" s="290" t="e">
        <v>#DIV/0!</v>
      </c>
      <c r="H36" s="290">
        <v>0.990789</v>
      </c>
      <c r="I36" s="290">
        <v>0.0231867109599919</v>
      </c>
      <c r="J36" s="290"/>
      <c r="K36" s="290">
        <v>0</v>
      </c>
      <c r="L36" s="290"/>
      <c r="M36" s="290">
        <v>0</v>
      </c>
      <c r="N36" s="290"/>
      <c r="O36" s="290">
        <v>0</v>
      </c>
      <c r="P36" s="290"/>
      <c r="Q36" s="290">
        <v>0</v>
      </c>
      <c r="R36" s="290"/>
      <c r="S36" s="290">
        <v>0</v>
      </c>
      <c r="T36" s="290"/>
      <c r="U36" s="290">
        <v>0</v>
      </c>
      <c r="V36" s="290"/>
      <c r="W36" s="290">
        <v>0</v>
      </c>
    </row>
    <row r="37" s="273" customFormat="1" spans="1:23">
      <c r="A37" s="287" t="s">
        <v>79</v>
      </c>
      <c r="B37" s="288" t="s">
        <v>94</v>
      </c>
      <c r="C37" s="289" t="s">
        <v>95</v>
      </c>
      <c r="D37" s="290"/>
      <c r="E37" s="290" t="e">
        <v>#DIV/0!</v>
      </c>
      <c r="F37" s="290"/>
      <c r="G37" s="290" t="e">
        <v>#DIV/0!</v>
      </c>
      <c r="H37" s="290">
        <v>0.757078</v>
      </c>
      <c r="I37" s="290">
        <v>0.0177173432084619</v>
      </c>
      <c r="J37" s="290"/>
      <c r="K37" s="290">
        <v>0</v>
      </c>
      <c r="L37" s="290"/>
      <c r="M37" s="290">
        <v>0</v>
      </c>
      <c r="N37" s="290"/>
      <c r="O37" s="290">
        <v>0</v>
      </c>
      <c r="P37" s="290"/>
      <c r="Q37" s="290">
        <v>0</v>
      </c>
      <c r="R37" s="290"/>
      <c r="S37" s="290">
        <v>0</v>
      </c>
      <c r="T37" s="290"/>
      <c r="U37" s="290">
        <v>0</v>
      </c>
      <c r="V37" s="290"/>
      <c r="W37" s="290">
        <v>0</v>
      </c>
    </row>
    <row r="38" s="273" customFormat="1" spans="1:23">
      <c r="A38" s="287" t="s">
        <v>79</v>
      </c>
      <c r="B38" s="288" t="s">
        <v>96</v>
      </c>
      <c r="C38" s="289" t="s">
        <v>97</v>
      </c>
      <c r="D38" s="290"/>
      <c r="E38" s="290" t="e">
        <v>#DIV/0!</v>
      </c>
      <c r="F38" s="290"/>
      <c r="G38" s="290" t="e">
        <v>#DIV/0!</v>
      </c>
      <c r="H38" s="290">
        <v>0</v>
      </c>
      <c r="I38" s="290">
        <v>0</v>
      </c>
      <c r="J38" s="290"/>
      <c r="K38" s="290">
        <v>0</v>
      </c>
      <c r="L38" s="290"/>
      <c r="M38" s="290">
        <v>0</v>
      </c>
      <c r="N38" s="290"/>
      <c r="O38" s="290">
        <v>0</v>
      </c>
      <c r="P38" s="290"/>
      <c r="Q38" s="290">
        <v>0</v>
      </c>
      <c r="R38" s="290"/>
      <c r="S38" s="290">
        <v>0</v>
      </c>
      <c r="T38" s="290"/>
      <c r="U38" s="290">
        <v>0</v>
      </c>
      <c r="V38" s="290"/>
      <c r="W38" s="290">
        <v>0</v>
      </c>
    </row>
    <row r="39" s="273" customFormat="1" spans="1:23">
      <c r="A39" s="287" t="s">
        <v>79</v>
      </c>
      <c r="B39" s="288" t="s">
        <v>184</v>
      </c>
      <c r="C39" s="289" t="s">
        <v>99</v>
      </c>
      <c r="D39" s="290"/>
      <c r="E39" s="290" t="e">
        <v>#DIV/0!</v>
      </c>
      <c r="F39" s="290"/>
      <c r="G39" s="290" t="e">
        <v>#DIV/0!</v>
      </c>
      <c r="H39" s="290">
        <v>1.283642</v>
      </c>
      <c r="I39" s="290">
        <v>0.0300401357202249</v>
      </c>
      <c r="J39" s="290"/>
      <c r="K39" s="290">
        <v>0</v>
      </c>
      <c r="L39" s="290"/>
      <c r="M39" s="290">
        <v>0</v>
      </c>
      <c r="N39" s="290"/>
      <c r="O39" s="290">
        <v>0</v>
      </c>
      <c r="P39" s="290"/>
      <c r="Q39" s="290">
        <v>0</v>
      </c>
      <c r="R39" s="290"/>
      <c r="S39" s="290">
        <v>0</v>
      </c>
      <c r="T39" s="290"/>
      <c r="U39" s="290">
        <v>0</v>
      </c>
      <c r="V39" s="290"/>
      <c r="W39" s="290">
        <v>0</v>
      </c>
    </row>
    <row r="40" s="273" customFormat="1" spans="1:23">
      <c r="A40" s="287" t="s">
        <v>79</v>
      </c>
      <c r="B40" s="288" t="s">
        <v>100</v>
      </c>
      <c r="C40" s="289" t="s">
        <v>101</v>
      </c>
      <c r="D40" s="290"/>
      <c r="E40" s="290" t="e">
        <v>#DIV/0!</v>
      </c>
      <c r="F40" s="290"/>
      <c r="G40" s="290" t="e">
        <v>#DIV/0!</v>
      </c>
      <c r="H40" s="290">
        <v>0</v>
      </c>
      <c r="I40" s="290">
        <v>0</v>
      </c>
      <c r="J40" s="290"/>
      <c r="K40" s="290">
        <v>0</v>
      </c>
      <c r="L40" s="290"/>
      <c r="M40" s="290">
        <v>0</v>
      </c>
      <c r="N40" s="290"/>
      <c r="O40" s="290">
        <v>0</v>
      </c>
      <c r="P40" s="290"/>
      <c r="Q40" s="290">
        <v>0</v>
      </c>
      <c r="R40" s="290"/>
      <c r="S40" s="290">
        <v>0</v>
      </c>
      <c r="T40" s="290"/>
      <c r="U40" s="290">
        <v>0</v>
      </c>
      <c r="V40" s="290"/>
      <c r="W40" s="290">
        <v>0</v>
      </c>
    </row>
    <row r="41" s="273" customFormat="1" spans="1:23">
      <c r="A41" s="287" t="s">
        <v>79</v>
      </c>
      <c r="B41" s="288" t="s">
        <v>102</v>
      </c>
      <c r="C41" s="289" t="s">
        <v>103</v>
      </c>
      <c r="D41" s="290"/>
      <c r="E41" s="290" t="e">
        <v>#DIV/0!</v>
      </c>
      <c r="F41" s="290"/>
      <c r="G41" s="290" t="e">
        <v>#DIV/0!</v>
      </c>
      <c r="H41" s="290">
        <v>1.639337</v>
      </c>
      <c r="I41" s="290">
        <v>0.038364205885431</v>
      </c>
      <c r="J41" s="290"/>
      <c r="K41" s="290">
        <v>0</v>
      </c>
      <c r="L41" s="290"/>
      <c r="M41" s="290">
        <v>0</v>
      </c>
      <c r="N41" s="290"/>
      <c r="O41" s="290">
        <v>0</v>
      </c>
      <c r="P41" s="290"/>
      <c r="Q41" s="290">
        <v>0</v>
      </c>
      <c r="R41" s="290"/>
      <c r="S41" s="290">
        <v>0</v>
      </c>
      <c r="T41" s="290"/>
      <c r="U41" s="290">
        <v>0</v>
      </c>
      <c r="V41" s="290"/>
      <c r="W41" s="290">
        <v>0</v>
      </c>
    </row>
    <row r="42" s="273" customFormat="1" spans="1:23">
      <c r="A42" s="287" t="s">
        <v>79</v>
      </c>
      <c r="B42" s="295" t="s">
        <v>104</v>
      </c>
      <c r="C42" s="289" t="s">
        <v>105</v>
      </c>
      <c r="D42" s="290"/>
      <c r="E42" s="290" t="e">
        <v>#DIV/0!</v>
      </c>
      <c r="F42" s="290"/>
      <c r="G42" s="290" t="e">
        <v>#DIV/0!</v>
      </c>
      <c r="H42" s="290">
        <v>15.256302</v>
      </c>
      <c r="I42" s="290">
        <v>0.357032087348918</v>
      </c>
      <c r="J42" s="290"/>
      <c r="K42" s="290">
        <v>0</v>
      </c>
      <c r="L42" s="290"/>
      <c r="M42" s="290">
        <v>0</v>
      </c>
      <c r="N42" s="290"/>
      <c r="O42" s="290">
        <v>0</v>
      </c>
      <c r="P42" s="290"/>
      <c r="Q42" s="290">
        <v>0</v>
      </c>
      <c r="R42" s="290"/>
      <c r="S42" s="290">
        <v>0</v>
      </c>
      <c r="T42" s="290"/>
      <c r="U42" s="290">
        <v>0</v>
      </c>
      <c r="V42" s="290"/>
      <c r="W42" s="290">
        <v>0</v>
      </c>
    </row>
    <row r="43" s="273" customFormat="1" spans="1:23">
      <c r="A43" s="287" t="s">
        <v>79</v>
      </c>
      <c r="B43" s="295" t="s">
        <v>106</v>
      </c>
      <c r="C43" s="289" t="s">
        <v>107</v>
      </c>
      <c r="D43" s="290"/>
      <c r="E43" s="290" t="e">
        <v>#DIV/0!</v>
      </c>
      <c r="F43" s="290"/>
      <c r="G43" s="290" t="e">
        <v>#DIV/0!</v>
      </c>
      <c r="H43" s="290">
        <v>0</v>
      </c>
      <c r="I43" s="290">
        <v>0</v>
      </c>
      <c r="J43" s="290"/>
      <c r="K43" s="290">
        <v>0</v>
      </c>
      <c r="L43" s="290"/>
      <c r="M43" s="290">
        <v>0</v>
      </c>
      <c r="N43" s="290"/>
      <c r="O43" s="290">
        <v>0</v>
      </c>
      <c r="P43" s="290"/>
      <c r="Q43" s="290">
        <v>0</v>
      </c>
      <c r="R43" s="290"/>
      <c r="S43" s="290">
        <v>0</v>
      </c>
      <c r="T43" s="290"/>
      <c r="U43" s="290">
        <v>0</v>
      </c>
      <c r="V43" s="290"/>
      <c r="W43" s="290">
        <v>0</v>
      </c>
    </row>
    <row r="44" s="273" customFormat="1" spans="1:23">
      <c r="A44" s="287" t="s">
        <v>79</v>
      </c>
      <c r="B44" s="295" t="s">
        <v>108</v>
      </c>
      <c r="C44" s="289" t="s">
        <v>109</v>
      </c>
      <c r="D44" s="290"/>
      <c r="E44" s="290" t="e">
        <v>#DIV/0!</v>
      </c>
      <c r="F44" s="290"/>
      <c r="G44" s="290" t="e">
        <v>#DIV/0!</v>
      </c>
      <c r="H44" s="290">
        <v>0</v>
      </c>
      <c r="I44" s="290">
        <v>0</v>
      </c>
      <c r="J44" s="290"/>
      <c r="K44" s="290">
        <v>0</v>
      </c>
      <c r="L44" s="290"/>
      <c r="M44" s="290">
        <v>0</v>
      </c>
      <c r="N44" s="290"/>
      <c r="O44" s="290">
        <v>0</v>
      </c>
      <c r="P44" s="290"/>
      <c r="Q44" s="290">
        <v>0</v>
      </c>
      <c r="R44" s="290"/>
      <c r="S44" s="290">
        <v>0</v>
      </c>
      <c r="T44" s="290"/>
      <c r="U44" s="290">
        <v>0</v>
      </c>
      <c r="V44" s="290"/>
      <c r="W44" s="290">
        <v>0</v>
      </c>
    </row>
    <row r="45" s="273" customFormat="1" spans="1:23">
      <c r="A45" s="287" t="s">
        <v>79</v>
      </c>
      <c r="B45" s="295" t="s">
        <v>110</v>
      </c>
      <c r="C45" s="289" t="s">
        <v>111</v>
      </c>
      <c r="D45" s="290"/>
      <c r="E45" s="290" t="e">
        <v>#DIV/0!</v>
      </c>
      <c r="F45" s="290"/>
      <c r="G45" s="290" t="e">
        <v>#DIV/0!</v>
      </c>
      <c r="H45" s="290">
        <v>0.679937</v>
      </c>
      <c r="I45" s="290">
        <v>0.0159120687553092</v>
      </c>
      <c r="J45" s="290"/>
      <c r="K45" s="290">
        <v>0</v>
      </c>
      <c r="L45" s="290"/>
      <c r="M45" s="290">
        <v>0</v>
      </c>
      <c r="N45" s="290"/>
      <c r="O45" s="290">
        <v>0</v>
      </c>
      <c r="P45" s="290"/>
      <c r="Q45" s="290">
        <v>0</v>
      </c>
      <c r="R45" s="290"/>
      <c r="S45" s="290">
        <v>0</v>
      </c>
      <c r="T45" s="290"/>
      <c r="U45" s="290">
        <v>0</v>
      </c>
      <c r="V45" s="290"/>
      <c r="W45" s="290">
        <v>0</v>
      </c>
    </row>
    <row r="46" spans="1:23">
      <c r="A46" s="283" t="s">
        <v>112</v>
      </c>
      <c r="B46" s="291" t="s">
        <v>113</v>
      </c>
      <c r="C46" s="285" t="s">
        <v>114</v>
      </c>
      <c r="D46" s="286"/>
      <c r="E46" s="286" t="e">
        <v>#DIV/0!</v>
      </c>
      <c r="F46" s="286"/>
      <c r="G46" s="286" t="e">
        <v>#DIV/0!</v>
      </c>
      <c r="H46" s="286">
        <v>0</v>
      </c>
      <c r="I46" s="286">
        <v>0</v>
      </c>
      <c r="J46" s="286"/>
      <c r="K46" s="286">
        <v>0</v>
      </c>
      <c r="L46" s="286"/>
      <c r="M46" s="286">
        <v>0</v>
      </c>
      <c r="N46" s="286"/>
      <c r="O46" s="286">
        <v>0</v>
      </c>
      <c r="P46" s="286"/>
      <c r="Q46" s="286">
        <v>0</v>
      </c>
      <c r="R46" s="286"/>
      <c r="S46" s="286">
        <v>0</v>
      </c>
      <c r="T46" s="286"/>
      <c r="U46" s="286">
        <v>0</v>
      </c>
      <c r="V46" s="286"/>
      <c r="W46" s="286">
        <v>0</v>
      </c>
    </row>
    <row r="47" spans="1:23">
      <c r="A47" s="283" t="s">
        <v>115</v>
      </c>
      <c r="B47" s="291" t="s">
        <v>116</v>
      </c>
      <c r="C47" s="285" t="s">
        <v>117</v>
      </c>
      <c r="D47" s="286"/>
      <c r="E47" s="286" t="e">
        <v>#DIV/0!</v>
      </c>
      <c r="F47" s="286"/>
      <c r="G47" s="286" t="e">
        <v>#DIV/0!</v>
      </c>
      <c r="H47" s="286">
        <v>1.39863</v>
      </c>
      <c r="I47" s="286">
        <v>0.0327311158581429</v>
      </c>
      <c r="J47" s="286"/>
      <c r="K47" s="286">
        <v>0</v>
      </c>
      <c r="L47" s="286"/>
      <c r="M47" s="286">
        <v>0</v>
      </c>
      <c r="N47" s="286"/>
      <c r="O47" s="286">
        <v>0</v>
      </c>
      <c r="P47" s="286"/>
      <c r="Q47" s="286">
        <v>0</v>
      </c>
      <c r="R47" s="286"/>
      <c r="S47" s="286">
        <v>0</v>
      </c>
      <c r="T47" s="286"/>
      <c r="U47" s="286">
        <v>0</v>
      </c>
      <c r="V47" s="286"/>
      <c r="W47" s="286">
        <v>0</v>
      </c>
    </row>
    <row r="48" spans="1:23">
      <c r="A48" s="283" t="s">
        <v>118</v>
      </c>
      <c r="B48" s="291" t="s">
        <v>119</v>
      </c>
      <c r="C48" s="285" t="s">
        <v>120</v>
      </c>
      <c r="D48" s="286"/>
      <c r="E48" s="286" t="e">
        <v>#DIV/0!</v>
      </c>
      <c r="F48" s="286"/>
      <c r="G48" s="286" t="e">
        <v>#DIV/0!</v>
      </c>
      <c r="H48" s="286">
        <v>9.636693</v>
      </c>
      <c r="I48" s="286">
        <v>0.225520484382828</v>
      </c>
      <c r="J48" s="286"/>
      <c r="K48" s="286">
        <v>0</v>
      </c>
      <c r="L48" s="286"/>
      <c r="M48" s="286">
        <v>0</v>
      </c>
      <c r="N48" s="286"/>
      <c r="O48" s="286">
        <v>0</v>
      </c>
      <c r="P48" s="286"/>
      <c r="Q48" s="286">
        <v>0</v>
      </c>
      <c r="R48" s="286"/>
      <c r="S48" s="286">
        <v>0</v>
      </c>
      <c r="T48" s="286"/>
      <c r="U48" s="286">
        <v>0</v>
      </c>
      <c r="V48" s="286"/>
      <c r="W48" s="286">
        <v>0</v>
      </c>
    </row>
    <row r="49" spans="1:23">
      <c r="A49" s="283" t="s">
        <v>121</v>
      </c>
      <c r="B49" s="291" t="s">
        <v>122</v>
      </c>
      <c r="C49" s="285" t="s">
        <v>123</v>
      </c>
      <c r="D49" s="286"/>
      <c r="E49" s="286" t="e">
        <v>#DIV/0!</v>
      </c>
      <c r="F49" s="286"/>
      <c r="G49" s="286" t="e">
        <v>#DIV/0!</v>
      </c>
      <c r="H49" s="286">
        <v>0</v>
      </c>
      <c r="I49" s="286">
        <v>0</v>
      </c>
      <c r="J49" s="286"/>
      <c r="K49" s="286">
        <v>0</v>
      </c>
      <c r="L49" s="286"/>
      <c r="M49" s="286">
        <v>0</v>
      </c>
      <c r="N49" s="286"/>
      <c r="O49" s="286">
        <v>0</v>
      </c>
      <c r="P49" s="286"/>
      <c r="Q49" s="286">
        <v>0</v>
      </c>
      <c r="R49" s="286">
        <v>91</v>
      </c>
      <c r="S49" s="286">
        <v>100</v>
      </c>
      <c r="T49" s="286">
        <v>799.7859336</v>
      </c>
      <c r="U49" s="286">
        <v>8.16283796527262</v>
      </c>
      <c r="V49" s="286">
        <v>199.9464834</v>
      </c>
      <c r="W49" s="286">
        <v>24.4805987288271</v>
      </c>
    </row>
    <row r="50" spans="1:23">
      <c r="A50" s="283" t="s">
        <v>124</v>
      </c>
      <c r="B50" s="291" t="s">
        <v>125</v>
      </c>
      <c r="C50" s="285" t="s">
        <v>126</v>
      </c>
      <c r="D50" s="286"/>
      <c r="E50" s="286" t="e">
        <v>#DIV/0!</v>
      </c>
      <c r="F50" s="286"/>
      <c r="G50" s="286" t="e">
        <v>#DIV/0!</v>
      </c>
      <c r="H50" s="286">
        <v>192.111837</v>
      </c>
      <c r="I50" s="286">
        <v>4.49585293792329</v>
      </c>
      <c r="J50" s="286"/>
      <c r="K50" s="286">
        <v>0</v>
      </c>
      <c r="L50" s="286"/>
      <c r="M50" s="286">
        <v>0</v>
      </c>
      <c r="N50" s="286"/>
      <c r="O50" s="286">
        <v>0</v>
      </c>
      <c r="P50" s="286"/>
      <c r="Q50" s="286">
        <v>0</v>
      </c>
      <c r="R50" s="286"/>
      <c r="S50" s="286">
        <v>0</v>
      </c>
      <c r="T50" s="286"/>
      <c r="U50" s="286">
        <v>0</v>
      </c>
      <c r="V50" s="286"/>
      <c r="W50" s="286">
        <v>0</v>
      </c>
    </row>
    <row r="51" spans="1:23">
      <c r="A51" s="283" t="s">
        <v>127</v>
      </c>
      <c r="B51" s="291" t="s">
        <v>128</v>
      </c>
      <c r="C51" s="285" t="s">
        <v>129</v>
      </c>
      <c r="D51" s="286"/>
      <c r="E51" s="286" t="e">
        <v>#DIV/0!</v>
      </c>
      <c r="F51" s="286"/>
      <c r="G51" s="286" t="e">
        <v>#DIV/0!</v>
      </c>
      <c r="H51" s="286">
        <v>20.731611</v>
      </c>
      <c r="I51" s="286">
        <v>0.485166742860477</v>
      </c>
      <c r="J51" s="286"/>
      <c r="K51" s="286">
        <v>0</v>
      </c>
      <c r="L51" s="286"/>
      <c r="M51" s="286">
        <v>0</v>
      </c>
      <c r="N51" s="286"/>
      <c r="O51" s="286">
        <v>0</v>
      </c>
      <c r="P51" s="286"/>
      <c r="Q51" s="286">
        <v>0</v>
      </c>
      <c r="R51" s="286"/>
      <c r="S51" s="286">
        <v>0</v>
      </c>
      <c r="T51" s="286"/>
      <c r="U51" s="286">
        <v>0</v>
      </c>
      <c r="V51" s="286"/>
      <c r="W51" s="286">
        <v>0</v>
      </c>
    </row>
    <row r="52" spans="1:23">
      <c r="A52" s="283" t="s">
        <v>130</v>
      </c>
      <c r="B52" s="291" t="s">
        <v>131</v>
      </c>
      <c r="C52" s="285" t="s">
        <v>132</v>
      </c>
      <c r="D52" s="286"/>
      <c r="E52" s="286" t="e">
        <v>#DIV/0!</v>
      </c>
      <c r="F52" s="286"/>
      <c r="G52" s="286" t="e">
        <v>#DIV/0!</v>
      </c>
      <c r="H52" s="286">
        <v>0.489296</v>
      </c>
      <c r="I52" s="286">
        <v>0.0114506367409006</v>
      </c>
      <c r="J52" s="286"/>
      <c r="K52" s="286">
        <v>0</v>
      </c>
      <c r="L52" s="286"/>
      <c r="M52" s="286">
        <v>0</v>
      </c>
      <c r="N52" s="286"/>
      <c r="O52" s="286">
        <v>0</v>
      </c>
      <c r="P52" s="286"/>
      <c r="Q52" s="286">
        <v>0</v>
      </c>
      <c r="R52" s="286"/>
      <c r="S52" s="286">
        <v>0</v>
      </c>
      <c r="T52" s="286"/>
      <c r="U52" s="286">
        <v>0</v>
      </c>
      <c r="V52" s="286"/>
      <c r="W52" s="286">
        <v>0</v>
      </c>
    </row>
    <row r="53" spans="1:23">
      <c r="A53" s="283" t="s">
        <v>133</v>
      </c>
      <c r="B53" s="291" t="s">
        <v>134</v>
      </c>
      <c r="C53" s="285" t="s">
        <v>135</v>
      </c>
      <c r="D53" s="286"/>
      <c r="E53" s="286" t="e">
        <v>#DIV/0!</v>
      </c>
      <c r="F53" s="286"/>
      <c r="G53" s="286" t="e">
        <v>#DIV/0!</v>
      </c>
      <c r="H53" s="286">
        <v>0</v>
      </c>
      <c r="I53" s="286">
        <v>0</v>
      </c>
      <c r="J53" s="286"/>
      <c r="K53" s="286">
        <v>0</v>
      </c>
      <c r="L53" s="286"/>
      <c r="M53" s="286">
        <v>0</v>
      </c>
      <c r="N53" s="286"/>
      <c r="O53" s="286">
        <v>0</v>
      </c>
      <c r="P53" s="286"/>
      <c r="Q53" s="286">
        <v>0</v>
      </c>
      <c r="R53" s="286"/>
      <c r="S53" s="286">
        <v>0</v>
      </c>
      <c r="T53" s="286"/>
      <c r="U53" s="286">
        <v>0</v>
      </c>
      <c r="V53" s="286"/>
      <c r="W53" s="286">
        <v>0</v>
      </c>
    </row>
    <row r="54" spans="1:23">
      <c r="A54" s="283" t="s">
        <v>136</v>
      </c>
      <c r="B54" s="291" t="s">
        <v>185</v>
      </c>
      <c r="C54" s="285" t="s">
        <v>138</v>
      </c>
      <c r="D54" s="286"/>
      <c r="E54" s="286" t="e">
        <v>#DIV/0!</v>
      </c>
      <c r="F54" s="286"/>
      <c r="G54" s="286" t="e">
        <v>#DIV/0!</v>
      </c>
      <c r="H54" s="286">
        <v>0</v>
      </c>
      <c r="I54" s="286">
        <v>0</v>
      </c>
      <c r="J54" s="286"/>
      <c r="K54" s="286">
        <v>0</v>
      </c>
      <c r="L54" s="286"/>
      <c r="M54" s="286">
        <v>0</v>
      </c>
      <c r="N54" s="286"/>
      <c r="O54" s="286">
        <v>0</v>
      </c>
      <c r="P54" s="286"/>
      <c r="Q54" s="286">
        <v>0</v>
      </c>
      <c r="R54" s="286"/>
      <c r="S54" s="286">
        <v>0</v>
      </c>
      <c r="T54" s="286"/>
      <c r="U54" s="286">
        <v>0</v>
      </c>
      <c r="V54" s="286"/>
      <c r="W54" s="286">
        <v>0</v>
      </c>
    </row>
    <row r="55" spans="1:23">
      <c r="A55" s="283" t="s">
        <v>139</v>
      </c>
      <c r="B55" s="291" t="s">
        <v>140</v>
      </c>
      <c r="C55" s="285" t="s">
        <v>141</v>
      </c>
      <c r="D55" s="286"/>
      <c r="E55" s="286" t="e">
        <v>#DIV/0!</v>
      </c>
      <c r="F55" s="286"/>
      <c r="G55" s="286" t="e">
        <v>#DIV/0!</v>
      </c>
      <c r="H55" s="286">
        <v>35.83313</v>
      </c>
      <c r="I55" s="286">
        <v>0.838576556766189</v>
      </c>
      <c r="J55" s="286"/>
      <c r="K55" s="286">
        <v>0</v>
      </c>
      <c r="L55" s="286"/>
      <c r="M55" s="286">
        <v>0</v>
      </c>
      <c r="N55" s="286"/>
      <c r="O55" s="286">
        <v>0</v>
      </c>
      <c r="P55" s="286"/>
      <c r="Q55" s="286">
        <v>0</v>
      </c>
      <c r="R55" s="286"/>
      <c r="S55" s="286">
        <v>0</v>
      </c>
      <c r="T55" s="286"/>
      <c r="U55" s="286">
        <v>0</v>
      </c>
      <c r="V55" s="286"/>
      <c r="W55" s="286">
        <v>0</v>
      </c>
    </row>
    <row r="56" spans="1:23">
      <c r="A56" s="283" t="s">
        <v>142</v>
      </c>
      <c r="B56" s="291" t="s">
        <v>143</v>
      </c>
      <c r="C56" s="285" t="s">
        <v>144</v>
      </c>
      <c r="D56" s="286"/>
      <c r="E56" s="286" t="e">
        <v>#DIV/0!</v>
      </c>
      <c r="F56" s="286"/>
      <c r="G56" s="286" t="e">
        <v>#DIV/0!</v>
      </c>
      <c r="H56" s="286">
        <v>20.8563</v>
      </c>
      <c r="I56" s="286">
        <v>0.488084748412507</v>
      </c>
      <c r="J56" s="286"/>
      <c r="K56" s="286">
        <v>0</v>
      </c>
      <c r="L56" s="286"/>
      <c r="M56" s="286">
        <v>0</v>
      </c>
      <c r="N56" s="286"/>
      <c r="O56" s="286">
        <v>0</v>
      </c>
      <c r="P56" s="286"/>
      <c r="Q56" s="286">
        <v>0</v>
      </c>
      <c r="R56" s="286"/>
      <c r="S56" s="286">
        <v>0</v>
      </c>
      <c r="T56" s="286"/>
      <c r="U56" s="286">
        <v>0</v>
      </c>
      <c r="V56" s="286"/>
      <c r="W56" s="286">
        <v>0</v>
      </c>
    </row>
    <row r="57" spans="1:23">
      <c r="A57" s="283" t="s">
        <v>145</v>
      </c>
      <c r="B57" s="291" t="s">
        <v>146</v>
      </c>
      <c r="C57" s="285" t="s">
        <v>147</v>
      </c>
      <c r="D57" s="286"/>
      <c r="E57" s="286" t="e">
        <v>#DIV/0!</v>
      </c>
      <c r="F57" s="286"/>
      <c r="G57" s="286" t="e">
        <v>#DIV/0!</v>
      </c>
      <c r="H57" s="286">
        <v>0.37</v>
      </c>
      <c r="I57" s="286">
        <v>0.00865883962700132</v>
      </c>
      <c r="J57" s="286"/>
      <c r="K57" s="286">
        <v>0</v>
      </c>
      <c r="L57" s="286"/>
      <c r="M57" s="286">
        <v>0</v>
      </c>
      <c r="N57" s="286"/>
      <c r="O57" s="286">
        <v>0</v>
      </c>
      <c r="P57" s="286"/>
      <c r="Q57" s="286">
        <v>0</v>
      </c>
      <c r="R57" s="286"/>
      <c r="S57" s="286">
        <v>0</v>
      </c>
      <c r="T57" s="286"/>
      <c r="U57" s="286">
        <v>0</v>
      </c>
      <c r="V57" s="286"/>
      <c r="W57" s="286">
        <v>0</v>
      </c>
    </row>
    <row r="58" spans="1:23">
      <c r="A58" s="278" t="s">
        <v>148</v>
      </c>
      <c r="B58" s="281" t="s">
        <v>149</v>
      </c>
      <c r="C58" s="279" t="s">
        <v>150</v>
      </c>
      <c r="D58" s="282"/>
      <c r="E58" s="282" t="e">
        <v>#DIV/0!</v>
      </c>
      <c r="F58" s="282"/>
      <c r="G58" s="282" t="e">
        <v>#DIV/0!</v>
      </c>
      <c r="H58" s="282">
        <v>0</v>
      </c>
      <c r="I58" s="282">
        <v>0</v>
      </c>
      <c r="J58" s="282"/>
      <c r="K58" s="282">
        <v>0</v>
      </c>
      <c r="L58" s="282"/>
      <c r="M58" s="282">
        <v>0</v>
      </c>
      <c r="N58" s="282"/>
      <c r="O58" s="282">
        <v>0</v>
      </c>
      <c r="P58" s="282"/>
      <c r="Q58" s="282">
        <v>0</v>
      </c>
      <c r="R58" s="282"/>
      <c r="S58" s="282">
        <v>0</v>
      </c>
      <c r="T58" s="282"/>
      <c r="U58" s="282">
        <v>0</v>
      </c>
      <c r="V58" s="282"/>
      <c r="W58" s="282">
        <v>0</v>
      </c>
    </row>
    <row r="59" ht="16.5" customHeight="1"/>
  </sheetData>
  <mergeCells count="16">
    <mergeCell ref="A1:S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4:A5"/>
    <mergeCell ref="B4:B5"/>
    <mergeCell ref="C4:C5"/>
  </mergeCells>
  <printOptions horizontalCentered="1"/>
  <pageMargins left="0.354330708661417" right="0.15748031496063" top="0.433070866141732" bottom="0.196850393700787" header="0.433070866141732" footer="0.15748031496063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46</vt:i4>
      </vt:variant>
    </vt:vector>
  </HeadingPairs>
  <TitlesOfParts>
    <vt:vector size="46" baseType="lpstr">
      <vt:lpstr>CANDOI</vt:lpstr>
      <vt:lpstr>BIEU 01 CH</vt:lpstr>
      <vt:lpstr>BIEU 02 CH</vt:lpstr>
      <vt:lpstr>BIEU 06 CH</vt:lpstr>
      <vt:lpstr>BIEU 07 CH</vt:lpstr>
      <vt:lpstr>BIEU 08 CH</vt:lpstr>
      <vt:lpstr>BIEU 09 CH</vt:lpstr>
      <vt:lpstr>BIEU 10 CH</vt:lpstr>
      <vt:lpstr>BIEU 11 CH</vt:lpstr>
      <vt:lpstr>BIEU 13 CH</vt:lpstr>
      <vt:lpstr>Phuluc01</vt:lpstr>
      <vt:lpstr>Phuluc02</vt:lpstr>
      <vt:lpstr>Phuluc03</vt:lpstr>
      <vt:lpstr>ngaigiao (2016)</vt:lpstr>
      <vt:lpstr>bauchinh (2016)</vt:lpstr>
      <vt:lpstr>binhba (2016)</vt:lpstr>
      <vt:lpstr>binhgia (2016)</vt:lpstr>
      <vt:lpstr>binhtrung (2016)</vt:lpstr>
      <vt:lpstr>cubi (2016)</vt:lpstr>
      <vt:lpstr>dabac (2016)</vt:lpstr>
      <vt:lpstr>kimlong (2016)</vt:lpstr>
      <vt:lpstr>langlon (2016)</vt:lpstr>
      <vt:lpstr>nghiathanh (2016)</vt:lpstr>
      <vt:lpstr>quangthanh (2016)</vt:lpstr>
      <vt:lpstr>sonbinh (2016)</vt:lpstr>
      <vt:lpstr>suoinghe (2016)</vt:lpstr>
      <vt:lpstr>suoirao (2016)</vt:lpstr>
      <vt:lpstr>xabang (2016)</vt:lpstr>
      <vt:lpstr>xuanson (2016)</vt:lpstr>
      <vt:lpstr>toanhuyen (2016)</vt:lpstr>
      <vt:lpstr>TNG (2016)</vt:lpstr>
      <vt:lpstr>XBC (2016)</vt:lpstr>
      <vt:lpstr>XBB (2016)</vt:lpstr>
      <vt:lpstr>XBG (2016)</vt:lpstr>
      <vt:lpstr>XBT (2016)</vt:lpstr>
      <vt:lpstr>XCB (2016)</vt:lpstr>
      <vt:lpstr>XDB (2016)</vt:lpstr>
      <vt:lpstr>XKL (2016)</vt:lpstr>
      <vt:lpstr>XLL (2016)</vt:lpstr>
      <vt:lpstr>XNT (2016)</vt:lpstr>
      <vt:lpstr>XQT (2016)</vt:lpstr>
      <vt:lpstr>XSB (2016)</vt:lpstr>
      <vt:lpstr>XSN (2016)</vt:lpstr>
      <vt:lpstr>XSR (2016)</vt:lpstr>
      <vt:lpstr>XXB (2016)</vt:lpstr>
      <vt:lpstr>XXS (2016)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Thai</dc:creator>
  <cp:lastModifiedBy>WIN 8.1</cp:lastModifiedBy>
  <dcterms:created xsi:type="dcterms:W3CDTF">2014-09-17T02:17:00Z</dcterms:created>
  <cp:lastPrinted>2022-01-13T20:45:00Z</cp:lastPrinted>
  <dcterms:modified xsi:type="dcterms:W3CDTF">2022-04-11T05:45:02Z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514670795D764A999DBB4458BBAD9996</vt:lpwstr>
  </property>
  <property fmtid="{D5CDD505-2E9C-101B-9397-08002B2CF9AE}" pid="3" name="KSOProductBuildVer">
    <vt:lpwstr>1033-11.2.0.11074</vt:lpwstr>
  </property>
</Properties>
</file>